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data!$A$408:$I$577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Y69" i="1" l="1"/>
  <c r="AY64" i="1"/>
  <c r="AY63" i="1"/>
  <c r="AY61" i="1"/>
  <c r="AY60" i="1"/>
  <c r="AE59" i="1"/>
  <c r="AC74" i="1" l="1"/>
  <c r="AC73" i="1"/>
  <c r="AB70" i="1"/>
  <c r="C228" i="1"/>
  <c r="C239" i="1"/>
  <c r="C238" i="1"/>
  <c r="C226" i="1"/>
  <c r="C225" i="1"/>
  <c r="BN69" i="1"/>
  <c r="P68" i="1" l="1"/>
  <c r="C392" i="1"/>
  <c r="P64" i="1"/>
  <c r="E63" i="1"/>
  <c r="E61" i="1"/>
  <c r="D138" i="1" l="1"/>
  <c r="B138" i="1"/>
  <c r="C139" i="1"/>
  <c r="B139" i="1"/>
  <c r="D141" i="1"/>
  <c r="B141" i="1"/>
  <c r="D142" i="1"/>
  <c r="C142" i="1"/>
  <c r="C141" i="1"/>
  <c r="B142" i="1"/>
  <c r="C157" i="1" l="1"/>
  <c r="D111" i="1"/>
  <c r="E77" i="1" l="1"/>
  <c r="AG77" i="1"/>
  <c r="P77" i="1"/>
  <c r="O77" i="1"/>
  <c r="C77" i="1"/>
  <c r="C253" i="1" l="1"/>
  <c r="C365" i="1" l="1"/>
  <c r="AG80" i="1" l="1"/>
  <c r="P80" i="1"/>
  <c r="O80" i="1"/>
  <c r="E80" i="1"/>
  <c r="C80" i="1"/>
  <c r="BH78" i="1"/>
  <c r="AE78" i="1"/>
  <c r="AC78" i="1"/>
  <c r="Y78" i="1"/>
  <c r="BW60" i="1"/>
  <c r="AV60" i="1"/>
  <c r="BX60" i="1"/>
  <c r="BR60" i="1"/>
  <c r="BN60" i="1"/>
  <c r="BK60" i="1"/>
  <c r="BH60" i="1"/>
  <c r="AG60" i="1"/>
  <c r="AE60" i="1"/>
  <c r="AC60" i="1"/>
  <c r="Y60" i="1"/>
  <c r="P60" i="1"/>
  <c r="E60" i="1"/>
  <c r="AZ59" i="1" l="1"/>
  <c r="Y59" i="1"/>
  <c r="R59" i="1"/>
  <c r="E59" i="1"/>
  <c r="C234" i="1" l="1"/>
  <c r="D213" i="1"/>
  <c r="C213" i="1"/>
  <c r="C210" i="1"/>
  <c r="D200" i="1" l="1"/>
  <c r="C200" i="1"/>
  <c r="C197" i="1"/>
  <c r="C189" i="1" l="1"/>
  <c r="C188" i="1"/>
  <c r="C184" i="1"/>
  <c r="C172" i="1"/>
  <c r="C168" i="1"/>
  <c r="C170" i="1"/>
  <c r="CD70" i="1"/>
  <c r="BH69" i="1" l="1"/>
  <c r="BI69" i="1"/>
  <c r="BH70" i="1"/>
  <c r="BH66" i="1"/>
  <c r="BH65" i="1"/>
  <c r="BH64" i="1"/>
  <c r="BH61" i="1"/>
  <c r="BX61" i="1"/>
  <c r="BW69" i="1"/>
  <c r="BW65" i="1"/>
  <c r="BW64" i="1"/>
  <c r="BW63" i="1"/>
  <c r="BW61" i="1"/>
  <c r="BR61" i="1"/>
  <c r="BO69" i="1"/>
  <c r="BO64" i="1"/>
  <c r="BO61" i="1"/>
  <c r="BN64" i="1"/>
  <c r="BN63" i="1"/>
  <c r="BK64" i="1"/>
  <c r="BK66" i="1"/>
  <c r="BK69" i="1"/>
  <c r="BK63" i="1"/>
  <c r="BK61" i="1"/>
  <c r="E74" i="1"/>
  <c r="E73" i="1"/>
  <c r="AG69" i="1"/>
  <c r="AG74" i="1"/>
  <c r="AG73" i="1"/>
  <c r="AG66" i="1"/>
  <c r="AG65" i="1"/>
  <c r="AG64" i="1"/>
  <c r="AG63" i="1"/>
  <c r="AG61" i="1"/>
  <c r="AE64" i="1"/>
  <c r="AE61" i="1"/>
  <c r="AE70" i="1"/>
  <c r="AE74" i="1"/>
  <c r="AE69" i="1"/>
  <c r="AC64" i="1"/>
  <c r="AC61" i="1"/>
  <c r="AC69" i="1"/>
  <c r="AC66" i="1"/>
  <c r="AB64" i="1"/>
  <c r="AB63" i="1"/>
  <c r="Y74" i="1"/>
  <c r="Y69" i="1"/>
  <c r="Y66" i="1"/>
  <c r="Y64" i="1"/>
  <c r="Y61" i="1"/>
  <c r="Y63" i="1" l="1"/>
  <c r="Y73" i="1"/>
  <c r="Y70" i="1"/>
  <c r="U64" i="1"/>
  <c r="U63" i="1"/>
  <c r="U74" i="1"/>
  <c r="U73" i="1"/>
  <c r="S64" i="1"/>
  <c r="S74" i="1"/>
  <c r="S73" i="1"/>
  <c r="P74" i="1"/>
  <c r="P73" i="1"/>
  <c r="P69" i="1"/>
  <c r="P66" i="1"/>
  <c r="P65" i="1"/>
  <c r="P63" i="1"/>
  <c r="P61" i="1"/>
  <c r="E69" i="1"/>
  <c r="E66" i="1"/>
  <c r="E64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K807" i="10"/>
  <c r="I807" i="10"/>
  <c r="H807" i="10"/>
  <c r="G807" i="10"/>
  <c r="A807" i="10"/>
  <c r="T806" i="10"/>
  <c r="S806" i="10"/>
  <c r="R806" i="10"/>
  <c r="Q806" i="10"/>
  <c r="P806" i="10"/>
  <c r="M806" i="10"/>
  <c r="K806" i="10"/>
  <c r="I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K798" i="10"/>
  <c r="I798" i="10"/>
  <c r="H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K794" i="10"/>
  <c r="I794" i="10"/>
  <c r="H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K791" i="10"/>
  <c r="F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A783" i="10"/>
  <c r="T782" i="10"/>
  <c r="S782" i="10"/>
  <c r="R782" i="10"/>
  <c r="Q782" i="10"/>
  <c r="P782" i="10"/>
  <c r="M782" i="10"/>
  <c r="K782" i="10"/>
  <c r="I782" i="10"/>
  <c r="H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K779" i="10"/>
  <c r="I779" i="10"/>
  <c r="H779" i="10"/>
  <c r="F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P764" i="10"/>
  <c r="M764" i="10"/>
  <c r="K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K762" i="10"/>
  <c r="I762" i="10"/>
  <c r="H762" i="10"/>
  <c r="F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M760" i="10"/>
  <c r="K760" i="10"/>
  <c r="I760" i="10"/>
  <c r="H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K756" i="10"/>
  <c r="H756" i="10"/>
  <c r="F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M750" i="10"/>
  <c r="L750" i="10"/>
  <c r="K750" i="10"/>
  <c r="I750" i="10"/>
  <c r="H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S747" i="10"/>
  <c r="R747" i="10"/>
  <c r="Q747" i="10"/>
  <c r="P747" i="10"/>
  <c r="M747" i="10"/>
  <c r="B747" i="10"/>
  <c r="A747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R736" i="10"/>
  <c r="P736" i="10"/>
  <c r="M736" i="10"/>
  <c r="K736" i="10"/>
  <c r="I736" i="10"/>
  <c r="H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S734" i="10"/>
  <c r="R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M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E726" i="10"/>
  <c r="AD726" i="10"/>
  <c r="AC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Y722" i="10"/>
  <c r="BX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M722" i="10"/>
  <c r="L722" i="10"/>
  <c r="I722" i="10"/>
  <c r="G722" i="10"/>
  <c r="D722" i="10"/>
  <c r="C722" i="10"/>
  <c r="B722" i="10"/>
  <c r="A722" i="10"/>
  <c r="E550" i="10"/>
  <c r="E546" i="10"/>
  <c r="F546" i="10"/>
  <c r="F545" i="10"/>
  <c r="F544" i="10"/>
  <c r="E544" i="10"/>
  <c r="E540" i="10"/>
  <c r="E539" i="10"/>
  <c r="H538" i="10"/>
  <c r="E538" i="10"/>
  <c r="F538" i="10"/>
  <c r="H537" i="10"/>
  <c r="E537" i="10"/>
  <c r="F537" i="10"/>
  <c r="H536" i="10"/>
  <c r="F536" i="10"/>
  <c r="E536" i="10"/>
  <c r="H535" i="10"/>
  <c r="F535" i="10"/>
  <c r="E535" i="10"/>
  <c r="H534" i="10"/>
  <c r="F534" i="10"/>
  <c r="E534" i="10"/>
  <c r="H533" i="10"/>
  <c r="F533" i="10"/>
  <c r="E533" i="10"/>
  <c r="E532" i="10"/>
  <c r="E531" i="10"/>
  <c r="H530" i="10"/>
  <c r="E530" i="10"/>
  <c r="F530" i="10"/>
  <c r="E529" i="10"/>
  <c r="F529" i="10"/>
  <c r="F528" i="10"/>
  <c r="E528" i="10"/>
  <c r="H528" i="10"/>
  <c r="H527" i="10"/>
  <c r="F527" i="10"/>
  <c r="E527" i="10"/>
  <c r="E526" i="10"/>
  <c r="F526" i="10"/>
  <c r="H525" i="10"/>
  <c r="F525" i="10"/>
  <c r="E525" i="10"/>
  <c r="E523" i="10"/>
  <c r="E522" i="10"/>
  <c r="F522" i="10"/>
  <c r="F521" i="10"/>
  <c r="E520" i="10"/>
  <c r="F520" i="10"/>
  <c r="H519" i="10"/>
  <c r="F519" i="10"/>
  <c r="E519" i="10"/>
  <c r="E517" i="10"/>
  <c r="F517" i="10"/>
  <c r="E516" i="10"/>
  <c r="F516" i="10"/>
  <c r="E515" i="10"/>
  <c r="F515" i="10"/>
  <c r="F514" i="10"/>
  <c r="E514" i="10"/>
  <c r="H513" i="10"/>
  <c r="F513" i="10"/>
  <c r="E511" i="10"/>
  <c r="F511" i="10"/>
  <c r="F510" i="10"/>
  <c r="E510" i="10"/>
  <c r="E509" i="10"/>
  <c r="E508" i="10"/>
  <c r="F508" i="10"/>
  <c r="H507" i="10"/>
  <c r="F507" i="10"/>
  <c r="E507" i="10"/>
  <c r="F506" i="10"/>
  <c r="E506" i="10"/>
  <c r="H506" i="10"/>
  <c r="E505" i="10"/>
  <c r="H505" i="10"/>
  <c r="H504" i="10"/>
  <c r="E504" i="10"/>
  <c r="F504" i="10"/>
  <c r="E503" i="10"/>
  <c r="F503" i="10"/>
  <c r="E502" i="10"/>
  <c r="E501" i="10"/>
  <c r="H501" i="10"/>
  <c r="H500" i="10"/>
  <c r="F500" i="10"/>
  <c r="E500" i="10"/>
  <c r="H499" i="10"/>
  <c r="F499" i="10"/>
  <c r="E499" i="10"/>
  <c r="F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4" i="10"/>
  <c r="B453" i="10"/>
  <c r="C446" i="10"/>
  <c r="C444" i="10"/>
  <c r="B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92" i="10"/>
  <c r="CD730" i="10" s="1"/>
  <c r="D390" i="10"/>
  <c r="B441" i="10" s="1"/>
  <c r="D372" i="10"/>
  <c r="C366" i="10"/>
  <c r="BN730" i="10" s="1"/>
  <c r="C364" i="10"/>
  <c r="BL730" i="10" s="1"/>
  <c r="D361" i="10"/>
  <c r="N817" i="10" s="1"/>
  <c r="D329" i="10"/>
  <c r="D328" i="10"/>
  <c r="D319" i="10"/>
  <c r="D314" i="10"/>
  <c r="D290" i="10"/>
  <c r="D283" i="10"/>
  <c r="D275" i="10"/>
  <c r="D277" i="10" s="1"/>
  <c r="D265" i="10"/>
  <c r="C253" i="10"/>
  <c r="E730" i="10" s="1"/>
  <c r="D240" i="10"/>
  <c r="B447" i="10" s="1"/>
  <c r="C234" i="10"/>
  <c r="CB722" i="10" s="1"/>
  <c r="C226" i="10"/>
  <c r="BW722" i="10" s="1"/>
  <c r="D221" i="10"/>
  <c r="CD722" i="10" s="1"/>
  <c r="B217" i="10"/>
  <c r="E216" i="10"/>
  <c r="E215" i="10"/>
  <c r="E214" i="10"/>
  <c r="D213" i="10"/>
  <c r="E213" i="10" s="1"/>
  <c r="C213" i="10"/>
  <c r="BI722" i="10" s="1"/>
  <c r="E212" i="10"/>
  <c r="E211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C189" i="10"/>
  <c r="Q722" i="10" s="1"/>
  <c r="C188" i="10"/>
  <c r="D190" i="10" s="1"/>
  <c r="D437" i="10" s="1"/>
  <c r="C185" i="10"/>
  <c r="O722" i="10" s="1"/>
  <c r="C184" i="10"/>
  <c r="N722" i="10" s="1"/>
  <c r="D181" i="10"/>
  <c r="C179" i="10"/>
  <c r="K722" i="10" s="1"/>
  <c r="C176" i="10"/>
  <c r="J722" i="10" s="1"/>
  <c r="C172" i="10"/>
  <c r="H722" i="10" s="1"/>
  <c r="C169" i="10"/>
  <c r="F722" i="10" s="1"/>
  <c r="C168" i="10"/>
  <c r="E722" i="10" s="1"/>
  <c r="C157" i="10"/>
  <c r="BR726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C141" i="10"/>
  <c r="AF726" i="10" s="1"/>
  <c r="B141" i="10"/>
  <c r="AA726" i="10" s="1"/>
  <c r="E140" i="10"/>
  <c r="D139" i="10"/>
  <c r="AI726" i="10" s="1"/>
  <c r="B139" i="10"/>
  <c r="Y726" i="10" s="1"/>
  <c r="D138" i="10"/>
  <c r="B138" i="10"/>
  <c r="X726" i="10" s="1"/>
  <c r="E127" i="10"/>
  <c r="P80" i="10"/>
  <c r="T747" i="10" s="1"/>
  <c r="O80" i="10"/>
  <c r="T746" i="10" s="1"/>
  <c r="C80" i="10"/>
  <c r="T734" i="10" s="1"/>
  <c r="CF79" i="10"/>
  <c r="CE79" i="10"/>
  <c r="E79" i="10"/>
  <c r="S736" i="10" s="1"/>
  <c r="CE78" i="10"/>
  <c r="AG77" i="10"/>
  <c r="Q764" i="10" s="1"/>
  <c r="E77" i="10"/>
  <c r="Q736" i="10" s="1"/>
  <c r="C77" i="10"/>
  <c r="Q734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D75" i="10"/>
  <c r="N761" i="10" s="1"/>
  <c r="AB75" i="10"/>
  <c r="N759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R75" i="10"/>
  <c r="N749" i="10" s="1"/>
  <c r="Q75" i="10"/>
  <c r="N748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AG74" i="10"/>
  <c r="AE74" i="10"/>
  <c r="AE75" i="10" s="1"/>
  <c r="N762" i="10" s="1"/>
  <c r="AC74" i="10"/>
  <c r="Y74" i="10"/>
  <c r="U74" i="10"/>
  <c r="S74" i="10"/>
  <c r="P74" i="10"/>
  <c r="E74" i="10"/>
  <c r="AG73" i="10"/>
  <c r="O764" i="10" s="1"/>
  <c r="AC73" i="10"/>
  <c r="O760" i="10" s="1"/>
  <c r="Y73" i="10"/>
  <c r="Y75" i="10" s="1"/>
  <c r="N756" i="10" s="1"/>
  <c r="U73" i="10"/>
  <c r="O752" i="10" s="1"/>
  <c r="S73" i="10"/>
  <c r="O750" i="10" s="1"/>
  <c r="P73" i="10"/>
  <c r="E73" i="10"/>
  <c r="O736" i="10" s="1"/>
  <c r="CD71" i="10"/>
  <c r="C575" i="10" s="1"/>
  <c r="CD70" i="10"/>
  <c r="V813" i="10" s="1"/>
  <c r="V815" i="10" s="1"/>
  <c r="BH70" i="10"/>
  <c r="M791" i="10" s="1"/>
  <c r="AE70" i="10"/>
  <c r="M762" i="10" s="1"/>
  <c r="AB70" i="10"/>
  <c r="M759" i="10" s="1"/>
  <c r="BX69" i="10"/>
  <c r="L807" i="10" s="1"/>
  <c r="BW69" i="10"/>
  <c r="L806" i="10" s="1"/>
  <c r="BO69" i="10"/>
  <c r="L798" i="10" s="1"/>
  <c r="BN69" i="10"/>
  <c r="L797" i="10" s="1"/>
  <c r="BK69" i="10"/>
  <c r="L794" i="10" s="1"/>
  <c r="BH69" i="10"/>
  <c r="L791" i="10" s="1"/>
  <c r="AY69" i="10"/>
  <c r="L782" i="10" s="1"/>
  <c r="AV69" i="10"/>
  <c r="L779" i="10" s="1"/>
  <c r="AG69" i="10"/>
  <c r="L764" i="10" s="1"/>
  <c r="AE69" i="10"/>
  <c r="L762" i="10" s="1"/>
  <c r="AC69" i="10"/>
  <c r="L760" i="10" s="1"/>
  <c r="Y69" i="10"/>
  <c r="L756" i="10" s="1"/>
  <c r="P69" i="10"/>
  <c r="L747" i="10" s="1"/>
  <c r="E69" i="10"/>
  <c r="L736" i="10" s="1"/>
  <c r="P68" i="10"/>
  <c r="BH66" i="10"/>
  <c r="I791" i="10" s="1"/>
  <c r="AG66" i="10"/>
  <c r="I764" i="10" s="1"/>
  <c r="Y66" i="10"/>
  <c r="I756" i="10" s="1"/>
  <c r="P66" i="10"/>
  <c r="I747" i="10" s="1"/>
  <c r="BW65" i="10"/>
  <c r="H806" i="10" s="1"/>
  <c r="BH65" i="10"/>
  <c r="AG65" i="10"/>
  <c r="H764" i="10" s="1"/>
  <c r="P65" i="10"/>
  <c r="H747" i="10" s="1"/>
  <c r="BW64" i="10"/>
  <c r="G806" i="10" s="1"/>
  <c r="BO64" i="10"/>
  <c r="G798" i="10" s="1"/>
  <c r="BN64" i="10"/>
  <c r="G797" i="10" s="1"/>
  <c r="BK64" i="10"/>
  <c r="G794" i="10" s="1"/>
  <c r="BH64" i="10"/>
  <c r="G791" i="10" s="1"/>
  <c r="AY64" i="10"/>
  <c r="G782" i="10" s="1"/>
  <c r="AV64" i="10"/>
  <c r="G779" i="10" s="1"/>
  <c r="AG64" i="10"/>
  <c r="G764" i="10" s="1"/>
  <c r="AE64" i="10"/>
  <c r="G762" i="10" s="1"/>
  <c r="AC64" i="10"/>
  <c r="G760" i="10" s="1"/>
  <c r="AB64" i="10"/>
  <c r="G759" i="10" s="1"/>
  <c r="Y64" i="10"/>
  <c r="G756" i="10" s="1"/>
  <c r="U64" i="10"/>
  <c r="G752" i="10" s="1"/>
  <c r="S64" i="10"/>
  <c r="G750" i="10" s="1"/>
  <c r="P64" i="10"/>
  <c r="G747" i="10" s="1"/>
  <c r="E64" i="10"/>
  <c r="G736" i="10" s="1"/>
  <c r="BX63" i="10"/>
  <c r="F807" i="10" s="1"/>
  <c r="BW63" i="10"/>
  <c r="F806" i="10" s="1"/>
  <c r="BN63" i="10"/>
  <c r="F797" i="10" s="1"/>
  <c r="BK63" i="10"/>
  <c r="F794" i="10" s="1"/>
  <c r="AY63" i="10"/>
  <c r="F782" i="10" s="1"/>
  <c r="AG63" i="10"/>
  <c r="F764" i="10" s="1"/>
  <c r="AC63" i="10"/>
  <c r="F760" i="10" s="1"/>
  <c r="AB63" i="10"/>
  <c r="F759" i="10" s="1"/>
  <c r="P63" i="10"/>
  <c r="F747" i="10" s="1"/>
  <c r="E63" i="10"/>
  <c r="F736" i="10" s="1"/>
  <c r="BX61" i="10"/>
  <c r="BW61" i="10"/>
  <c r="BR61" i="10"/>
  <c r="D801" i="10" s="1"/>
  <c r="BK61" i="10"/>
  <c r="D794" i="10" s="1"/>
  <c r="BH61" i="10"/>
  <c r="D791" i="10" s="1"/>
  <c r="AY61" i="10"/>
  <c r="D782" i="10" s="1"/>
  <c r="AV61" i="10"/>
  <c r="D779" i="10" s="1"/>
  <c r="AG61" i="10"/>
  <c r="AE61" i="10"/>
  <c r="D762" i="10" s="1"/>
  <c r="AC61" i="10"/>
  <c r="D760" i="10" s="1"/>
  <c r="Y61" i="10"/>
  <c r="D756" i="10" s="1"/>
  <c r="P61" i="10"/>
  <c r="D747" i="10" s="1"/>
  <c r="E61" i="10"/>
  <c r="D736" i="10" s="1"/>
  <c r="BX60" i="10"/>
  <c r="C807" i="10" s="1"/>
  <c r="BW60" i="10"/>
  <c r="C806" i="10" s="1"/>
  <c r="BR60" i="10"/>
  <c r="C801" i="10" s="1"/>
  <c r="BK60" i="10"/>
  <c r="C794" i="10" s="1"/>
  <c r="BH60" i="10"/>
  <c r="C791" i="10" s="1"/>
  <c r="AY60" i="10"/>
  <c r="C782" i="10" s="1"/>
  <c r="AV60" i="10"/>
  <c r="C779" i="10" s="1"/>
  <c r="AG60" i="10"/>
  <c r="C764" i="10" s="1"/>
  <c r="AE60" i="10"/>
  <c r="C762" i="10" s="1"/>
  <c r="AC60" i="10"/>
  <c r="C760" i="10" s="1"/>
  <c r="Y60" i="10"/>
  <c r="C756" i="10" s="1"/>
  <c r="P60" i="10"/>
  <c r="C747" i="10" s="1"/>
  <c r="E60" i="10"/>
  <c r="C736" i="10" s="1"/>
  <c r="AZ59" i="10"/>
  <c r="AE59" i="10"/>
  <c r="B762" i="10" s="1"/>
  <c r="Y59" i="10"/>
  <c r="B756" i="10" s="1"/>
  <c r="E59" i="10"/>
  <c r="B736" i="10" s="1"/>
  <c r="B53" i="10"/>
  <c r="CE51" i="10"/>
  <c r="B49" i="10"/>
  <c r="CE47" i="10"/>
  <c r="E75" i="10" l="1"/>
  <c r="N736" i="10" s="1"/>
  <c r="CF76" i="10"/>
  <c r="T815" i="10"/>
  <c r="E142" i="10"/>
  <c r="D464" i="10" s="1"/>
  <c r="D229" i="10"/>
  <c r="B445" i="10" s="1"/>
  <c r="D339" i="10"/>
  <c r="C482" i="10" s="1"/>
  <c r="AW52" i="10"/>
  <c r="AW67" i="10" s="1"/>
  <c r="J780" i="10" s="1"/>
  <c r="BO52" i="10"/>
  <c r="BO67" i="10" s="1"/>
  <c r="J798" i="10" s="1"/>
  <c r="D236" i="10"/>
  <c r="B446" i="10" s="1"/>
  <c r="D612" i="10"/>
  <c r="BU52" i="10"/>
  <c r="BU67" i="10" s="1"/>
  <c r="J804" i="10" s="1"/>
  <c r="CE80" i="10"/>
  <c r="T816" i="10" s="1"/>
  <c r="C473" i="10"/>
  <c r="D330" i="10"/>
  <c r="B440" i="10"/>
  <c r="C447" i="10"/>
  <c r="C217" i="10"/>
  <c r="D433" i="10" s="1"/>
  <c r="P722" i="10"/>
  <c r="BJ722" i="10"/>
  <c r="AQ52" i="10"/>
  <c r="AQ67" i="10" s="1"/>
  <c r="J774" i="10" s="1"/>
  <c r="CE69" i="10"/>
  <c r="Q815" i="10"/>
  <c r="BV52" i="10"/>
  <c r="BV67" i="10" s="1"/>
  <c r="J805" i="10" s="1"/>
  <c r="K52" i="10"/>
  <c r="K67" i="10" s="1"/>
  <c r="J742" i="10" s="1"/>
  <c r="AH52" i="10"/>
  <c r="AH67" i="10" s="1"/>
  <c r="J765" i="10" s="1"/>
  <c r="BE52" i="10"/>
  <c r="BE67" i="10" s="1"/>
  <c r="J788" i="10" s="1"/>
  <c r="S75" i="10"/>
  <c r="N750" i="10" s="1"/>
  <c r="AC75" i="10"/>
  <c r="N760" i="10" s="1"/>
  <c r="D217" i="10"/>
  <c r="E524" i="10"/>
  <c r="Q52" i="10"/>
  <c r="Q67" i="10" s="1"/>
  <c r="J748" i="10" s="1"/>
  <c r="AI52" i="10"/>
  <c r="AI67" i="10" s="1"/>
  <c r="J766" i="10" s="1"/>
  <c r="BF52" i="10"/>
  <c r="BF67" i="10" s="1"/>
  <c r="J789" i="10" s="1"/>
  <c r="H497" i="10"/>
  <c r="F497" i="10"/>
  <c r="AK726" i="10"/>
  <c r="E141" i="10"/>
  <c r="D463" i="10" s="1"/>
  <c r="D465" i="10" s="1"/>
  <c r="F509" i="10"/>
  <c r="D806" i="10"/>
  <c r="D807" i="10"/>
  <c r="CE74" i="10"/>
  <c r="C464" i="10" s="1"/>
  <c r="N734" i="10"/>
  <c r="S816" i="10"/>
  <c r="J612" i="10"/>
  <c r="AH726" i="10"/>
  <c r="E138" i="10"/>
  <c r="C414" i="10" s="1"/>
  <c r="D764" i="10"/>
  <c r="D815" i="10" s="1"/>
  <c r="C469" i="10"/>
  <c r="E204" i="10"/>
  <c r="C476" i="10" s="1"/>
  <c r="K747" i="10"/>
  <c r="CE68" i="10"/>
  <c r="O747" i="10"/>
  <c r="P75" i="10"/>
  <c r="N747" i="10" s="1"/>
  <c r="CB52" i="10"/>
  <c r="CB67" i="10" s="1"/>
  <c r="J811" i="10" s="1"/>
  <c r="BT52" i="10"/>
  <c r="BT67" i="10" s="1"/>
  <c r="J803" i="10" s="1"/>
  <c r="BD52" i="10"/>
  <c r="BD67" i="10" s="1"/>
  <c r="J787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K52" i="10"/>
  <c r="BK67" i="10" s="1"/>
  <c r="J794" i="10" s="1"/>
  <c r="W52" i="10"/>
  <c r="W67" i="10" s="1"/>
  <c r="J754" i="10" s="1"/>
  <c r="O52" i="10"/>
  <c r="O67" i="10" s="1"/>
  <c r="J746" i="10" s="1"/>
  <c r="BS52" i="10"/>
  <c r="BS67" i="10" s="1"/>
  <c r="J802" i="10" s="1"/>
  <c r="BC52" i="10"/>
  <c r="BC67" i="10" s="1"/>
  <c r="J786" i="10" s="1"/>
  <c r="G52" i="10"/>
  <c r="G67" i="10" s="1"/>
  <c r="J738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V52" i="10"/>
  <c r="V67" i="10" s="1"/>
  <c r="J753" i="10" s="1"/>
  <c r="F52" i="10"/>
  <c r="F67" i="10" s="1"/>
  <c r="J737" i="10" s="1"/>
  <c r="BX52" i="10"/>
  <c r="BX67" i="10" s="1"/>
  <c r="J807" i="10" s="1"/>
  <c r="AZ52" i="10"/>
  <c r="AZ67" i="10" s="1"/>
  <c r="J783" i="10" s="1"/>
  <c r="AB52" i="10"/>
  <c r="AB67" i="10" s="1"/>
  <c r="J759" i="10" s="1"/>
  <c r="BY52" i="10"/>
  <c r="BY67" i="10" s="1"/>
  <c r="J808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BH52" i="10"/>
  <c r="BH67" i="10" s="1"/>
  <c r="J791" i="10" s="1"/>
  <c r="AJ52" i="10"/>
  <c r="AJ67" i="10" s="1"/>
  <c r="J767" i="10" s="1"/>
  <c r="L52" i="10"/>
  <c r="L67" i="10" s="1"/>
  <c r="J743" i="10" s="1"/>
  <c r="BP52" i="10"/>
  <c r="BP67" i="10" s="1"/>
  <c r="J799" i="10" s="1"/>
  <c r="AR52" i="10"/>
  <c r="AR67" i="10" s="1"/>
  <c r="J775" i="10" s="1"/>
  <c r="T52" i="10"/>
  <c r="T67" i="10" s="1"/>
  <c r="J751" i="10" s="1"/>
  <c r="D52" i="10"/>
  <c r="D435" i="10"/>
  <c r="H502" i="10"/>
  <c r="F502" i="10"/>
  <c r="CE61" i="10"/>
  <c r="H791" i="10"/>
  <c r="H815" i="10" s="1"/>
  <c r="CE65" i="10"/>
  <c r="L816" i="10"/>
  <c r="C440" i="10"/>
  <c r="L815" i="10"/>
  <c r="U75" i="10"/>
  <c r="N752" i="10" s="1"/>
  <c r="D415" i="10"/>
  <c r="E498" i="10"/>
  <c r="H523" i="10"/>
  <c r="F523" i="10"/>
  <c r="H532" i="10"/>
  <c r="F532" i="10"/>
  <c r="H540" i="10"/>
  <c r="F540" i="10"/>
  <c r="B465" i="10"/>
  <c r="CE60" i="10"/>
  <c r="D186" i="10"/>
  <c r="D436" i="10" s="1"/>
  <c r="D260" i="10"/>
  <c r="D292" i="10" s="1"/>
  <c r="D341" i="10" s="1"/>
  <c r="C481" i="10" s="1"/>
  <c r="F518" i="10"/>
  <c r="O756" i="10"/>
  <c r="CE63" i="10"/>
  <c r="CE77" i="10"/>
  <c r="E139" i="10"/>
  <c r="C415" i="10" s="1"/>
  <c r="D173" i="10"/>
  <c r="D428" i="10" s="1"/>
  <c r="D367" i="10"/>
  <c r="C448" i="10" s="1"/>
  <c r="B476" i="10"/>
  <c r="H503" i="10"/>
  <c r="F550" i="10"/>
  <c r="C615" i="10"/>
  <c r="B783" i="10"/>
  <c r="E545" i="10"/>
  <c r="CE64" i="10"/>
  <c r="CE70" i="10"/>
  <c r="C439" i="10"/>
  <c r="C445" i="10"/>
  <c r="F496" i="10"/>
  <c r="F501" i="10"/>
  <c r="F524" i="10"/>
  <c r="CE73" i="10"/>
  <c r="AG75" i="10"/>
  <c r="N764" i="10" s="1"/>
  <c r="R816" i="10"/>
  <c r="I612" i="10"/>
  <c r="D177" i="10"/>
  <c r="D434" i="10" s="1"/>
  <c r="E210" i="10"/>
  <c r="E217" i="10" s="1"/>
  <c r="C478" i="10" s="1"/>
  <c r="B455" i="10"/>
  <c r="F505" i="10"/>
  <c r="E518" i="10"/>
  <c r="CE66" i="10"/>
  <c r="H531" i="10"/>
  <c r="F531" i="10"/>
  <c r="H539" i="10"/>
  <c r="F539" i="10"/>
  <c r="F512" i="10"/>
  <c r="C815" i="10"/>
  <c r="M815" i="10"/>
  <c r="I815" i="10"/>
  <c r="O815" i="10"/>
  <c r="R815" i="10"/>
  <c r="F815" i="10"/>
  <c r="P815" i="10"/>
  <c r="G815" i="10"/>
  <c r="S815" i="10"/>
  <c r="K815" i="10"/>
  <c r="AO52" i="10" l="1"/>
  <c r="AO67" i="10" s="1"/>
  <c r="J772" i="10" s="1"/>
  <c r="BG52" i="10"/>
  <c r="BG67" i="10" s="1"/>
  <c r="J790" i="10" s="1"/>
  <c r="R52" i="10"/>
  <c r="R67" i="10" s="1"/>
  <c r="J749" i="10" s="1"/>
  <c r="D242" i="10"/>
  <c r="B448" i="10" s="1"/>
  <c r="BR52" i="10"/>
  <c r="BR67" i="10" s="1"/>
  <c r="J801" i="10" s="1"/>
  <c r="AM52" i="10"/>
  <c r="AM67" i="10" s="1"/>
  <c r="J770" i="10" s="1"/>
  <c r="AN52" i="10"/>
  <c r="AN67" i="10" s="1"/>
  <c r="J771" i="10" s="1"/>
  <c r="AY52" i="10"/>
  <c r="AY67" i="10" s="1"/>
  <c r="J782" i="10" s="1"/>
  <c r="AG52" i="10"/>
  <c r="AG67" i="10" s="1"/>
  <c r="J764" i="10" s="1"/>
  <c r="AX52" i="10"/>
  <c r="AX67" i="10" s="1"/>
  <c r="J781" i="10" s="1"/>
  <c r="Z52" i="10"/>
  <c r="Z67" i="10" s="1"/>
  <c r="J757" i="10" s="1"/>
  <c r="N52" i="10"/>
  <c r="N67" i="10" s="1"/>
  <c r="J745" i="10" s="1"/>
  <c r="BZ52" i="10"/>
  <c r="BZ67" i="10" s="1"/>
  <c r="J809" i="10" s="1"/>
  <c r="AU52" i="10"/>
  <c r="AU67" i="10" s="1"/>
  <c r="J778" i="10" s="1"/>
  <c r="AV52" i="10"/>
  <c r="AV67" i="10" s="1"/>
  <c r="J779" i="10" s="1"/>
  <c r="J52" i="10"/>
  <c r="J67" i="10" s="1"/>
  <c r="J741" i="10" s="1"/>
  <c r="AA52" i="10"/>
  <c r="AA67" i="10" s="1"/>
  <c r="J758" i="10" s="1"/>
  <c r="C52" i="10"/>
  <c r="C67" i="10" s="1"/>
  <c r="J734" i="10" s="1"/>
  <c r="BM52" i="10"/>
  <c r="BM67" i="10" s="1"/>
  <c r="J796" i="10" s="1"/>
  <c r="I52" i="10"/>
  <c r="I67" i="10" s="1"/>
  <c r="J740" i="10" s="1"/>
  <c r="AP52" i="10"/>
  <c r="AP67" i="10" s="1"/>
  <c r="J773" i="10" s="1"/>
  <c r="D438" i="10"/>
  <c r="L612" i="10"/>
  <c r="E52" i="10"/>
  <c r="E67" i="10" s="1"/>
  <c r="J736" i="10" s="1"/>
  <c r="BQ52" i="10"/>
  <c r="BQ67" i="10" s="1"/>
  <c r="J800" i="10" s="1"/>
  <c r="AD52" i="10"/>
  <c r="AD67" i="10" s="1"/>
  <c r="J761" i="10" s="1"/>
  <c r="AE52" i="10"/>
  <c r="AE67" i="10" s="1"/>
  <c r="J762" i="10" s="1"/>
  <c r="CA52" i="10"/>
  <c r="CA67" i="10" s="1"/>
  <c r="J810" i="10" s="1"/>
  <c r="BL52" i="10"/>
  <c r="BL67" i="10" s="1"/>
  <c r="J795" i="10" s="1"/>
  <c r="CC52" i="10"/>
  <c r="CC67" i="10" s="1"/>
  <c r="J812" i="10" s="1"/>
  <c r="BW52" i="10"/>
  <c r="BW67" i="10" s="1"/>
  <c r="J806" i="10" s="1"/>
  <c r="Y52" i="10"/>
  <c r="Y67" i="10" s="1"/>
  <c r="J756" i="10" s="1"/>
  <c r="BN52" i="10"/>
  <c r="BN67" i="10" s="1"/>
  <c r="J797" i="10" s="1"/>
  <c r="S52" i="10"/>
  <c r="S67" i="10" s="1"/>
  <c r="J750" i="10" s="1"/>
  <c r="O816" i="10"/>
  <c r="C463" i="10"/>
  <c r="F816" i="10"/>
  <c r="C429" i="10"/>
  <c r="CE75" i="10"/>
  <c r="D368" i="10"/>
  <c r="D373" i="10" s="1"/>
  <c r="D391" i="10" s="1"/>
  <c r="D393" i="10" s="1"/>
  <c r="D396" i="10" s="1"/>
  <c r="BI730" i="10"/>
  <c r="H612" i="10"/>
  <c r="C816" i="10"/>
  <c r="H816" i="10"/>
  <c r="C431" i="10"/>
  <c r="D67" i="10"/>
  <c r="N815" i="10"/>
  <c r="I816" i="10"/>
  <c r="C432" i="10"/>
  <c r="G816" i="10"/>
  <c r="F612" i="10"/>
  <c r="C430" i="10"/>
  <c r="M816" i="10"/>
  <c r="C458" i="10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U48" i="10"/>
  <c r="BU62" i="10" s="1"/>
  <c r="BE48" i="10"/>
  <c r="BE62" i="10" s="1"/>
  <c r="AO48" i="10"/>
  <c r="AO62" i="10" s="1"/>
  <c r="Y48" i="10"/>
  <c r="Y62" i="10" s="1"/>
  <c r="Q48" i="10"/>
  <c r="Q62" i="10" s="1"/>
  <c r="BM48" i="10"/>
  <c r="BM62" i="10" s="1"/>
  <c r="AW48" i="10"/>
  <c r="AW62" i="10" s="1"/>
  <c r="AG48" i="10"/>
  <c r="AG62" i="10" s="1"/>
  <c r="I48" i="10"/>
  <c r="I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R48" i="10"/>
  <c r="BR62" i="10" s="1"/>
  <c r="AT48" i="10"/>
  <c r="AT62" i="10" s="1"/>
  <c r="AD48" i="10"/>
  <c r="AD62" i="10" s="1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Z48" i="10"/>
  <c r="BZ62" i="10" s="1"/>
  <c r="BJ48" i="10"/>
  <c r="BJ62" i="10" s="1"/>
  <c r="AL48" i="10"/>
  <c r="AL62" i="10" s="1"/>
  <c r="N48" i="10"/>
  <c r="N62" i="10" s="1"/>
  <c r="BB48" i="10"/>
  <c r="BB62" i="10" s="1"/>
  <c r="V48" i="10"/>
  <c r="V62" i="10" s="1"/>
  <c r="F48" i="10"/>
  <c r="F62" i="10" s="1"/>
  <c r="BP48" i="10"/>
  <c r="BP62" i="10" s="1"/>
  <c r="AS48" i="10"/>
  <c r="AS62" i="10" s="1"/>
  <c r="AA48" i="10"/>
  <c r="AA62" i="10" s="1"/>
  <c r="D48" i="10"/>
  <c r="D62" i="10" s="1"/>
  <c r="BQ48" i="10"/>
  <c r="BQ62" i="10" s="1"/>
  <c r="AY48" i="10"/>
  <c r="AY62" i="10" s="1"/>
  <c r="AB48" i="10"/>
  <c r="AB62" i="10" s="1"/>
  <c r="E48" i="10"/>
  <c r="E62" i="10" s="1"/>
  <c r="BO48" i="10"/>
  <c r="BO62" i="10" s="1"/>
  <c r="AR48" i="10"/>
  <c r="AR62" i="10" s="1"/>
  <c r="U48" i="10"/>
  <c r="U62" i="10" s="1"/>
  <c r="C48" i="10"/>
  <c r="BI48" i="10"/>
  <c r="BI62" i="10" s="1"/>
  <c r="AQ48" i="10"/>
  <c r="AQ62" i="10" s="1"/>
  <c r="T48" i="10"/>
  <c r="T62" i="10" s="1"/>
  <c r="BG48" i="10"/>
  <c r="BG62" i="10" s="1"/>
  <c r="M48" i="10"/>
  <c r="M62" i="10" s="1"/>
  <c r="BH48" i="10"/>
  <c r="BH62" i="10" s="1"/>
  <c r="AK48" i="10"/>
  <c r="AK62" i="10" s="1"/>
  <c r="S48" i="10"/>
  <c r="S62" i="10" s="1"/>
  <c r="BY48" i="10"/>
  <c r="BY62" i="10" s="1"/>
  <c r="AJ48" i="10"/>
  <c r="AJ62" i="10" s="1"/>
  <c r="BX48" i="10"/>
  <c r="BX62" i="10" s="1"/>
  <c r="BA48" i="10"/>
  <c r="BA62" i="10" s="1"/>
  <c r="AI48" i="10"/>
  <c r="AI62" i="10" s="1"/>
  <c r="L48" i="10"/>
  <c r="L62" i="10" s="1"/>
  <c r="BW48" i="10"/>
  <c r="BW62" i="10" s="1"/>
  <c r="AC48" i="10"/>
  <c r="AC62" i="10" s="1"/>
  <c r="K48" i="10"/>
  <c r="K62" i="10" s="1"/>
  <c r="AZ48" i="10"/>
  <c r="AZ62" i="10" s="1"/>
  <c r="K816" i="10"/>
  <c r="C434" i="10"/>
  <c r="Q816" i="10"/>
  <c r="G612" i="10"/>
  <c r="CF77" i="10"/>
  <c r="CE52" i="10" l="1"/>
  <c r="E767" i="10"/>
  <c r="AJ71" i="10"/>
  <c r="E762" i="10"/>
  <c r="AE71" i="10"/>
  <c r="E749" i="10"/>
  <c r="R71" i="10"/>
  <c r="E784" i="10"/>
  <c r="BA71" i="10"/>
  <c r="E790" i="10"/>
  <c r="BG71" i="10"/>
  <c r="E736" i="10"/>
  <c r="E71" i="10"/>
  <c r="E737" i="10"/>
  <c r="F71" i="10"/>
  <c r="E746" i="10"/>
  <c r="O71" i="10"/>
  <c r="E810" i="10"/>
  <c r="CA71" i="10"/>
  <c r="E763" i="10"/>
  <c r="AF71" i="10"/>
  <c r="E764" i="10"/>
  <c r="AG71" i="10"/>
  <c r="E812" i="10"/>
  <c r="CC71" i="10"/>
  <c r="E797" i="10"/>
  <c r="BN71" i="10"/>
  <c r="E807" i="10"/>
  <c r="BX71" i="10"/>
  <c r="E751" i="10"/>
  <c r="T71" i="10"/>
  <c r="E759" i="10"/>
  <c r="AB71" i="10"/>
  <c r="E753" i="10"/>
  <c r="V71" i="10"/>
  <c r="E754" i="10"/>
  <c r="W71" i="10"/>
  <c r="E771" i="10"/>
  <c r="AN71" i="10"/>
  <c r="E780" i="10"/>
  <c r="AW71" i="10"/>
  <c r="E741" i="10"/>
  <c r="J71" i="10"/>
  <c r="E805" i="10"/>
  <c r="BV71" i="10"/>
  <c r="E782" i="10"/>
  <c r="AY71" i="10"/>
  <c r="E796" i="10"/>
  <c r="BM71" i="10"/>
  <c r="E808" i="10"/>
  <c r="BY71" i="10"/>
  <c r="E800" i="10"/>
  <c r="BQ71" i="10"/>
  <c r="E777" i="10"/>
  <c r="AT71" i="10"/>
  <c r="CE48" i="10"/>
  <c r="C62" i="10"/>
  <c r="E735" i="10"/>
  <c r="D71" i="10"/>
  <c r="E769" i="10"/>
  <c r="AL71" i="10"/>
  <c r="E778" i="10"/>
  <c r="AU71" i="10"/>
  <c r="E801" i="10"/>
  <c r="BR71" i="10"/>
  <c r="E795" i="10"/>
  <c r="BL71" i="10"/>
  <c r="E756" i="10"/>
  <c r="Y71" i="10"/>
  <c r="E765" i="10"/>
  <c r="AH71" i="10"/>
  <c r="N816" i="10"/>
  <c r="K612" i="10"/>
  <c r="C465" i="10"/>
  <c r="E783" i="10"/>
  <c r="AZ71" i="10"/>
  <c r="E774" i="10"/>
  <c r="AQ71" i="10"/>
  <c r="E779" i="10"/>
  <c r="AV71" i="10"/>
  <c r="E742" i="10"/>
  <c r="K71" i="10"/>
  <c r="E745" i="10"/>
  <c r="N71" i="10"/>
  <c r="E787" i="10"/>
  <c r="BD71" i="10"/>
  <c r="E757" i="10"/>
  <c r="Z71" i="10"/>
  <c r="E760" i="10"/>
  <c r="AC71" i="10"/>
  <c r="E750" i="10"/>
  <c r="S71" i="10"/>
  <c r="E806" i="10"/>
  <c r="BW71" i="10"/>
  <c r="E768" i="10"/>
  <c r="AK71" i="10"/>
  <c r="E752" i="10"/>
  <c r="U71" i="10"/>
  <c r="E758" i="10"/>
  <c r="AA71" i="10"/>
  <c r="E793" i="10"/>
  <c r="BJ71" i="10"/>
  <c r="E786" i="10"/>
  <c r="BC71" i="10"/>
  <c r="E739" i="10"/>
  <c r="H71" i="10"/>
  <c r="E803" i="10"/>
  <c r="BT71" i="10"/>
  <c r="E772" i="10"/>
  <c r="AO71" i="10"/>
  <c r="E773" i="10"/>
  <c r="AP71" i="10"/>
  <c r="J735" i="10"/>
  <c r="J815" i="10" s="1"/>
  <c r="CE67" i="10"/>
  <c r="E785" i="10"/>
  <c r="BB71" i="10"/>
  <c r="E761" i="10"/>
  <c r="AD71" i="10"/>
  <c r="E792" i="10"/>
  <c r="BI71" i="10"/>
  <c r="E770" i="10"/>
  <c r="AM71" i="10"/>
  <c r="E748" i="10"/>
  <c r="Q71" i="10"/>
  <c r="E743" i="10"/>
  <c r="L71" i="10"/>
  <c r="E791" i="10"/>
  <c r="BH71" i="10"/>
  <c r="E775" i="10"/>
  <c r="AR71" i="10"/>
  <c r="E776" i="10"/>
  <c r="AS71" i="10"/>
  <c r="E809" i="10"/>
  <c r="BZ71" i="10"/>
  <c r="E794" i="10"/>
  <c r="BK71" i="10"/>
  <c r="E747" i="10"/>
  <c r="P71" i="10"/>
  <c r="E811" i="10"/>
  <c r="CB71" i="10"/>
  <c r="E788" i="10"/>
  <c r="BE71" i="10"/>
  <c r="E781" i="10"/>
  <c r="AX71" i="10"/>
  <c r="E766" i="10"/>
  <c r="AI71" i="10"/>
  <c r="E744" i="10"/>
  <c r="M71" i="10"/>
  <c r="E798" i="10"/>
  <c r="BO71" i="10"/>
  <c r="E799" i="10"/>
  <c r="BP71" i="10"/>
  <c r="E738" i="10"/>
  <c r="G71" i="10"/>
  <c r="E802" i="10"/>
  <c r="BS71" i="10"/>
  <c r="E755" i="10"/>
  <c r="X71" i="10"/>
  <c r="E740" i="10"/>
  <c r="I71" i="10"/>
  <c r="E804" i="10"/>
  <c r="BU71" i="10"/>
  <c r="E789" i="10"/>
  <c r="BF71" i="10"/>
  <c r="C693" i="10" l="1"/>
  <c r="C521" i="10"/>
  <c r="C621" i="10"/>
  <c r="C561" i="10"/>
  <c r="C707" i="10"/>
  <c r="C535" i="10"/>
  <c r="G535" i="10" s="1"/>
  <c r="C699" i="10"/>
  <c r="C527" i="10"/>
  <c r="G527" i="10" s="1"/>
  <c r="C712" i="10"/>
  <c r="C540" i="10"/>
  <c r="G540" i="10" s="1"/>
  <c r="C711" i="10"/>
  <c r="C539" i="10"/>
  <c r="G539" i="10" s="1"/>
  <c r="C544" i="10"/>
  <c r="C625" i="10"/>
  <c r="C705" i="10"/>
  <c r="C533" i="10"/>
  <c r="G533" i="10" s="1"/>
  <c r="C685" i="10"/>
  <c r="C513" i="10"/>
  <c r="G513" i="10" s="1"/>
  <c r="C526" i="10"/>
  <c r="C698" i="10"/>
  <c r="C671" i="10"/>
  <c r="C499" i="10"/>
  <c r="G499" i="10" s="1"/>
  <c r="C683" i="10"/>
  <c r="C511" i="10"/>
  <c r="C574" i="10"/>
  <c r="C620" i="10"/>
  <c r="C554" i="10"/>
  <c r="C634" i="10"/>
  <c r="C541" i="10"/>
  <c r="C713" i="10"/>
  <c r="C614" i="10"/>
  <c r="C550" i="10"/>
  <c r="C646" i="10"/>
  <c r="C571" i="10"/>
  <c r="C677" i="10"/>
  <c r="C505" i="10"/>
  <c r="G505" i="10" s="1"/>
  <c r="C695" i="10"/>
  <c r="C523" i="10"/>
  <c r="G523" i="10" s="1"/>
  <c r="C706" i="10"/>
  <c r="C534" i="10"/>
  <c r="G534" i="10" s="1"/>
  <c r="C617" i="10"/>
  <c r="C555" i="10"/>
  <c r="C643" i="10"/>
  <c r="C568" i="10"/>
  <c r="C549" i="10"/>
  <c r="C624" i="10"/>
  <c r="C708" i="10"/>
  <c r="C536" i="10"/>
  <c r="G536" i="10" s="1"/>
  <c r="C631" i="10"/>
  <c r="C542" i="10"/>
  <c r="C556" i="10"/>
  <c r="C635" i="10"/>
  <c r="C517" i="10"/>
  <c r="C689" i="10"/>
  <c r="C690" i="10"/>
  <c r="C518" i="10"/>
  <c r="C703" i="10"/>
  <c r="C531" i="10"/>
  <c r="G531" i="10" s="1"/>
  <c r="C562" i="10"/>
  <c r="C623" i="10"/>
  <c r="C642" i="10"/>
  <c r="C567" i="10"/>
  <c r="C688" i="10"/>
  <c r="C516" i="10"/>
  <c r="C569" i="10"/>
  <c r="C644" i="10"/>
  <c r="C697" i="10"/>
  <c r="C525" i="10"/>
  <c r="G525" i="10" s="1"/>
  <c r="C670" i="10"/>
  <c r="C498" i="10"/>
  <c r="C696" i="10"/>
  <c r="C524" i="10"/>
  <c r="E734" i="10"/>
  <c r="E815" i="10" s="1"/>
  <c r="C71" i="10"/>
  <c r="CE62" i="10"/>
  <c r="C508" i="10"/>
  <c r="C680" i="10"/>
  <c r="C636" i="10"/>
  <c r="C553" i="10"/>
  <c r="C691" i="10"/>
  <c r="C519" i="10"/>
  <c r="G519" i="10" s="1"/>
  <c r="C629" i="10"/>
  <c r="C551" i="10"/>
  <c r="C678" i="10"/>
  <c r="C506" i="10"/>
  <c r="G506" i="10" s="1"/>
  <c r="C710" i="10"/>
  <c r="C538" i="10"/>
  <c r="G538" i="10" s="1"/>
  <c r="C632" i="10"/>
  <c r="C547" i="10"/>
  <c r="C520" i="10"/>
  <c r="C692" i="10"/>
  <c r="C684" i="10"/>
  <c r="C512" i="10"/>
  <c r="C679" i="10"/>
  <c r="C507" i="10"/>
  <c r="G507" i="10" s="1"/>
  <c r="C545" i="10"/>
  <c r="C628" i="10"/>
  <c r="C558" i="10"/>
  <c r="C638" i="10"/>
  <c r="C674" i="10"/>
  <c r="C502" i="10"/>
  <c r="G502" i="10" s="1"/>
  <c r="C702" i="10"/>
  <c r="C530" i="10"/>
  <c r="G530" i="10" s="1"/>
  <c r="C627" i="10"/>
  <c r="C560" i="10"/>
  <c r="C564" i="10"/>
  <c r="C639" i="10"/>
  <c r="C573" i="10"/>
  <c r="C622" i="10"/>
  <c r="C682" i="10"/>
  <c r="C510" i="10"/>
  <c r="C640" i="10"/>
  <c r="C565" i="10"/>
  <c r="C637" i="10"/>
  <c r="C557" i="10"/>
  <c r="C669" i="10"/>
  <c r="C497" i="10"/>
  <c r="G497" i="10" s="1"/>
  <c r="C645" i="10"/>
  <c r="C570" i="10"/>
  <c r="C675" i="10"/>
  <c r="C503" i="10"/>
  <c r="G503" i="10" s="1"/>
  <c r="C687" i="10"/>
  <c r="C515" i="10"/>
  <c r="C619" i="10"/>
  <c r="C559" i="10"/>
  <c r="C572" i="10"/>
  <c r="C647" i="10"/>
  <c r="C552" i="10"/>
  <c r="C618" i="10"/>
  <c r="C701" i="10"/>
  <c r="C529" i="10"/>
  <c r="C626" i="10"/>
  <c r="C563" i="10"/>
  <c r="C630" i="10"/>
  <c r="C546" i="10"/>
  <c r="C616" i="10"/>
  <c r="C543" i="10"/>
  <c r="C633" i="10"/>
  <c r="C548" i="10"/>
  <c r="C566" i="10"/>
  <c r="C641" i="10"/>
  <c r="C500" i="10"/>
  <c r="G500" i="10" s="1"/>
  <c r="C672" i="10"/>
  <c r="C700" i="10"/>
  <c r="C528" i="10"/>
  <c r="G528" i="10" s="1"/>
  <c r="C509" i="10"/>
  <c r="C681" i="10"/>
  <c r="C709" i="10"/>
  <c r="C537" i="10"/>
  <c r="G537" i="10" s="1"/>
  <c r="C704" i="10"/>
  <c r="C532" i="10"/>
  <c r="G532" i="10" s="1"/>
  <c r="J816" i="10"/>
  <c r="C433" i="10"/>
  <c r="C501" i="10"/>
  <c r="G501" i="10" s="1"/>
  <c r="C673" i="10"/>
  <c r="C686" i="10"/>
  <c r="C514" i="10"/>
  <c r="C694" i="10"/>
  <c r="C522" i="10"/>
  <c r="C676" i="10"/>
  <c r="C504" i="10"/>
  <c r="G504" i="10" s="1"/>
  <c r="G545" i="10" l="1"/>
  <c r="H545" i="10"/>
  <c r="G550" i="10"/>
  <c r="H550" i="10"/>
  <c r="G522" i="10"/>
  <c r="H522" i="10" s="1"/>
  <c r="G498" i="10"/>
  <c r="H498" i="10" s="1"/>
  <c r="G524" i="10"/>
  <c r="H524" i="10" s="1"/>
  <c r="G510" i="10"/>
  <c r="H510" i="10" s="1"/>
  <c r="G514" i="10"/>
  <c r="H514" i="10" s="1"/>
  <c r="G512" i="10"/>
  <c r="H512" i="10"/>
  <c r="G517" i="10"/>
  <c r="H517" i="10" s="1"/>
  <c r="G508" i="10"/>
  <c r="H508" i="10" s="1"/>
  <c r="G518" i="10"/>
  <c r="H518" i="10"/>
  <c r="G511" i="10"/>
  <c r="H511" i="10"/>
  <c r="G529" i="10"/>
  <c r="H529" i="10" s="1"/>
  <c r="G515" i="10"/>
  <c r="H515" i="10" s="1"/>
  <c r="E816" i="10"/>
  <c r="C428" i="10"/>
  <c r="C441" i="10" s="1"/>
  <c r="CE71" i="10"/>
  <c r="C716" i="10" s="1"/>
  <c r="G526" i="10"/>
  <c r="H526" i="10" s="1"/>
  <c r="G516" i="10"/>
  <c r="H516" i="10"/>
  <c r="G546" i="10"/>
  <c r="H546" i="10"/>
  <c r="C648" i="10"/>
  <c r="M716" i="10" s="1"/>
  <c r="Y816" i="10" s="1"/>
  <c r="D615" i="10"/>
  <c r="G544" i="10"/>
  <c r="H544" i="10" s="1"/>
  <c r="G509" i="10"/>
  <c r="H509" i="10" s="1"/>
  <c r="G520" i="10"/>
  <c r="H520" i="10" s="1"/>
  <c r="C668" i="10"/>
  <c r="C715" i="10" s="1"/>
  <c r="C496" i="10"/>
  <c r="H521" i="10"/>
  <c r="G521" i="10"/>
  <c r="G496" i="10" l="1"/>
  <c r="H496" i="10"/>
  <c r="D712" i="10"/>
  <c r="D704" i="10"/>
  <c r="D696" i="10"/>
  <c r="D709" i="10"/>
  <c r="D701" i="10"/>
  <c r="D706" i="10"/>
  <c r="D698" i="10"/>
  <c r="D708" i="10"/>
  <c r="D700" i="10"/>
  <c r="D713" i="10"/>
  <c r="D705" i="10"/>
  <c r="D697" i="10"/>
  <c r="D690" i="10"/>
  <c r="D682" i="10"/>
  <c r="D674" i="10"/>
  <c r="D710" i="10"/>
  <c r="D695" i="10"/>
  <c r="D687" i="10"/>
  <c r="D679" i="10"/>
  <c r="D671" i="10"/>
  <c r="D702" i="10"/>
  <c r="D692" i="10"/>
  <c r="D684" i="10"/>
  <c r="D676" i="10"/>
  <c r="D668" i="10"/>
  <c r="D703" i="10"/>
  <c r="D683" i="10"/>
  <c r="D632" i="10"/>
  <c r="D631" i="10"/>
  <c r="D630" i="10"/>
  <c r="D624" i="10"/>
  <c r="D716" i="10"/>
  <c r="D691" i="10"/>
  <c r="D670" i="10"/>
  <c r="D669" i="10"/>
  <c r="D640" i="10"/>
  <c r="D637" i="10"/>
  <c r="D633" i="10"/>
  <c r="D620" i="10"/>
  <c r="D616" i="10"/>
  <c r="D678" i="10"/>
  <c r="D677" i="10"/>
  <c r="D646" i="10"/>
  <c r="D643" i="10"/>
  <c r="D627" i="10"/>
  <c r="D711" i="10"/>
  <c r="D699" i="10"/>
  <c r="D686" i="10"/>
  <c r="D685" i="10"/>
  <c r="D638" i="10"/>
  <c r="D634" i="10"/>
  <c r="D623" i="10"/>
  <c r="D619" i="10"/>
  <c r="D681" i="10"/>
  <c r="D680" i="10"/>
  <c r="D647" i="10"/>
  <c r="D644" i="10"/>
  <c r="D635" i="10"/>
  <c r="D628" i="10"/>
  <c r="D622" i="10"/>
  <c r="D618" i="10"/>
  <c r="D693" i="10"/>
  <c r="D636" i="10"/>
  <c r="D626" i="10"/>
  <c r="D672" i="10"/>
  <c r="D689" i="10"/>
  <c r="D639" i="10"/>
  <c r="D625" i="10"/>
  <c r="D617" i="10"/>
  <c r="D641" i="10"/>
  <c r="D673" i="10"/>
  <c r="D629" i="10"/>
  <c r="D694" i="10"/>
  <c r="D688" i="10"/>
  <c r="D642" i="10"/>
  <c r="D675" i="10"/>
  <c r="D707" i="10"/>
  <c r="D621" i="10"/>
  <c r="D645" i="10"/>
  <c r="D715" i="10" l="1"/>
  <c r="E623" i="10"/>
  <c r="E612" i="10"/>
  <c r="E709" i="10" l="1"/>
  <c r="E701" i="10"/>
  <c r="E706" i="10"/>
  <c r="E698" i="10"/>
  <c r="E711" i="10"/>
  <c r="E703" i="10"/>
  <c r="E713" i="10"/>
  <c r="E705" i="10"/>
  <c r="E697" i="10"/>
  <c r="E710" i="10"/>
  <c r="E702" i="10"/>
  <c r="E695" i="10"/>
  <c r="E687" i="10"/>
  <c r="E679" i="10"/>
  <c r="E671" i="10"/>
  <c r="E712" i="10"/>
  <c r="E708" i="10"/>
  <c r="E692" i="10"/>
  <c r="E684" i="10"/>
  <c r="E676" i="10"/>
  <c r="E668" i="10"/>
  <c r="E704" i="10"/>
  <c r="E700" i="10"/>
  <c r="E689" i="10"/>
  <c r="E681" i="10"/>
  <c r="E673" i="10"/>
  <c r="E716" i="10"/>
  <c r="E691" i="10"/>
  <c r="E690" i="10"/>
  <c r="E670" i="10"/>
  <c r="E669" i="10"/>
  <c r="E640" i="10"/>
  <c r="E637" i="10"/>
  <c r="E633" i="10"/>
  <c r="E696" i="10"/>
  <c r="E678" i="10"/>
  <c r="E677" i="10"/>
  <c r="E646" i="10"/>
  <c r="E643" i="10"/>
  <c r="E627" i="10"/>
  <c r="E699" i="10"/>
  <c r="E686" i="10"/>
  <c r="E685" i="10"/>
  <c r="E638" i="10"/>
  <c r="E634" i="10"/>
  <c r="E694" i="10"/>
  <c r="E693" i="10"/>
  <c r="E672" i="10"/>
  <c r="E641" i="10"/>
  <c r="E625" i="10"/>
  <c r="E707" i="10"/>
  <c r="E688" i="10"/>
  <c r="E639" i="10"/>
  <c r="E644" i="10"/>
  <c r="E636" i="10"/>
  <c r="E630" i="10"/>
  <c r="E626" i="10"/>
  <c r="E680" i="10"/>
  <c r="E674" i="10"/>
  <c r="E675" i="10"/>
  <c r="E683" i="10"/>
  <c r="E647" i="10"/>
  <c r="E635" i="10"/>
  <c r="E632" i="10"/>
  <c r="E629" i="10"/>
  <c r="E645" i="10"/>
  <c r="E642" i="10"/>
  <c r="E628" i="10"/>
  <c r="E624" i="10"/>
  <c r="E682" i="10"/>
  <c r="E631" i="10"/>
  <c r="E715" i="10" l="1"/>
  <c r="F624" i="10"/>
  <c r="F706" i="10" l="1"/>
  <c r="F698" i="10"/>
  <c r="F711" i="10"/>
  <c r="F703" i="10"/>
  <c r="F708" i="10"/>
  <c r="F700" i="10"/>
  <c r="F710" i="10"/>
  <c r="F702" i="10"/>
  <c r="F716" i="10"/>
  <c r="F707" i="10"/>
  <c r="F699" i="10"/>
  <c r="F712" i="10"/>
  <c r="F692" i="10"/>
  <c r="F684" i="10"/>
  <c r="F676" i="10"/>
  <c r="F668" i="10"/>
  <c r="F704" i="10"/>
  <c r="F689" i="10"/>
  <c r="F681" i="10"/>
  <c r="F673" i="10"/>
  <c r="F696" i="10"/>
  <c r="F694" i="10"/>
  <c r="F686" i="10"/>
  <c r="F678" i="10"/>
  <c r="F670" i="10"/>
  <c r="F647" i="10"/>
  <c r="F646" i="10"/>
  <c r="F645" i="10"/>
  <c r="F709" i="10"/>
  <c r="F677" i="10"/>
  <c r="F643" i="10"/>
  <c r="F627" i="10"/>
  <c r="F685" i="10"/>
  <c r="F638" i="10"/>
  <c r="F634" i="10"/>
  <c r="F705" i="10"/>
  <c r="F693" i="10"/>
  <c r="F672" i="10"/>
  <c r="F671" i="10"/>
  <c r="F641" i="10"/>
  <c r="F625" i="10"/>
  <c r="F680" i="10"/>
  <c r="F679" i="10"/>
  <c r="F644" i="10"/>
  <c r="F635" i="10"/>
  <c r="F628" i="10"/>
  <c r="F713" i="10"/>
  <c r="F701" i="10"/>
  <c r="F695" i="10"/>
  <c r="F675" i="10"/>
  <c r="F674" i="10"/>
  <c r="F642" i="10"/>
  <c r="F636" i="10"/>
  <c r="F629" i="10"/>
  <c r="F626" i="10"/>
  <c r="F690" i="10"/>
  <c r="F640" i="10"/>
  <c r="F697" i="10"/>
  <c r="F683" i="10"/>
  <c r="F639" i="10"/>
  <c r="F632" i="10"/>
  <c r="F669" i="10"/>
  <c r="F688" i="10"/>
  <c r="F682" i="10"/>
  <c r="F631" i="10"/>
  <c r="F637" i="10"/>
  <c r="F691" i="10"/>
  <c r="F687" i="10"/>
  <c r="F633" i="10"/>
  <c r="F630" i="10"/>
  <c r="F715" i="10" l="1"/>
  <c r="G625" i="10"/>
  <c r="G711" i="10" l="1"/>
  <c r="G703" i="10"/>
  <c r="G695" i="10"/>
  <c r="G708" i="10"/>
  <c r="G700" i="10"/>
  <c r="G713" i="10"/>
  <c r="G705" i="10"/>
  <c r="G697" i="10"/>
  <c r="G716" i="10"/>
  <c r="G707" i="10"/>
  <c r="G699" i="10"/>
  <c r="G712" i="10"/>
  <c r="G704" i="10"/>
  <c r="G696" i="10"/>
  <c r="G710" i="10"/>
  <c r="G689" i="10"/>
  <c r="G681" i="10"/>
  <c r="G673" i="10"/>
  <c r="G706" i="10"/>
  <c r="G702" i="10"/>
  <c r="G694" i="10"/>
  <c r="G686" i="10"/>
  <c r="G678" i="10"/>
  <c r="G670" i="10"/>
  <c r="G647" i="10"/>
  <c r="G646" i="10"/>
  <c r="G645" i="10"/>
  <c r="G698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85" i="10"/>
  <c r="G684" i="10"/>
  <c r="G693" i="10"/>
  <c r="G692" i="10"/>
  <c r="G672" i="10"/>
  <c r="G671" i="10"/>
  <c r="G680" i="10"/>
  <c r="G679" i="10"/>
  <c r="G628" i="10"/>
  <c r="G688" i="10"/>
  <c r="G687" i="10"/>
  <c r="G682" i="10"/>
  <c r="G631" i="10"/>
  <c r="G630" i="10"/>
  <c r="G674" i="10"/>
  <c r="G668" i="10"/>
  <c r="G677" i="10"/>
  <c r="G629" i="10"/>
  <c r="G627" i="10"/>
  <c r="G701" i="10"/>
  <c r="G676" i="10"/>
  <c r="G709" i="10"/>
  <c r="G669" i="10"/>
  <c r="G626" i="10"/>
  <c r="G690" i="10"/>
  <c r="G715" i="10" l="1"/>
  <c r="H628" i="10"/>
  <c r="H708" i="10" l="1"/>
  <c r="H700" i="10"/>
  <c r="H713" i="10"/>
  <c r="H705" i="10"/>
  <c r="H697" i="10"/>
  <c r="H710" i="10"/>
  <c r="H702" i="10"/>
  <c r="H712" i="10"/>
  <c r="H704" i="10"/>
  <c r="H696" i="10"/>
  <c r="H709" i="10"/>
  <c r="H701" i="10"/>
  <c r="H706" i="10"/>
  <c r="H694" i="10"/>
  <c r="H686" i="10"/>
  <c r="H678" i="10"/>
  <c r="H670" i="10"/>
  <c r="H647" i="10"/>
  <c r="H646" i="10"/>
  <c r="H645" i="10"/>
  <c r="H698" i="10"/>
  <c r="H691" i="10"/>
  <c r="H683" i="10"/>
  <c r="H675" i="10"/>
  <c r="H644" i="10"/>
  <c r="H643" i="10"/>
  <c r="H642" i="10"/>
  <c r="H641" i="10"/>
  <c r="H640" i="10"/>
  <c r="H639" i="10"/>
  <c r="H638" i="10"/>
  <c r="H688" i="10"/>
  <c r="H680" i="10"/>
  <c r="H672" i="10"/>
  <c r="H716" i="10"/>
  <c r="H693" i="10"/>
  <c r="H692" i="10"/>
  <c r="H671" i="10"/>
  <c r="H634" i="10"/>
  <c r="H699" i="10"/>
  <c r="H679" i="10"/>
  <c r="H711" i="10"/>
  <c r="H687" i="10"/>
  <c r="H635" i="10"/>
  <c r="H674" i="10"/>
  <c r="H673" i="10"/>
  <c r="H629" i="10"/>
  <c r="H690" i="10"/>
  <c r="H689" i="10"/>
  <c r="H669" i="10"/>
  <c r="H668" i="10"/>
  <c r="H632" i="10"/>
  <c r="H677" i="10"/>
  <c r="H633" i="10"/>
  <c r="H695" i="10"/>
  <c r="H703" i="10"/>
  <c r="H682" i="10"/>
  <c r="H676" i="10"/>
  <c r="H631" i="10"/>
  <c r="H685" i="10"/>
  <c r="H707" i="10"/>
  <c r="H681" i="10"/>
  <c r="H637" i="10"/>
  <c r="H630" i="10"/>
  <c r="H684" i="10"/>
  <c r="H636" i="10"/>
  <c r="H715" i="10" l="1"/>
  <c r="I629" i="10"/>
  <c r="I713" i="10" l="1"/>
  <c r="I705" i="10"/>
  <c r="I697" i="10"/>
  <c r="I710" i="10"/>
  <c r="I702" i="10"/>
  <c r="I716" i="10"/>
  <c r="I707" i="10"/>
  <c r="I699" i="10"/>
  <c r="I709" i="10"/>
  <c r="I701" i="10"/>
  <c r="I706" i="10"/>
  <c r="I698" i="10"/>
  <c r="I708" i="10"/>
  <c r="I704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700" i="10"/>
  <c r="I696" i="10"/>
  <c r="I688" i="10"/>
  <c r="I680" i="10"/>
  <c r="I672" i="10"/>
  <c r="I693" i="10"/>
  <c r="I685" i="10"/>
  <c r="I677" i="10"/>
  <c r="I669" i="10"/>
  <c r="I712" i="10"/>
  <c r="I679" i="10"/>
  <c r="I678" i="10"/>
  <c r="I646" i="10"/>
  <c r="I711" i="10"/>
  <c r="I687" i="10"/>
  <c r="I686" i="10"/>
  <c r="I694" i="10"/>
  <c r="I674" i="10"/>
  <c r="I673" i="10"/>
  <c r="I695" i="10"/>
  <c r="I682" i="10"/>
  <c r="I681" i="10"/>
  <c r="I647" i="10"/>
  <c r="I631" i="10"/>
  <c r="I630" i="10"/>
  <c r="I676" i="10"/>
  <c r="I645" i="10"/>
  <c r="I671" i="10"/>
  <c r="I632" i="10"/>
  <c r="I689" i="10"/>
  <c r="I690" i="10"/>
  <c r="I703" i="10"/>
  <c r="I692" i="10"/>
  <c r="I684" i="10"/>
  <c r="I670" i="10"/>
  <c r="I668" i="10"/>
  <c r="I715" i="10" l="1"/>
  <c r="J630" i="10"/>
  <c r="J710" i="10" l="1"/>
  <c r="J702" i="10"/>
  <c r="J716" i="10"/>
  <c r="J707" i="10"/>
  <c r="J699" i="10"/>
  <c r="J712" i="10"/>
  <c r="J704" i="10"/>
  <c r="J696" i="10"/>
  <c r="J706" i="10"/>
  <c r="J698" i="10"/>
  <c r="J711" i="10"/>
  <c r="J703" i="10"/>
  <c r="J695" i="10"/>
  <c r="J700" i="10"/>
  <c r="J688" i="10"/>
  <c r="J680" i="10"/>
  <c r="J672" i="10"/>
  <c r="J693" i="10"/>
  <c r="J685" i="10"/>
  <c r="J677" i="10"/>
  <c r="J669" i="10"/>
  <c r="J690" i="10"/>
  <c r="J682" i="10"/>
  <c r="J674" i="10"/>
  <c r="J687" i="10"/>
  <c r="J686" i="10"/>
  <c r="J638" i="10"/>
  <c r="J705" i="10"/>
  <c r="J694" i="10"/>
  <c r="J673" i="10"/>
  <c r="J641" i="10"/>
  <c r="J635" i="10"/>
  <c r="J708" i="10"/>
  <c r="J681" i="10"/>
  <c r="J647" i="10"/>
  <c r="J644" i="10"/>
  <c r="J631" i="10"/>
  <c r="J701" i="10"/>
  <c r="J689" i="10"/>
  <c r="J668" i="10"/>
  <c r="J639" i="10"/>
  <c r="J636" i="10"/>
  <c r="J632" i="10"/>
  <c r="J684" i="10"/>
  <c r="J683" i="10"/>
  <c r="J637" i="10"/>
  <c r="J633" i="10"/>
  <c r="J713" i="10"/>
  <c r="J697" i="10"/>
  <c r="J692" i="10"/>
  <c r="J676" i="10"/>
  <c r="J670" i="10"/>
  <c r="J643" i="10"/>
  <c r="J679" i="10"/>
  <c r="J642" i="10"/>
  <c r="J678" i="10"/>
  <c r="J709" i="10"/>
  <c r="J691" i="10"/>
  <c r="J646" i="10"/>
  <c r="J634" i="10"/>
  <c r="J675" i="10"/>
  <c r="J645" i="10"/>
  <c r="J640" i="10"/>
  <c r="J671" i="10"/>
  <c r="J715" i="10" l="1"/>
  <c r="K644" i="10"/>
  <c r="L647" i="10"/>
  <c r="L712" i="10" l="1"/>
  <c r="L704" i="10"/>
  <c r="L696" i="10"/>
  <c r="L709" i="10"/>
  <c r="L701" i="10"/>
  <c r="L706" i="10"/>
  <c r="L698" i="10"/>
  <c r="L708" i="10"/>
  <c r="M708" i="10" s="1"/>
  <c r="Y774" i="10" s="1"/>
  <c r="L700" i="10"/>
  <c r="L713" i="10"/>
  <c r="L705" i="10"/>
  <c r="L697" i="10"/>
  <c r="L690" i="10"/>
  <c r="L682" i="10"/>
  <c r="L674" i="10"/>
  <c r="L687" i="10"/>
  <c r="M687" i="10" s="1"/>
  <c r="Y753" i="10" s="1"/>
  <c r="L679" i="10"/>
  <c r="L671" i="10"/>
  <c r="L716" i="10"/>
  <c r="L711" i="10"/>
  <c r="L692" i="10"/>
  <c r="L684" i="10"/>
  <c r="L676" i="10"/>
  <c r="M676" i="10" s="1"/>
  <c r="Y742" i="10" s="1"/>
  <c r="L668" i="10"/>
  <c r="L699" i="10"/>
  <c r="L681" i="10"/>
  <c r="L680" i="10"/>
  <c r="L702" i="10"/>
  <c r="L689" i="10"/>
  <c r="L688" i="10"/>
  <c r="M688" i="10" s="1"/>
  <c r="Y754" i="10" s="1"/>
  <c r="L695" i="10"/>
  <c r="M695" i="10" s="1"/>
  <c r="Y761" i="10" s="1"/>
  <c r="L675" i="10"/>
  <c r="M675" i="10" s="1"/>
  <c r="Y741" i="10" s="1"/>
  <c r="L707" i="10"/>
  <c r="L683" i="10"/>
  <c r="L703" i="10"/>
  <c r="L678" i="10"/>
  <c r="L677" i="10"/>
  <c r="L686" i="10"/>
  <c r="M686" i="10" s="1"/>
  <c r="Y752" i="10" s="1"/>
  <c r="L670" i="10"/>
  <c r="M670" i="10" s="1"/>
  <c r="Y736" i="10" s="1"/>
  <c r="L673" i="10"/>
  <c r="M673" i="10" s="1"/>
  <c r="Y739" i="10" s="1"/>
  <c r="L710" i="10"/>
  <c r="L691" i="10"/>
  <c r="L685" i="10"/>
  <c r="L694" i="10"/>
  <c r="L669" i="10"/>
  <c r="M669" i="10" s="1"/>
  <c r="Y735" i="10" s="1"/>
  <c r="L672" i="10"/>
  <c r="L693" i="10"/>
  <c r="K716" i="10"/>
  <c r="K707" i="10"/>
  <c r="K699" i="10"/>
  <c r="K712" i="10"/>
  <c r="K704" i="10"/>
  <c r="K696" i="10"/>
  <c r="K709" i="10"/>
  <c r="K701" i="10"/>
  <c r="K711" i="10"/>
  <c r="K703" i="10"/>
  <c r="K695" i="10"/>
  <c r="K708" i="10"/>
  <c r="K700" i="10"/>
  <c r="K702" i="10"/>
  <c r="K698" i="10"/>
  <c r="K693" i="10"/>
  <c r="K685" i="10"/>
  <c r="K677" i="10"/>
  <c r="K669" i="10"/>
  <c r="K690" i="10"/>
  <c r="K682" i="10"/>
  <c r="K674" i="10"/>
  <c r="K713" i="10"/>
  <c r="K687" i="10"/>
  <c r="K679" i="10"/>
  <c r="K671" i="10"/>
  <c r="K705" i="10"/>
  <c r="K694" i="10"/>
  <c r="K673" i="10"/>
  <c r="K672" i="10"/>
  <c r="K681" i="10"/>
  <c r="K680" i="10"/>
  <c r="K689" i="10"/>
  <c r="K688" i="10"/>
  <c r="K668" i="10"/>
  <c r="K676" i="10"/>
  <c r="K675" i="10"/>
  <c r="K710" i="10"/>
  <c r="K697" i="10"/>
  <c r="K692" i="10"/>
  <c r="K691" i="10"/>
  <c r="K670" i="10"/>
  <c r="K706" i="10"/>
  <c r="K683" i="10"/>
  <c r="K686" i="10"/>
  <c r="K684" i="10"/>
  <c r="K678" i="10"/>
  <c r="M674" i="10" l="1"/>
  <c r="Y740" i="10" s="1"/>
  <c r="M698" i="10"/>
  <c r="Y764" i="10" s="1"/>
  <c r="M677" i="10"/>
  <c r="Y743" i="10" s="1"/>
  <c r="M690" i="10"/>
  <c r="Y756" i="10" s="1"/>
  <c r="M703" i="10"/>
  <c r="Y769" i="10" s="1"/>
  <c r="M672" i="10"/>
  <c r="Y738" i="10" s="1"/>
  <c r="M684" i="10"/>
  <c r="Y750" i="10" s="1"/>
  <c r="M682" i="10"/>
  <c r="Y748" i="10" s="1"/>
  <c r="M706" i="10"/>
  <c r="Y772" i="10" s="1"/>
  <c r="M689" i="10"/>
  <c r="Y755" i="10" s="1"/>
  <c r="M694" i="10"/>
  <c r="Y760" i="10" s="1"/>
  <c r="M678" i="10"/>
  <c r="Y744" i="10" s="1"/>
  <c r="M702" i="10"/>
  <c r="Y768" i="10" s="1"/>
  <c r="M711" i="10"/>
  <c r="Y777" i="10" s="1"/>
  <c r="M697" i="10"/>
  <c r="Y763" i="10" s="1"/>
  <c r="M709" i="10"/>
  <c r="Y775" i="10" s="1"/>
  <c r="M701" i="10"/>
  <c r="Y767" i="10" s="1"/>
  <c r="M685" i="10"/>
  <c r="Y751" i="10" s="1"/>
  <c r="M680" i="10"/>
  <c r="Y746" i="10" s="1"/>
  <c r="M705" i="10"/>
  <c r="Y771" i="10" s="1"/>
  <c r="M696" i="10"/>
  <c r="Y762" i="10" s="1"/>
  <c r="L715" i="10"/>
  <c r="M668" i="10"/>
  <c r="M691" i="10"/>
  <c r="Y757" i="10" s="1"/>
  <c r="M683" i="10"/>
  <c r="Y749" i="10" s="1"/>
  <c r="M681" i="10"/>
  <c r="Y747" i="10" s="1"/>
  <c r="M671" i="10"/>
  <c r="Y737" i="10" s="1"/>
  <c r="M713" i="10"/>
  <c r="Y779" i="10" s="1"/>
  <c r="M704" i="10"/>
  <c r="Y770" i="10" s="1"/>
  <c r="M693" i="10"/>
  <c r="Y759" i="10" s="1"/>
  <c r="M692" i="10"/>
  <c r="Y758" i="10" s="1"/>
  <c r="K715" i="10"/>
  <c r="M710" i="10"/>
  <c r="Y776" i="10" s="1"/>
  <c r="M707" i="10"/>
  <c r="Y773" i="10" s="1"/>
  <c r="M699" i="10"/>
  <c r="Y765" i="10" s="1"/>
  <c r="M679" i="10"/>
  <c r="Y745" i="10" s="1"/>
  <c r="M700" i="10"/>
  <c r="Y766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/>
  <c r="AQ75" i="1"/>
  <c r="H186" i="9" s="1"/>
  <c r="AO75" i="1"/>
  <c r="AN75" i="1"/>
  <c r="E186" i="9" s="1"/>
  <c r="AM75" i="1"/>
  <c r="D186" i="9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C470" i="1" s="1"/>
  <c r="E198" i="1"/>
  <c r="E199" i="1"/>
  <c r="C472" i="1" s="1"/>
  <c r="E200" i="1"/>
  <c r="E201" i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C432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473" i="1"/>
  <c r="F12" i="6"/>
  <c r="C464" i="1"/>
  <c r="G122" i="9"/>
  <c r="I26" i="9"/>
  <c r="H58" i="9"/>
  <c r="F90" i="9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I612" i="1"/>
  <c r="E372" i="9"/>
  <c r="AV48" i="1"/>
  <c r="AV62" i="1" s="1"/>
  <c r="B441" i="1"/>
  <c r="D612" i="1"/>
  <c r="CF76" i="1"/>
  <c r="AV52" i="1" s="1"/>
  <c r="AV67" i="1" s="1"/>
  <c r="F499" i="1"/>
  <c r="AT52" i="1"/>
  <c r="AT67" i="1" s="1"/>
  <c r="Z52" i="1"/>
  <c r="Z67" i="1" s="1"/>
  <c r="W52" i="1"/>
  <c r="W67" i="1" s="1"/>
  <c r="BB52" i="1"/>
  <c r="BB67" i="1" s="1"/>
  <c r="E52" i="1"/>
  <c r="E67" i="1" s="1"/>
  <c r="BG52" i="1"/>
  <c r="BG67" i="1" s="1"/>
  <c r="H505" i="1"/>
  <c r="H501" i="1"/>
  <c r="F501" i="1"/>
  <c r="F497" i="1"/>
  <c r="H497" i="1"/>
  <c r="H499" i="1"/>
  <c r="AP48" i="1" l="1"/>
  <c r="AP62" i="1" s="1"/>
  <c r="BS52" i="1"/>
  <c r="BS67" i="1" s="1"/>
  <c r="D13" i="7"/>
  <c r="F9" i="6"/>
  <c r="AN52" i="1"/>
  <c r="AN67" i="1" s="1"/>
  <c r="BI52" i="1"/>
  <c r="BI67" i="1" s="1"/>
  <c r="E273" i="9" s="1"/>
  <c r="BX52" i="1"/>
  <c r="BX67" i="1" s="1"/>
  <c r="AL52" i="1"/>
  <c r="AL67" i="1" s="1"/>
  <c r="AB52" i="1"/>
  <c r="AB67" i="1" s="1"/>
  <c r="G113" i="9" s="1"/>
  <c r="AS52" i="1"/>
  <c r="AS67" i="1" s="1"/>
  <c r="BP52" i="1"/>
  <c r="BP67" i="1" s="1"/>
  <c r="BD48" i="1"/>
  <c r="BD62" i="1" s="1"/>
  <c r="D368" i="1"/>
  <c r="C120" i="8" s="1"/>
  <c r="T48" i="1"/>
  <c r="T62" i="1" s="1"/>
  <c r="F76" i="9" s="1"/>
  <c r="Y52" i="1"/>
  <c r="Y67" i="1" s="1"/>
  <c r="AD52" i="1"/>
  <c r="AD67" i="1" s="1"/>
  <c r="I113" i="9" s="1"/>
  <c r="AG52" i="1"/>
  <c r="AG67" i="1" s="1"/>
  <c r="BT52" i="1"/>
  <c r="BT67" i="1" s="1"/>
  <c r="R52" i="1"/>
  <c r="R67" i="1" s="1"/>
  <c r="BL52" i="1"/>
  <c r="BL67" i="1" s="1"/>
  <c r="Z48" i="1"/>
  <c r="Z62" i="1" s="1"/>
  <c r="E108" i="9" s="1"/>
  <c r="AO48" i="1"/>
  <c r="AO62" i="1" s="1"/>
  <c r="F172" i="9" s="1"/>
  <c r="C469" i="1"/>
  <c r="C421" i="1"/>
  <c r="B465" i="1"/>
  <c r="BW52" i="1"/>
  <c r="BW67" i="1" s="1"/>
  <c r="AZ52" i="1"/>
  <c r="AZ67" i="1" s="1"/>
  <c r="V52" i="1"/>
  <c r="V67" i="1" s="1"/>
  <c r="CC48" i="1"/>
  <c r="CC62" i="1" s="1"/>
  <c r="AF52" i="1"/>
  <c r="AF67" i="1" s="1"/>
  <c r="D145" i="9" s="1"/>
  <c r="AR52" i="1"/>
  <c r="AR67" i="1" s="1"/>
  <c r="Q52" i="1"/>
  <c r="Q67" i="1" s="1"/>
  <c r="P52" i="1"/>
  <c r="P67" i="1" s="1"/>
  <c r="BK52" i="1"/>
  <c r="BK67" i="1" s="1"/>
  <c r="CA52" i="1"/>
  <c r="CA67" i="1" s="1"/>
  <c r="AO52" i="1"/>
  <c r="AO67" i="1" s="1"/>
  <c r="F177" i="9" s="1"/>
  <c r="BC52" i="1"/>
  <c r="BC67" i="1" s="1"/>
  <c r="F241" i="9" s="1"/>
  <c r="AH48" i="1"/>
  <c r="AH62" i="1" s="1"/>
  <c r="F140" i="9" s="1"/>
  <c r="U48" i="1"/>
  <c r="U62" i="1" s="1"/>
  <c r="C84" i="8"/>
  <c r="D463" i="1"/>
  <c r="C273" i="9"/>
  <c r="H52" i="1"/>
  <c r="H67" i="1" s="1"/>
  <c r="AH52" i="1"/>
  <c r="AH67" i="1" s="1"/>
  <c r="F145" i="9" s="1"/>
  <c r="AQ52" i="1"/>
  <c r="AQ67" i="1" s="1"/>
  <c r="H177" i="9" s="1"/>
  <c r="BA52" i="1"/>
  <c r="BA67" i="1" s="1"/>
  <c r="D241" i="9" s="1"/>
  <c r="L52" i="1"/>
  <c r="L67" i="1" s="1"/>
  <c r="I52" i="1"/>
  <c r="I67" i="1" s="1"/>
  <c r="N52" i="1"/>
  <c r="N67" i="1" s="1"/>
  <c r="X52" i="1"/>
  <c r="X67" i="1" s="1"/>
  <c r="O52" i="1"/>
  <c r="O67" i="1" s="1"/>
  <c r="BZ52" i="1"/>
  <c r="BZ67" i="1" s="1"/>
  <c r="H337" i="9" s="1"/>
  <c r="I380" i="9"/>
  <c r="BJ48" i="1"/>
  <c r="BJ62" i="1" s="1"/>
  <c r="BJ71" i="1" s="1"/>
  <c r="BG48" i="1"/>
  <c r="BG62" i="1" s="1"/>
  <c r="C268" i="9" s="1"/>
  <c r="AM48" i="1"/>
  <c r="AM62" i="1" s="1"/>
  <c r="D172" i="9" s="1"/>
  <c r="D48" i="1"/>
  <c r="D62" i="1" s="1"/>
  <c r="D12" i="9" s="1"/>
  <c r="C52" i="1"/>
  <c r="C67" i="1" s="1"/>
  <c r="BJ52" i="1"/>
  <c r="BJ67" i="1" s="1"/>
  <c r="AU52" i="1"/>
  <c r="AU67" i="1" s="1"/>
  <c r="AA48" i="1"/>
  <c r="AA62" i="1" s="1"/>
  <c r="F108" i="9" s="1"/>
  <c r="K52" i="1"/>
  <c r="K67" i="1" s="1"/>
  <c r="BU52" i="1"/>
  <c r="BU67" i="1" s="1"/>
  <c r="BO52" i="1"/>
  <c r="BO67" i="1" s="1"/>
  <c r="D305" i="9" s="1"/>
  <c r="AP52" i="1"/>
  <c r="AP67" i="1" s="1"/>
  <c r="AJ52" i="1"/>
  <c r="AJ67" i="1" s="1"/>
  <c r="H145" i="9" s="1"/>
  <c r="AE52" i="1"/>
  <c r="AE67" i="1" s="1"/>
  <c r="C145" i="9" s="1"/>
  <c r="U52" i="1"/>
  <c r="U67" i="1" s="1"/>
  <c r="BP48" i="1"/>
  <c r="BP62" i="1" s="1"/>
  <c r="E300" i="9" s="1"/>
  <c r="AE48" i="1"/>
  <c r="AE62" i="1" s="1"/>
  <c r="C140" i="9" s="1"/>
  <c r="C218" i="9"/>
  <c r="J52" i="1"/>
  <c r="J67" i="1" s="1"/>
  <c r="C49" i="9" s="1"/>
  <c r="BH52" i="1"/>
  <c r="BH67" i="1" s="1"/>
  <c r="AC52" i="1"/>
  <c r="AC67" i="1" s="1"/>
  <c r="CC52" i="1"/>
  <c r="CC67" i="1" s="1"/>
  <c r="AI52" i="1"/>
  <c r="AI67" i="1" s="1"/>
  <c r="S52" i="1"/>
  <c r="S67" i="1" s="1"/>
  <c r="E81" i="9" s="1"/>
  <c r="N48" i="1"/>
  <c r="N62" i="1" s="1"/>
  <c r="G44" i="9" s="1"/>
  <c r="BX48" i="1"/>
  <c r="BX62" i="1" s="1"/>
  <c r="Y48" i="1"/>
  <c r="Y62" i="1" s="1"/>
  <c r="Y71" i="1" s="1"/>
  <c r="C518" i="1" s="1"/>
  <c r="G518" i="1" s="1"/>
  <c r="AC48" i="1"/>
  <c r="AC62" i="1" s="1"/>
  <c r="H108" i="9" s="1"/>
  <c r="C112" i="8"/>
  <c r="B10" i="4"/>
  <c r="G10" i="4"/>
  <c r="CF77" i="1"/>
  <c r="I381" i="9"/>
  <c r="D5" i="7"/>
  <c r="D428" i="1"/>
  <c r="G28" i="4"/>
  <c r="I362" i="9"/>
  <c r="C575" i="1"/>
  <c r="C440" i="1"/>
  <c r="AS48" i="1"/>
  <c r="AS62" i="1" s="1"/>
  <c r="C204" i="9" s="1"/>
  <c r="I372" i="9"/>
  <c r="I81" i="9"/>
  <c r="E113" i="9"/>
  <c r="D209" i="9"/>
  <c r="D273" i="9"/>
  <c r="E241" i="9"/>
  <c r="G273" i="9"/>
  <c r="I337" i="9"/>
  <c r="I90" i="9"/>
  <c r="I366" i="9"/>
  <c r="C430" i="1"/>
  <c r="AV71" i="1"/>
  <c r="F204" i="9"/>
  <c r="G76" i="9"/>
  <c r="U71" i="1"/>
  <c r="Z71" i="1"/>
  <c r="BK71" i="1"/>
  <c r="BG71" i="1"/>
  <c r="J48" i="1"/>
  <c r="J62" i="1" s="1"/>
  <c r="AF48" i="1"/>
  <c r="AF62" i="1" s="1"/>
  <c r="AN48" i="1"/>
  <c r="AN62" i="1" s="1"/>
  <c r="E172" i="9" s="1"/>
  <c r="BB48" i="1"/>
  <c r="BB62" i="1" s="1"/>
  <c r="E236" i="9" s="1"/>
  <c r="BH48" i="1"/>
  <c r="BH62" i="1" s="1"/>
  <c r="BN48" i="1"/>
  <c r="BN62" i="1" s="1"/>
  <c r="BV48" i="1"/>
  <c r="BV62" i="1" s="1"/>
  <c r="CA48" i="1"/>
  <c r="CA62" i="1" s="1"/>
  <c r="S48" i="1"/>
  <c r="S62" i="1" s="1"/>
  <c r="AY48" i="1"/>
  <c r="AY62" i="1" s="1"/>
  <c r="BM48" i="1"/>
  <c r="BM62" i="1" s="1"/>
  <c r="BQ48" i="1"/>
  <c r="BQ62" i="1" s="1"/>
  <c r="BC48" i="1"/>
  <c r="BC62" i="1" s="1"/>
  <c r="AU48" i="1"/>
  <c r="AU62" i="1" s="1"/>
  <c r="AU71" i="1" s="1"/>
  <c r="C540" i="1" s="1"/>
  <c r="G540" i="1" s="1"/>
  <c r="BZ48" i="1"/>
  <c r="BZ62" i="1" s="1"/>
  <c r="P48" i="1"/>
  <c r="P62" i="1" s="1"/>
  <c r="I363" i="9"/>
  <c r="R48" i="1"/>
  <c r="R62" i="1" s="1"/>
  <c r="AD48" i="1"/>
  <c r="AD62" i="1" s="1"/>
  <c r="AJ48" i="1"/>
  <c r="AJ62" i="1" s="1"/>
  <c r="AJ71" i="1" s="1"/>
  <c r="AR48" i="1"/>
  <c r="AR62" i="1" s="1"/>
  <c r="I172" i="9" s="1"/>
  <c r="AX48" i="1"/>
  <c r="AX62" i="1" s="1"/>
  <c r="BF48" i="1"/>
  <c r="BF62" i="1" s="1"/>
  <c r="I236" i="9" s="1"/>
  <c r="BR48" i="1"/>
  <c r="BR62" i="1" s="1"/>
  <c r="BY48" i="1"/>
  <c r="BY62" i="1" s="1"/>
  <c r="G332" i="9" s="1"/>
  <c r="CB48" i="1"/>
  <c r="CB62" i="1" s="1"/>
  <c r="C364" i="9" s="1"/>
  <c r="K48" i="1"/>
  <c r="K62" i="1" s="1"/>
  <c r="D44" i="9" s="1"/>
  <c r="AI48" i="1"/>
  <c r="AI62" i="1" s="1"/>
  <c r="BO48" i="1"/>
  <c r="BO62" i="1" s="1"/>
  <c r="D300" i="9" s="1"/>
  <c r="I48" i="1"/>
  <c r="I62" i="1" s="1"/>
  <c r="AG48" i="1"/>
  <c r="AG62" i="1" s="1"/>
  <c r="AG71" i="1" s="1"/>
  <c r="AW48" i="1"/>
  <c r="AW62" i="1" s="1"/>
  <c r="G204" i="9" s="1"/>
  <c r="BU48" i="1"/>
  <c r="BU62" i="1" s="1"/>
  <c r="AK48" i="1"/>
  <c r="AK62" i="1" s="1"/>
  <c r="I140" i="9" s="1"/>
  <c r="C427" i="1"/>
  <c r="O48" i="1"/>
  <c r="O62" i="1" s="1"/>
  <c r="O71" i="1" s="1"/>
  <c r="M48" i="1"/>
  <c r="M62" i="1" s="1"/>
  <c r="G48" i="1"/>
  <c r="G62" i="1" s="1"/>
  <c r="G12" i="9" s="1"/>
  <c r="H48" i="1"/>
  <c r="H62" i="1" s="1"/>
  <c r="X48" i="1"/>
  <c r="X62" i="1" s="1"/>
  <c r="X71" i="1" s="1"/>
  <c r="C689" i="1" s="1"/>
  <c r="W48" i="1"/>
  <c r="W62" i="1" s="1"/>
  <c r="I76" i="9" s="1"/>
  <c r="F48" i="1"/>
  <c r="F62" i="1" s="1"/>
  <c r="V48" i="1"/>
  <c r="V62" i="1" s="1"/>
  <c r="H76" i="9" s="1"/>
  <c r="AL48" i="1"/>
  <c r="AL62" i="1" s="1"/>
  <c r="C172" i="9" s="1"/>
  <c r="AT48" i="1"/>
  <c r="AT62" i="1" s="1"/>
  <c r="AT71" i="1" s="1"/>
  <c r="AZ48" i="1"/>
  <c r="AZ62" i="1" s="1"/>
  <c r="BL48" i="1"/>
  <c r="BL62" i="1" s="1"/>
  <c r="BT48" i="1"/>
  <c r="BT62" i="1" s="1"/>
  <c r="C48" i="1"/>
  <c r="C62" i="1" s="1"/>
  <c r="AQ48" i="1"/>
  <c r="AQ62" i="1" s="1"/>
  <c r="BW48" i="1"/>
  <c r="BW62" i="1" s="1"/>
  <c r="Q48" i="1"/>
  <c r="Q62" i="1" s="1"/>
  <c r="BE48" i="1"/>
  <c r="BE62" i="1" s="1"/>
  <c r="E48" i="1"/>
  <c r="E62" i="1" s="1"/>
  <c r="BA48" i="1"/>
  <c r="BA62" i="1" s="1"/>
  <c r="BI48" i="1"/>
  <c r="BI62" i="1" s="1"/>
  <c r="BS48" i="1"/>
  <c r="BS62" i="1" s="1"/>
  <c r="L48" i="1"/>
  <c r="L62" i="1" s="1"/>
  <c r="AB48" i="1"/>
  <c r="AB62" i="1" s="1"/>
  <c r="AB71" i="1" s="1"/>
  <c r="BX71" i="1"/>
  <c r="F332" i="9"/>
  <c r="BP71" i="1"/>
  <c r="C621" i="1" s="1"/>
  <c r="C337" i="9"/>
  <c r="AH71" i="1"/>
  <c r="E49" i="9"/>
  <c r="E305" i="9"/>
  <c r="F209" i="9"/>
  <c r="I108" i="9"/>
  <c r="F268" i="9"/>
  <c r="E145" i="9"/>
  <c r="H305" i="9"/>
  <c r="G172" i="9"/>
  <c r="AP71" i="1"/>
  <c r="D332" i="9"/>
  <c r="C17" i="9"/>
  <c r="I177" i="9"/>
  <c r="D369" i="9"/>
  <c r="D81" i="9"/>
  <c r="B446" i="1"/>
  <c r="D242" i="1"/>
  <c r="H273" i="9"/>
  <c r="H81" i="9"/>
  <c r="C418" i="1"/>
  <c r="D438" i="1"/>
  <c r="F14" i="6"/>
  <c r="C471" i="1"/>
  <c r="F10" i="6"/>
  <c r="D339" i="1"/>
  <c r="D26" i="9"/>
  <c r="CE75" i="1"/>
  <c r="E177" i="9"/>
  <c r="E337" i="9"/>
  <c r="G177" i="9"/>
  <c r="H49" i="9"/>
  <c r="F7" i="6"/>
  <c r="E204" i="1"/>
  <c r="C468" i="1"/>
  <c r="I383" i="9"/>
  <c r="D22" i="7"/>
  <c r="C40" i="5"/>
  <c r="C420" i="1"/>
  <c r="B28" i="4"/>
  <c r="F186" i="9"/>
  <c r="AC71" i="1"/>
  <c r="E17" i="9"/>
  <c r="BD52" i="1"/>
  <c r="BD67" i="1" s="1"/>
  <c r="BD71" i="1" s="1"/>
  <c r="AM52" i="1"/>
  <c r="AM67" i="1" s="1"/>
  <c r="BF52" i="1"/>
  <c r="BF67" i="1" s="1"/>
  <c r="BF71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H154" i="9"/>
  <c r="I367" i="9"/>
  <c r="D434" i="1"/>
  <c r="D292" i="1"/>
  <c r="C58" i="9"/>
  <c r="AA71" i="1" l="1"/>
  <c r="AE71" i="1"/>
  <c r="C524" i="1" s="1"/>
  <c r="G524" i="1" s="1"/>
  <c r="AN71" i="1"/>
  <c r="AO71" i="1"/>
  <c r="F181" i="9" s="1"/>
  <c r="D373" i="1"/>
  <c r="T71" i="1"/>
  <c r="H17" i="9"/>
  <c r="D465" i="1"/>
  <c r="D108" i="9"/>
  <c r="I71" i="1"/>
  <c r="I21" i="9" s="1"/>
  <c r="C113" i="9"/>
  <c r="I49" i="9"/>
  <c r="C81" i="9"/>
  <c r="I17" i="9"/>
  <c r="G140" i="9"/>
  <c r="N71" i="1"/>
  <c r="C507" i="1" s="1"/>
  <c r="G507" i="1" s="1"/>
  <c r="G145" i="9"/>
  <c r="G81" i="9"/>
  <c r="C177" i="9"/>
  <c r="C209" i="9"/>
  <c r="AM71" i="1"/>
  <c r="I305" i="9"/>
  <c r="D49" i="9"/>
  <c r="D113" i="9"/>
  <c r="F337" i="9"/>
  <c r="G49" i="9"/>
  <c r="G236" i="9"/>
  <c r="C241" i="9"/>
  <c r="H113" i="9"/>
  <c r="C300" i="9"/>
  <c r="D71" i="1"/>
  <c r="C497" i="1" s="1"/>
  <c r="G497" i="1" s="1"/>
  <c r="F273" i="9"/>
  <c r="AZ71" i="1"/>
  <c r="C628" i="1" s="1"/>
  <c r="H71" i="1"/>
  <c r="E209" i="9"/>
  <c r="AQ71" i="1"/>
  <c r="AR71" i="1"/>
  <c r="CE52" i="1"/>
  <c r="CE67" i="1"/>
  <c r="BE71" i="1"/>
  <c r="C614" i="1" s="1"/>
  <c r="C534" i="1"/>
  <c r="G534" i="1" s="1"/>
  <c r="H236" i="9"/>
  <c r="BB71" i="1"/>
  <c r="E245" i="9" s="1"/>
  <c r="BR71" i="1"/>
  <c r="G309" i="9" s="1"/>
  <c r="G71" i="1"/>
  <c r="W71" i="1"/>
  <c r="C688" i="1" s="1"/>
  <c r="BN71" i="1"/>
  <c r="C619" i="1" s="1"/>
  <c r="D117" i="9"/>
  <c r="AY71" i="1"/>
  <c r="C544" i="1" s="1"/>
  <c r="G544" i="1" s="1"/>
  <c r="I204" i="9"/>
  <c r="C706" i="1"/>
  <c r="E140" i="9"/>
  <c r="G300" i="9"/>
  <c r="H172" i="9"/>
  <c r="H140" i="9"/>
  <c r="D204" i="9"/>
  <c r="C108" i="9"/>
  <c r="BW71" i="1"/>
  <c r="E341" i="9" s="1"/>
  <c r="F44" i="9"/>
  <c r="H204" i="9"/>
  <c r="AX71" i="1"/>
  <c r="C616" i="1" s="1"/>
  <c r="E204" i="9"/>
  <c r="V71" i="1"/>
  <c r="H85" i="9" s="1"/>
  <c r="D76" i="9"/>
  <c r="H44" i="9"/>
  <c r="AL71" i="1"/>
  <c r="C531" i="1" s="1"/>
  <c r="G531" i="1" s="1"/>
  <c r="BY71" i="1"/>
  <c r="G341" i="9" s="1"/>
  <c r="AD71" i="1"/>
  <c r="C523" i="1" s="1"/>
  <c r="G523" i="1" s="1"/>
  <c r="C236" i="9"/>
  <c r="AS71" i="1"/>
  <c r="E12" i="9"/>
  <c r="BO71" i="1"/>
  <c r="C627" i="1" s="1"/>
  <c r="E71" i="1"/>
  <c r="C670" i="1" s="1"/>
  <c r="E332" i="9"/>
  <c r="M71" i="1"/>
  <c r="F53" i="9" s="1"/>
  <c r="R71" i="1"/>
  <c r="D85" i="9" s="1"/>
  <c r="D236" i="9"/>
  <c r="CB71" i="1"/>
  <c r="C373" i="9" s="1"/>
  <c r="F71" i="1"/>
  <c r="C671" i="1" s="1"/>
  <c r="AI71" i="1"/>
  <c r="C700" i="1" s="1"/>
  <c r="F12" i="9"/>
  <c r="E213" i="9"/>
  <c r="C712" i="1"/>
  <c r="BM71" i="1"/>
  <c r="C638" i="1" s="1"/>
  <c r="C690" i="1"/>
  <c r="C149" i="9"/>
  <c r="C696" i="1"/>
  <c r="C561" i="1"/>
  <c r="Q71" i="1"/>
  <c r="C510" i="1" s="1"/>
  <c r="G510" i="1" s="1"/>
  <c r="I300" i="9"/>
  <c r="G108" i="9"/>
  <c r="BA71" i="1"/>
  <c r="D245" i="9" s="1"/>
  <c r="I277" i="9"/>
  <c r="C76" i="9"/>
  <c r="BT71" i="1"/>
  <c r="C640" i="1" s="1"/>
  <c r="I268" i="9"/>
  <c r="BL71" i="1"/>
  <c r="H268" i="9"/>
  <c r="C117" i="9"/>
  <c r="C517" i="1"/>
  <c r="C332" i="9"/>
  <c r="BU71" i="1"/>
  <c r="AF71" i="1"/>
  <c r="D140" i="9"/>
  <c r="C691" i="1"/>
  <c r="C519" i="1"/>
  <c r="G519" i="1" s="1"/>
  <c r="E117" i="9"/>
  <c r="E309" i="9"/>
  <c r="I12" i="9"/>
  <c r="L71" i="1"/>
  <c r="E44" i="9"/>
  <c r="H12" i="9"/>
  <c r="AW71" i="1"/>
  <c r="F236" i="9"/>
  <c r="BC71" i="1"/>
  <c r="E76" i="9"/>
  <c r="S71" i="1"/>
  <c r="D268" i="9"/>
  <c r="BH71" i="1"/>
  <c r="CE62" i="1"/>
  <c r="CE48" i="1"/>
  <c r="H300" i="9"/>
  <c r="BS71" i="1"/>
  <c r="C71" i="1"/>
  <c r="C12" i="9"/>
  <c r="K71" i="1"/>
  <c r="I44" i="9"/>
  <c r="P71" i="1"/>
  <c r="F300" i="9"/>
  <c r="BQ71" i="1"/>
  <c r="I332" i="9"/>
  <c r="CA71" i="1"/>
  <c r="C618" i="1"/>
  <c r="C277" i="9"/>
  <c r="C552" i="1"/>
  <c r="C532" i="1"/>
  <c r="G532" i="1" s="1"/>
  <c r="C704" i="1"/>
  <c r="D181" i="9"/>
  <c r="G85" i="9"/>
  <c r="C686" i="1"/>
  <c r="C514" i="1"/>
  <c r="G514" i="1" s="1"/>
  <c r="E268" i="9"/>
  <c r="BI71" i="1"/>
  <c r="AK71" i="1"/>
  <c r="C674" i="1"/>
  <c r="C502" i="1"/>
  <c r="G502" i="1" s="1"/>
  <c r="H332" i="9"/>
  <c r="BZ71" i="1"/>
  <c r="C635" i="1"/>
  <c r="C556" i="1"/>
  <c r="G277" i="9"/>
  <c r="C713" i="1"/>
  <c r="F213" i="9"/>
  <c r="C541" i="1"/>
  <c r="I181" i="9"/>
  <c r="C709" i="1"/>
  <c r="C537" i="1"/>
  <c r="G537" i="1" s="1"/>
  <c r="C644" i="1"/>
  <c r="C569" i="1"/>
  <c r="F341" i="9"/>
  <c r="C44" i="9"/>
  <c r="J71" i="1"/>
  <c r="C549" i="1"/>
  <c r="G245" i="9"/>
  <c r="C624" i="1"/>
  <c r="F85" i="9"/>
  <c r="C685" i="1"/>
  <c r="C513" i="1"/>
  <c r="G513" i="1" s="1"/>
  <c r="E181" i="9"/>
  <c r="C533" i="1"/>
  <c r="G533" i="1" s="1"/>
  <c r="C705" i="1"/>
  <c r="C521" i="1"/>
  <c r="G521" i="1" s="1"/>
  <c r="G117" i="9"/>
  <c r="C693" i="1"/>
  <c r="C698" i="1"/>
  <c r="C526" i="1"/>
  <c r="G526" i="1" s="1"/>
  <c r="E149" i="9"/>
  <c r="C245" i="9"/>
  <c r="H149" i="9"/>
  <c r="C529" i="1"/>
  <c r="G529" i="1" s="1"/>
  <c r="C701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126" i="8"/>
  <c r="D391" i="1"/>
  <c r="F32" i="6"/>
  <c r="C478" i="1"/>
  <c r="C305" i="9"/>
  <c r="C536" i="1"/>
  <c r="G536" i="1" s="1"/>
  <c r="H181" i="9"/>
  <c r="C708" i="1"/>
  <c r="C102" i="8"/>
  <c r="C482" i="1"/>
  <c r="F498" i="1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H53" i="9"/>
  <c r="C680" i="1"/>
  <c r="C508" i="1"/>
  <c r="G508" i="1" s="1"/>
  <c r="C563" i="1"/>
  <c r="C632" i="1"/>
  <c r="C547" i="1"/>
  <c r="C642" i="1"/>
  <c r="D341" i="9"/>
  <c r="C567" i="1"/>
  <c r="I245" i="9"/>
  <c r="C629" i="1"/>
  <c r="C551" i="1"/>
  <c r="C711" i="1"/>
  <c r="D213" i="9"/>
  <c r="C539" i="1"/>
  <c r="G539" i="1" s="1"/>
  <c r="F516" i="1"/>
  <c r="D17" i="9"/>
  <c r="F305" i="9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F524" i="1"/>
  <c r="H524" i="1" s="1"/>
  <c r="F550" i="1"/>
  <c r="G305" i="9"/>
  <c r="F113" i="9"/>
  <c r="F49" i="9"/>
  <c r="C369" i="9"/>
  <c r="F17" i="9"/>
  <c r="G241" i="9"/>
  <c r="I213" i="9"/>
  <c r="C625" i="1"/>
  <c r="C555" i="1"/>
  <c r="C617" i="1"/>
  <c r="F277" i="9"/>
  <c r="D21" i="9" l="1"/>
  <c r="G53" i="9"/>
  <c r="C669" i="1"/>
  <c r="I85" i="9"/>
  <c r="C433" i="1"/>
  <c r="CE71" i="1"/>
  <c r="C545" i="1"/>
  <c r="G545" i="1" s="1"/>
  <c r="C679" i="1"/>
  <c r="C516" i="1"/>
  <c r="G516" i="1" s="1"/>
  <c r="I369" i="9"/>
  <c r="H245" i="9"/>
  <c r="C626" i="1"/>
  <c r="C550" i="1"/>
  <c r="G550" i="1" s="1"/>
  <c r="C645" i="1"/>
  <c r="C678" i="1"/>
  <c r="C687" i="1"/>
  <c r="C498" i="1"/>
  <c r="G498" i="1" s="1"/>
  <c r="C309" i="9"/>
  <c r="C506" i="1"/>
  <c r="G506" i="1" s="1"/>
  <c r="C559" i="1"/>
  <c r="C570" i="1"/>
  <c r="C643" i="1"/>
  <c r="C515" i="1"/>
  <c r="G515" i="1" s="1"/>
  <c r="C543" i="1"/>
  <c r="E21" i="9"/>
  <c r="C703" i="1"/>
  <c r="C568" i="1"/>
  <c r="C181" i="9"/>
  <c r="H213" i="9"/>
  <c r="I117" i="9"/>
  <c r="C622" i="1"/>
  <c r="C560" i="1"/>
  <c r="C695" i="1"/>
  <c r="C573" i="1"/>
  <c r="C528" i="1"/>
  <c r="G528" i="1" s="1"/>
  <c r="G149" i="9"/>
  <c r="C511" i="1"/>
  <c r="C682" i="1"/>
  <c r="F21" i="9"/>
  <c r="C710" i="1"/>
  <c r="C213" i="9"/>
  <c r="C538" i="1"/>
  <c r="G538" i="1" s="1"/>
  <c r="D309" i="9"/>
  <c r="C683" i="1"/>
  <c r="C565" i="1"/>
  <c r="C499" i="1"/>
  <c r="G499" i="1" s="1"/>
  <c r="C558" i="1"/>
  <c r="C85" i="9"/>
  <c r="C428" i="1"/>
  <c r="I309" i="9"/>
  <c r="H550" i="1"/>
  <c r="C546" i="1"/>
  <c r="G546" i="1" s="1"/>
  <c r="I364" i="9"/>
  <c r="C630" i="1"/>
  <c r="C530" i="1"/>
  <c r="G530" i="1" s="1"/>
  <c r="I149" i="9"/>
  <c r="C702" i="1"/>
  <c r="C639" i="1"/>
  <c r="H309" i="9"/>
  <c r="C564" i="1"/>
  <c r="C633" i="1"/>
  <c r="F245" i="9"/>
  <c r="C548" i="1"/>
  <c r="C557" i="1"/>
  <c r="C637" i="1"/>
  <c r="H277" i="9"/>
  <c r="I53" i="9"/>
  <c r="C681" i="1"/>
  <c r="C509" i="1"/>
  <c r="G509" i="1" s="1"/>
  <c r="E85" i="9"/>
  <c r="C512" i="1"/>
  <c r="G512" i="1" s="1"/>
  <c r="C684" i="1"/>
  <c r="C677" i="1"/>
  <c r="C505" i="1"/>
  <c r="G505" i="1" s="1"/>
  <c r="E53" i="9"/>
  <c r="C697" i="1"/>
  <c r="D149" i="9"/>
  <c r="C525" i="1"/>
  <c r="G525" i="1" s="1"/>
  <c r="G517" i="1"/>
  <c r="H517" i="1"/>
  <c r="F309" i="9"/>
  <c r="C623" i="1"/>
  <c r="C562" i="1"/>
  <c r="C553" i="1"/>
  <c r="D277" i="9"/>
  <c r="C636" i="1"/>
  <c r="C571" i="1"/>
  <c r="C646" i="1"/>
  <c r="H341" i="9"/>
  <c r="C554" i="1"/>
  <c r="C634" i="1"/>
  <c r="E277" i="9"/>
  <c r="I341" i="9"/>
  <c r="C647" i="1"/>
  <c r="C572" i="1"/>
  <c r="D53" i="9"/>
  <c r="C504" i="1"/>
  <c r="G504" i="1" s="1"/>
  <c r="C676" i="1"/>
  <c r="C496" i="1"/>
  <c r="G496" i="1" s="1"/>
  <c r="C21" i="9"/>
  <c r="C668" i="1"/>
  <c r="G213" i="9"/>
  <c r="C542" i="1"/>
  <c r="C631" i="1"/>
  <c r="C641" i="1"/>
  <c r="C341" i="9"/>
  <c r="C566" i="1"/>
  <c r="D615" i="1"/>
  <c r="H520" i="1"/>
  <c r="H516" i="1"/>
  <c r="C675" i="1"/>
  <c r="C503" i="1"/>
  <c r="G503" i="1" s="1"/>
  <c r="C53" i="9"/>
  <c r="H544" i="1"/>
  <c r="C716" i="1"/>
  <c r="I373" i="9"/>
  <c r="F522" i="1"/>
  <c r="H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H508" i="1" s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C441" i="1" l="1"/>
  <c r="C648" i="1"/>
  <c r="M716" i="1" s="1"/>
  <c r="C715" i="1"/>
  <c r="H515" i="1"/>
  <c r="H498" i="1"/>
  <c r="G511" i="1"/>
  <c r="H511" i="1" s="1"/>
  <c r="H512" i="1"/>
  <c r="H496" i="1"/>
  <c r="H509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2" i="1"/>
  <c r="D716" i="1"/>
  <c r="D690" i="1"/>
  <c r="D702" i="1"/>
  <c r="D698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2" i="1"/>
  <c r="D617" i="1"/>
  <c r="D697" i="1"/>
  <c r="D709" i="1"/>
  <c r="D707" i="1"/>
  <c r="D713" i="1"/>
  <c r="D647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74" i="1"/>
  <c r="D685" i="1"/>
  <c r="D636" i="1"/>
  <c r="D637" i="1"/>
  <c r="D694" i="1"/>
  <c r="D616" i="1"/>
  <c r="F545" i="1"/>
  <c r="H545" i="1" s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E612" i="1"/>
  <c r="D715" i="1"/>
  <c r="E674" i="1" l="1"/>
  <c r="E682" i="1"/>
  <c r="E695" i="1"/>
  <c r="E635" i="1"/>
  <c r="E630" i="1"/>
  <c r="E639" i="1"/>
  <c r="E637" i="1"/>
  <c r="E644" i="1"/>
  <c r="E625" i="1"/>
  <c r="E709" i="1"/>
  <c r="E690" i="1"/>
  <c r="E634" i="1"/>
  <c r="E684" i="1"/>
  <c r="E632" i="1"/>
  <c r="E699" i="1"/>
  <c r="E672" i="1"/>
  <c r="E677" i="1"/>
  <c r="E689" i="1"/>
  <c r="E706" i="1"/>
  <c r="E713" i="1"/>
  <c r="E640" i="1"/>
  <c r="E693" i="1"/>
  <c r="E680" i="1"/>
  <c r="E708" i="1"/>
  <c r="E629" i="1"/>
  <c r="E702" i="1"/>
  <c r="E646" i="1"/>
  <c r="E685" i="1"/>
  <c r="E692" i="1"/>
  <c r="E669" i="1"/>
  <c r="E697" i="1"/>
  <c r="E704" i="1"/>
  <c r="E671" i="1"/>
  <c r="E643" i="1"/>
  <c r="E676" i="1"/>
  <c r="E628" i="1"/>
  <c r="E703" i="1"/>
  <c r="E705" i="1"/>
  <c r="E626" i="1"/>
  <c r="E645" i="1"/>
  <c r="E700" i="1"/>
  <c r="E694" i="1"/>
  <c r="E710" i="1"/>
  <c r="E691" i="1"/>
  <c r="E636" i="1"/>
  <c r="E683" i="1"/>
  <c r="E641" i="1"/>
  <c r="E624" i="1"/>
  <c r="F624" i="1" s="1"/>
  <c r="F631" i="1" s="1"/>
  <c r="E631" i="1"/>
  <c r="E707" i="1"/>
  <c r="E688" i="1"/>
  <c r="E627" i="1"/>
  <c r="E670" i="1"/>
  <c r="E698" i="1"/>
  <c r="E673" i="1"/>
  <c r="E668" i="1"/>
  <c r="E712" i="1"/>
  <c r="E675" i="1"/>
  <c r="E642" i="1"/>
  <c r="E681" i="1"/>
  <c r="E678" i="1"/>
  <c r="E638" i="1"/>
  <c r="E687" i="1"/>
  <c r="E711" i="1"/>
  <c r="E679" i="1"/>
  <c r="E647" i="1"/>
  <c r="E701" i="1"/>
  <c r="E696" i="1"/>
  <c r="E686" i="1"/>
  <c r="E633" i="1"/>
  <c r="F711" i="1" l="1"/>
  <c r="F686" i="1"/>
  <c r="F640" i="1"/>
  <c r="F691" i="1"/>
  <c r="F712" i="1"/>
  <c r="F673" i="1"/>
  <c r="F629" i="1"/>
  <c r="F626" i="1"/>
  <c r="F643" i="1"/>
  <c r="F635" i="1"/>
  <c r="F699" i="1"/>
  <c r="F705" i="1"/>
  <c r="F628" i="1"/>
  <c r="F695" i="1"/>
  <c r="F694" i="1"/>
  <c r="F642" i="1"/>
  <c r="F696" i="1"/>
  <c r="F627" i="1"/>
  <c r="F681" i="1"/>
  <c r="F668" i="1"/>
  <c r="F672" i="1"/>
  <c r="F706" i="1"/>
  <c r="F675" i="1"/>
  <c r="F698" i="1"/>
  <c r="F637" i="1"/>
  <c r="F625" i="1"/>
  <c r="G625" i="1" s="1"/>
  <c r="G644" i="1" s="1"/>
  <c r="F693" i="1"/>
  <c r="F685" i="1"/>
  <c r="F630" i="1"/>
  <c r="F676" i="1"/>
  <c r="F644" i="1"/>
  <c r="F647" i="1"/>
  <c r="F709" i="1"/>
  <c r="F684" i="1"/>
  <c r="F700" i="1"/>
  <c r="F697" i="1"/>
  <c r="F682" i="1"/>
  <c r="F645" i="1"/>
  <c r="F634" i="1"/>
  <c r="F689" i="1"/>
  <c r="F703" i="1"/>
  <c r="F683" i="1"/>
  <c r="F639" i="1"/>
  <c r="F632" i="1"/>
  <c r="F680" i="1"/>
  <c r="F670" i="1"/>
  <c r="F688" i="1"/>
  <c r="F710" i="1"/>
  <c r="F671" i="1"/>
  <c r="F633" i="1"/>
  <c r="F636" i="1"/>
  <c r="F708" i="1"/>
  <c r="F707" i="1"/>
  <c r="F669" i="1"/>
  <c r="F677" i="1"/>
  <c r="F646" i="1"/>
  <c r="F713" i="1"/>
  <c r="F641" i="1"/>
  <c r="F716" i="1"/>
  <c r="F701" i="1"/>
  <c r="F674" i="1"/>
  <c r="F678" i="1"/>
  <c r="F702" i="1"/>
  <c r="F704" i="1"/>
  <c r="F638" i="1"/>
  <c r="F692" i="1"/>
  <c r="F679" i="1"/>
  <c r="F690" i="1"/>
  <c r="F687" i="1"/>
  <c r="E715" i="1"/>
  <c r="G669" i="1"/>
  <c r="G696" i="1"/>
  <c r="G631" i="1"/>
  <c r="G685" i="1"/>
  <c r="G674" i="1" l="1"/>
  <c r="G668" i="1"/>
  <c r="G642" i="1"/>
  <c r="G706" i="1"/>
  <c r="G688" i="1"/>
  <c r="G681" i="1"/>
  <c r="G630" i="1"/>
  <c r="G690" i="1"/>
  <c r="G637" i="1"/>
  <c r="G670" i="1"/>
  <c r="G638" i="1"/>
  <c r="G699" i="1"/>
  <c r="G647" i="1"/>
  <c r="G679" i="1"/>
  <c r="G689" i="1"/>
  <c r="G641" i="1"/>
  <c r="G677" i="1"/>
  <c r="G682" i="1"/>
  <c r="G636" i="1"/>
  <c r="G704" i="1"/>
  <c r="G628" i="1"/>
  <c r="G629" i="1"/>
  <c r="G694" i="1"/>
  <c r="G633" i="1"/>
  <c r="G701" i="1"/>
  <c r="G686" i="1"/>
  <c r="G640" i="1"/>
  <c r="G713" i="1"/>
  <c r="G673" i="1"/>
  <c r="G709" i="1"/>
  <c r="G710" i="1"/>
  <c r="G700" i="1"/>
  <c r="G708" i="1"/>
  <c r="G643" i="1"/>
  <c r="G635" i="1"/>
  <c r="G675" i="1"/>
  <c r="G683" i="1"/>
  <c r="G692" i="1"/>
  <c r="G691" i="1"/>
  <c r="G693" i="1"/>
  <c r="G712" i="1"/>
  <c r="G639" i="1"/>
  <c r="G676" i="1"/>
  <c r="G671" i="1"/>
  <c r="G634" i="1"/>
  <c r="G646" i="1"/>
  <c r="G695" i="1"/>
  <c r="G711" i="1"/>
  <c r="G687" i="1"/>
  <c r="G697" i="1"/>
  <c r="G716" i="1"/>
  <c r="G678" i="1"/>
  <c r="G684" i="1"/>
  <c r="G627" i="1"/>
  <c r="G703" i="1"/>
  <c r="G698" i="1"/>
  <c r="G680" i="1"/>
  <c r="G672" i="1"/>
  <c r="G632" i="1"/>
  <c r="G707" i="1"/>
  <c r="G705" i="1"/>
  <c r="G626" i="1"/>
  <c r="G645" i="1"/>
  <c r="G702" i="1"/>
  <c r="F715" i="1"/>
  <c r="H628" i="1" l="1"/>
  <c r="H683" i="1" s="1"/>
  <c r="G715" i="1"/>
  <c r="H698" i="1" l="1"/>
  <c r="H697" i="1"/>
  <c r="H679" i="1"/>
  <c r="H675" i="1"/>
  <c r="H671" i="1"/>
  <c r="H682" i="1"/>
  <c r="H635" i="1"/>
  <c r="H632" i="1"/>
  <c r="H713" i="1"/>
  <c r="H634" i="1"/>
  <c r="H643" i="1"/>
  <c r="H692" i="1"/>
  <c r="H641" i="1"/>
  <c r="H689" i="1"/>
  <c r="H647" i="1"/>
  <c r="H670" i="1"/>
  <c r="H686" i="1"/>
  <c r="H711" i="1"/>
  <c r="H642" i="1"/>
  <c r="H681" i="1"/>
  <c r="H693" i="1"/>
  <c r="H699" i="1"/>
  <c r="H702" i="1"/>
  <c r="H710" i="1"/>
  <c r="H630" i="1"/>
  <c r="H645" i="1"/>
  <c r="H680" i="1"/>
  <c r="H703" i="1"/>
  <c r="H705" i="1"/>
  <c r="H668" i="1"/>
  <c r="H690" i="1"/>
  <c r="H706" i="1"/>
  <c r="H637" i="1"/>
  <c r="H640" i="1"/>
  <c r="H629" i="1"/>
  <c r="I629" i="1" s="1"/>
  <c r="I703" i="1" s="1"/>
  <c r="H688" i="1"/>
  <c r="H638" i="1"/>
  <c r="H694" i="1"/>
  <c r="H676" i="1"/>
  <c r="H696" i="1"/>
  <c r="H709" i="1"/>
  <c r="H672" i="1"/>
  <c r="H631" i="1"/>
  <c r="H708" i="1"/>
  <c r="H685" i="1"/>
  <c r="H636" i="1"/>
  <c r="H673" i="1"/>
  <c r="H695" i="1"/>
  <c r="H684" i="1"/>
  <c r="H712" i="1"/>
  <c r="H687" i="1"/>
  <c r="H678" i="1"/>
  <c r="H646" i="1"/>
  <c r="H633" i="1"/>
  <c r="H674" i="1"/>
  <c r="H701" i="1"/>
  <c r="H677" i="1"/>
  <c r="H707" i="1"/>
  <c r="H691" i="1"/>
  <c r="H639" i="1"/>
  <c r="H704" i="1"/>
  <c r="H669" i="1"/>
  <c r="H644" i="1"/>
  <c r="H700" i="1"/>
  <c r="H716" i="1"/>
  <c r="I668" i="1"/>
  <c r="I696" i="1"/>
  <c r="I682" i="1"/>
  <c r="I680" i="1"/>
  <c r="I695" i="1"/>
  <c r="I713" i="1"/>
  <c r="I678" i="1"/>
  <c r="I707" i="1"/>
  <c r="I633" i="1"/>
  <c r="I645" i="1"/>
  <c r="I670" i="1"/>
  <c r="I642" i="1"/>
  <c r="I640" i="1"/>
  <c r="I630" i="1"/>
  <c r="I674" i="1"/>
  <c r="I641" i="1"/>
  <c r="I708" i="1"/>
  <c r="I711" i="1"/>
  <c r="I712" i="1"/>
  <c r="I673" i="1"/>
  <c r="I636" i="1"/>
  <c r="I669" i="1"/>
  <c r="I716" i="1"/>
  <c r="I677" i="1"/>
  <c r="I646" i="1"/>
  <c r="I700" i="1"/>
  <c r="I685" i="1"/>
  <c r="I699" i="1"/>
  <c r="I675" i="1"/>
  <c r="I691" i="1"/>
  <c r="I686" i="1"/>
  <c r="I698" i="1"/>
  <c r="I639" i="1"/>
  <c r="I701" i="1"/>
  <c r="I631" i="1"/>
  <c r="I679" i="1"/>
  <c r="I637" i="1"/>
  <c r="I692" i="1"/>
  <c r="I647" i="1"/>
  <c r="I676" i="1"/>
  <c r="I672" i="1"/>
  <c r="I693" i="1"/>
  <c r="I683" i="1"/>
  <c r="I704" i="1"/>
  <c r="I702" i="1"/>
  <c r="I634" i="1" l="1"/>
  <c r="I632" i="1"/>
  <c r="I688" i="1"/>
  <c r="I694" i="1"/>
  <c r="I697" i="1"/>
  <c r="I684" i="1"/>
  <c r="I643" i="1"/>
  <c r="I635" i="1"/>
  <c r="I709" i="1"/>
  <c r="I638" i="1"/>
  <c r="I690" i="1"/>
  <c r="I689" i="1"/>
  <c r="I705" i="1"/>
  <c r="I681" i="1"/>
  <c r="I671" i="1"/>
  <c r="I706" i="1"/>
  <c r="I710" i="1"/>
  <c r="I644" i="1"/>
  <c r="I687" i="1"/>
  <c r="H715" i="1"/>
  <c r="J630" i="1"/>
  <c r="I715" i="1" l="1"/>
  <c r="J634" i="1"/>
  <c r="J669" i="1"/>
  <c r="J643" i="1"/>
  <c r="J708" i="1"/>
  <c r="J700" i="1"/>
  <c r="J646" i="1"/>
  <c r="J704" i="1"/>
  <c r="J668" i="1"/>
  <c r="J693" i="1"/>
  <c r="J633" i="1"/>
  <c r="J672" i="1"/>
  <c r="J632" i="1"/>
  <c r="J707" i="1"/>
  <c r="J681" i="1"/>
  <c r="J637" i="1"/>
  <c r="J670" i="1"/>
  <c r="J696" i="1"/>
  <c r="J710" i="1"/>
  <c r="J697" i="1"/>
  <c r="J698" i="1"/>
  <c r="J671" i="1"/>
  <c r="J680" i="1"/>
  <c r="J636" i="1"/>
  <c r="J676" i="1"/>
  <c r="J642" i="1"/>
  <c r="J690" i="1"/>
  <c r="J678" i="1"/>
  <c r="J687" i="1"/>
  <c r="J675" i="1"/>
  <c r="J641" i="1"/>
  <c r="J699" i="1"/>
  <c r="J674" i="1"/>
  <c r="J685" i="1"/>
  <c r="J702" i="1"/>
  <c r="J639" i="1"/>
  <c r="J682" i="1"/>
  <c r="J711" i="1"/>
  <c r="J631" i="1"/>
  <c r="J684" i="1"/>
  <c r="J683" i="1"/>
  <c r="J644" i="1"/>
  <c r="J692" i="1"/>
  <c r="J638" i="1"/>
  <c r="J695" i="1"/>
  <c r="J686" i="1"/>
  <c r="J712" i="1"/>
  <c r="J635" i="1"/>
  <c r="J701" i="1"/>
  <c r="J705" i="1"/>
  <c r="J694" i="1"/>
  <c r="J713" i="1"/>
  <c r="J689" i="1"/>
  <c r="J673" i="1"/>
  <c r="J640" i="1"/>
  <c r="J706" i="1"/>
  <c r="J716" i="1"/>
  <c r="J677" i="1"/>
  <c r="J688" i="1"/>
  <c r="J645" i="1"/>
  <c r="J691" i="1"/>
  <c r="J703" i="1"/>
  <c r="J647" i="1"/>
  <c r="J679" i="1"/>
  <c r="J709" i="1"/>
  <c r="L647" i="1" l="1"/>
  <c r="L699" i="1" s="1"/>
  <c r="K644" i="1"/>
  <c r="K689" i="1" s="1"/>
  <c r="J715" i="1"/>
  <c r="L694" i="1" l="1"/>
  <c r="K716" i="1"/>
  <c r="L675" i="1"/>
  <c r="L684" i="1"/>
  <c r="L688" i="1"/>
  <c r="K712" i="1"/>
  <c r="K692" i="1"/>
  <c r="K706" i="1"/>
  <c r="L708" i="1"/>
  <c r="L674" i="1"/>
  <c r="L712" i="1"/>
  <c r="L696" i="1"/>
  <c r="L711" i="1"/>
  <c r="L678" i="1"/>
  <c r="L683" i="1"/>
  <c r="M683" i="1" s="1"/>
  <c r="D87" i="9" s="1"/>
  <c r="K711" i="1"/>
  <c r="M711" i="1" s="1"/>
  <c r="K670" i="1"/>
  <c r="L695" i="1"/>
  <c r="K668" i="1"/>
  <c r="K682" i="1"/>
  <c r="K679" i="1"/>
  <c r="K696" i="1"/>
  <c r="K695" i="1"/>
  <c r="M695" i="1" s="1"/>
  <c r="K680" i="1"/>
  <c r="K685" i="1"/>
  <c r="K683" i="1"/>
  <c r="K698" i="1"/>
  <c r="K673" i="1"/>
  <c r="K684" i="1"/>
  <c r="K676" i="1"/>
  <c r="K678" i="1"/>
  <c r="M678" i="1" s="1"/>
  <c r="K697" i="1"/>
  <c r="M697" i="1" s="1"/>
  <c r="K690" i="1"/>
  <c r="K672" i="1"/>
  <c r="K675" i="1"/>
  <c r="M675" i="1" s="1"/>
  <c r="C55" i="9" s="1"/>
  <c r="K700" i="1"/>
  <c r="K705" i="1"/>
  <c r="K709" i="1"/>
  <c r="M709" i="1" s="1"/>
  <c r="I183" i="9" s="1"/>
  <c r="K713" i="1"/>
  <c r="M713" i="1" s="1"/>
  <c r="K702" i="1"/>
  <c r="K703" i="1"/>
  <c r="K669" i="1"/>
  <c r="K701" i="1"/>
  <c r="K686" i="1"/>
  <c r="K710" i="1"/>
  <c r="M710" i="1" s="1"/>
  <c r="K708" i="1"/>
  <c r="M708" i="1" s="1"/>
  <c r="K704" i="1"/>
  <c r="K707" i="1"/>
  <c r="K681" i="1"/>
  <c r="M681" i="1" s="1"/>
  <c r="K691" i="1"/>
  <c r="K699" i="1"/>
  <c r="M699" i="1" s="1"/>
  <c r="K688" i="1"/>
  <c r="K674" i="1"/>
  <c r="K671" i="1"/>
  <c r="K687" i="1"/>
  <c r="K693" i="1"/>
  <c r="M693" i="1" s="1"/>
  <c r="K694" i="1"/>
  <c r="M694" i="1" s="1"/>
  <c r="H119" i="9" s="1"/>
  <c r="K677" i="1"/>
  <c r="L676" i="1"/>
  <c r="L669" i="1"/>
  <c r="L704" i="1"/>
  <c r="L689" i="1"/>
  <c r="M689" i="1" s="1"/>
  <c r="L671" i="1"/>
  <c r="L691" i="1"/>
  <c r="M691" i="1" s="1"/>
  <c r="E119" i="9" s="1"/>
  <c r="L692" i="1"/>
  <c r="L672" i="1"/>
  <c r="L703" i="1"/>
  <c r="L697" i="1"/>
  <c r="L713" i="1"/>
  <c r="L705" i="1"/>
  <c r="M705" i="1" s="1"/>
  <c r="L686" i="1"/>
  <c r="M686" i="1" s="1"/>
  <c r="L680" i="1"/>
  <c r="L710" i="1"/>
  <c r="L698" i="1"/>
  <c r="L706" i="1"/>
  <c r="L681" i="1"/>
  <c r="L693" i="1"/>
  <c r="L668" i="1"/>
  <c r="M668" i="1" s="1"/>
  <c r="L702" i="1"/>
  <c r="L685" i="1"/>
  <c r="M685" i="1" s="1"/>
  <c r="L707" i="1"/>
  <c r="L679" i="1"/>
  <c r="L690" i="1"/>
  <c r="L687" i="1"/>
  <c r="L716" i="1"/>
  <c r="L670" i="1"/>
  <c r="M670" i="1" s="1"/>
  <c r="L682" i="1"/>
  <c r="M682" i="1" s="1"/>
  <c r="L673" i="1"/>
  <c r="M673" i="1" s="1"/>
  <c r="L677" i="1"/>
  <c r="M677" i="1" s="1"/>
  <c r="E55" i="9" s="1"/>
  <c r="L701" i="1"/>
  <c r="L709" i="1"/>
  <c r="L700" i="1"/>
  <c r="M684" i="1"/>
  <c r="M688" i="1"/>
  <c r="I87" i="9" s="1"/>
  <c r="M674" i="1"/>
  <c r="I23" i="9" s="1"/>
  <c r="M696" i="1"/>
  <c r="M669" i="1"/>
  <c r="M672" i="1"/>
  <c r="M703" i="1"/>
  <c r="C183" i="9" s="1"/>
  <c r="E87" i="9"/>
  <c r="M698" i="1"/>
  <c r="M707" i="1" l="1"/>
  <c r="G183" i="9" s="1"/>
  <c r="M680" i="1"/>
  <c r="H55" i="9" s="1"/>
  <c r="M706" i="1"/>
  <c r="M692" i="1"/>
  <c r="M671" i="1"/>
  <c r="M700" i="1"/>
  <c r="M690" i="1"/>
  <c r="D119" i="9" s="1"/>
  <c r="M679" i="1"/>
  <c r="G55" i="9" s="1"/>
  <c r="D151" i="9"/>
  <c r="F55" i="9"/>
  <c r="I119" i="9"/>
  <c r="C119" i="9"/>
  <c r="F151" i="9"/>
  <c r="F215" i="9"/>
  <c r="M702" i="1"/>
  <c r="I151" i="9" s="1"/>
  <c r="M676" i="1"/>
  <c r="M712" i="1"/>
  <c r="E215" i="9" s="1"/>
  <c r="C151" i="9"/>
  <c r="H23" i="9"/>
  <c r="K715" i="1"/>
  <c r="L715" i="1"/>
  <c r="M701" i="1"/>
  <c r="M687" i="1"/>
  <c r="H87" i="9" s="1"/>
  <c r="G151" i="9"/>
  <c r="C87" i="9"/>
  <c r="M704" i="1"/>
  <c r="D183" i="9" s="1"/>
  <c r="D215" i="9"/>
  <c r="E183" i="9"/>
  <c r="G23" i="9"/>
  <c r="I55" i="9"/>
  <c r="F119" i="9"/>
  <c r="G119" i="9"/>
  <c r="C23" i="9"/>
  <c r="F183" i="9"/>
  <c r="G87" i="9"/>
  <c r="F23" i="9"/>
  <c r="H183" i="9"/>
  <c r="E23" i="9"/>
  <c r="F87" i="9"/>
  <c r="C215" i="9"/>
  <c r="E151" i="9"/>
  <c r="D23" i="9"/>
  <c r="D55" i="9" l="1"/>
  <c r="H151" i="9"/>
  <c r="M715" i="1"/>
</calcChain>
</file>

<file path=xl/sharedStrings.xml><?xml version="1.0" encoding="utf-8"?>
<sst xmlns="http://schemas.openxmlformats.org/spreadsheetml/2006/main" count="4679" uniqueCount="1284">
  <si>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</si>
  <si>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</si>
  <si>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</si>
  <si>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</si>
  <si>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</si>
  <si>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</si>
  <si>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</si>
  <si>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</si>
  <si>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</si>
  <si>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</si>
  <si>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</si>
  <si>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</si>
  <si>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</si>
  <si>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</si>
  <si>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</si>
  <si>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</si>
  <si>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</si>
  <si>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</si>
  <si>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</si>
  <si>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</si>
  <si>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</si>
  <si>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</si>
  <si>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</si>
  <si>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</si>
  <si>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</si>
  <si>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</si>
  <si>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</si>
  <si>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</si>
  <si>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</si>
  <si>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</si>
  <si>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</si>
  <si>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</si>
  <si>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</si>
  <si>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</si>
  <si>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</si>
  <si>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</si>
  <si>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</si>
  <si>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</si>
  <si>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</si>
  <si>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</si>
  <si>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</si>
  <si>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</si>
  <si>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</si>
  <si>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</si>
  <si>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</si>
  <si>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</si>
  <si>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</si>
  <si>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</si>
  <si>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</si>
  <si>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</si>
  <si>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</si>
  <si>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</si>
  <si>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</si>
  <si>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</si>
  <si>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</si>
  <si>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</si>
  <si>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</si>
  <si>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</si>
  <si>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</si>
  <si>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</si>
  <si>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</si>
  <si>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</si>
  <si>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</si>
  <si>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</si>
  <si>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</si>
  <si>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</si>
  <si>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</si>
  <si>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</si>
  <si>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</si>
  <si>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</si>
  <si>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</si>
  <si>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</si>
  <si>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</si>
  <si>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</si>
  <si>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</si>
  <si>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</si>
  <si>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</si>
  <si>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</si>
  <si>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</si>
  <si>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</si>
  <si>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</si>
  <si>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</si>
  <si>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</si>
  <si>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</si>
  <si>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</si>
  <si>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</si>
  <si>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</si>
  <si>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</si>
  <si>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</si>
  <si>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</si>
  <si>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</si>
  <si>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</si>
  <si>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</si>
  <si>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</si>
  <si>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</si>
  <si>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</si>
  <si>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</si>
  <si>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</si>
  <si>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</si>
  <si>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</si>
  <si>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</si>
  <si>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</si>
  <si>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</si>
  <si>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</si>
  <si>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</si>
  <si>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</si>
  <si>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</si>
  <si>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</si>
  <si>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</si>
  <si>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</si>
  <si>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</si>
  <si>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</si>
  <si>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</si>
  <si>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</si>
  <si>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</si>
  <si>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</si>
  <si>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</si>
  <si>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</si>
  <si>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</si>
  <si>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</si>
  <si>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</si>
  <si>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</si>
  <si>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</si>
  <si>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</si>
  <si>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</si>
  <si>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</si>
  <si>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</si>
  <si>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</si>
  <si>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</si>
  <si>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</si>
  <si>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</si>
  <si>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</si>
  <si>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</si>
  <si>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</si>
  <si>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</si>
  <si>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</si>
  <si>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</si>
  <si>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</si>
  <si>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</si>
  <si>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</si>
  <si>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</si>
  <si>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</si>
  <si>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</si>
  <si>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</si>
  <si>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</si>
  <si>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</si>
  <si>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</si>
  <si>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</si>
  <si>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</si>
  <si>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</si>
  <si>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</si>
  <si>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</si>
  <si>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</si>
  <si>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</si>
  <si>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</si>
  <si>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</si>
  <si>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</si>
  <si>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</si>
  <si>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</si>
  <si>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</si>
  <si>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</si>
  <si>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</si>
  <si>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</si>
  <si>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</si>
  <si>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</si>
  <si>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</si>
  <si>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</si>
  <si>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</si>
  <si>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</si>
  <si>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</si>
  <si>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</si>
  <si>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</si>
  <si>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</si>
  <si>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</si>
  <si>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</si>
  <si>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</si>
  <si>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</si>
  <si>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</si>
  <si>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</si>
  <si>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</si>
  <si>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</si>
  <si>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</si>
  <si>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</si>
  <si>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</si>
  <si>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</si>
  <si>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</si>
  <si>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</si>
  <si>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</si>
  <si>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</si>
  <si>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</si>
  <si>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</si>
  <si>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</si>
  <si>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</si>
  <si>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</si>
  <si>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</si>
  <si>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</si>
  <si>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</si>
  <si>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</si>
  <si>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</si>
  <si>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</si>
  <si>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</si>
  <si>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</si>
  <si>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</si>
  <si>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</si>
  <si>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</si>
  <si>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</si>
  <si>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</si>
  <si>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</si>
  <si>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</si>
  <si>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</si>
  <si>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</si>
  <si>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</si>
  <si>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</si>
  <si>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</si>
  <si>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</si>
  <si>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</si>
  <si>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</si>
  <si>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</si>
  <si>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</si>
  <si>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</si>
  <si>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</si>
  <si>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</si>
  <si>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</si>
  <si>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</si>
  <si>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</si>
  <si>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</si>
  <si>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</si>
  <si>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</si>
  <si>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</si>
  <si>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</si>
  <si>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</si>
  <si>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</si>
  <si>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</si>
  <si>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</si>
  <si>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</si>
  <si>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</si>
  <si>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</si>
  <si>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</si>
  <si>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</si>
  <si>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</si>
  <si>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</si>
  <si>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</si>
  <si>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</si>
  <si>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</si>
  <si>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</si>
  <si>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</si>
  <si>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</si>
  <si>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</si>
  <si>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</si>
  <si>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</si>
  <si>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</si>
  <si>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</si>
  <si>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</si>
  <si>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</si>
  <si>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</si>
  <si>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</si>
  <si>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</si>
  <si>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</si>
  <si>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</si>
  <si>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</si>
  <si>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</si>
  <si>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</si>
  <si>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</si>
  <si>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</si>
  <si>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</si>
  <si>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</si>
  <si>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</si>
  <si>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</si>
  <si>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</si>
  <si>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</si>
  <si>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</si>
  <si>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</si>
  <si>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</si>
  <si>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</si>
  <si>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</si>
  <si>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</si>
  <si>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</si>
  <si>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</si>
  <si>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</si>
  <si>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</si>
  <si>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</si>
  <si>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</si>
  <si>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</si>
  <si>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</si>
  <si>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</si>
  <si>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</si>
  <si>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</si>
  <si>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</si>
  <si>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</si>
  <si>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</si>
  <si>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</si>
  <si>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</si>
  <si>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</si>
  <si>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</si>
  <si>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</si>
  <si>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</si>
  <si>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</si>
  <si>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</si>
  <si>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</si>
  <si>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</si>
  <si>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</si>
  <si>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</si>
  <si>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</si>
  <si>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</si>
  <si>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</si>
  <si>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</si>
  <si>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</si>
  <si>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</si>
  <si>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</si>
  <si>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</si>
  <si>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</si>
  <si>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</si>
  <si>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</si>
  <si>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</si>
  <si>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</si>
  <si>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</si>
  <si>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</si>
  <si>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</si>
  <si>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</si>
  <si>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</si>
  <si>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</si>
  <si>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</si>
  <si>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</si>
  <si>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</si>
  <si>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</si>
  <si>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</si>
  <si>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</si>
  <si>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</si>
  <si>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</si>
  <si>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</si>
  <si>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</si>
  <si>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</si>
  <si>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</si>
  <si>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</si>
  <si>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</si>
  <si>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</si>
  <si>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</si>
  <si>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</si>
  <si>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</si>
  <si>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</si>
  <si>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</si>
  <si>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</si>
  <si>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</si>
  <si>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</si>
  <si>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</si>
  <si>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</si>
  <si>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</si>
  <si>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</si>
  <si>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</si>
  <si>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</si>
  <si>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</si>
  <si>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</si>
  <si>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</si>
  <si>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</si>
  <si>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</si>
  <si>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</si>
  <si>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</si>
  <si>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</si>
  <si>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</si>
  <si>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</si>
  <si>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</si>
  <si>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</si>
  <si>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</si>
  <si>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</si>
  <si>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</si>
  <si>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</si>
  <si>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</si>
  <si>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</si>
  <si>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</si>
  <si>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</si>
  <si>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</si>
  <si>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</si>
  <si>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</si>
  <si>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</si>
  <si>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</si>
  <si>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</si>
  <si>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</si>
  <si>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</si>
  <si>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</si>
  <si>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</si>
  <si>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</si>
  <si>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</si>
  <si>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</si>
  <si>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</si>
  <si>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</si>
  <si>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</si>
  <si>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</si>
  <si>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</si>
  <si>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</si>
  <si>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</si>
  <si>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</si>
  <si>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</si>
  <si>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</si>
  <si>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</si>
  <si>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</si>
  <si>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</si>
  <si>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</si>
  <si>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</si>
  <si>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</si>
  <si>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</si>
  <si>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</si>
  <si>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</si>
  <si>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</si>
  <si>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</si>
  <si>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</si>
  <si>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</si>
  <si>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</si>
  <si>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</si>
  <si>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</si>
  <si>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</si>
  <si>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</si>
  <si>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</si>
  <si>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</si>
  <si>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</si>
  <si>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</si>
  <si>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</si>
  <si>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</si>
  <si>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</si>
  <si>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</si>
  <si>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</si>
  <si>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</si>
  <si>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</si>
  <si>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</si>
  <si>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</si>
  <si>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</si>
  <si>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</si>
  <si>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</si>
  <si>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</si>
  <si>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</si>
  <si>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</si>
  <si>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</si>
  <si>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</si>
  <si>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</si>
  <si>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</si>
  <si>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</si>
  <si>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</si>
  <si>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</si>
  <si>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</si>
  <si>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</si>
  <si>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</si>
  <si>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</si>
  <si>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</si>
  <si>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</si>
  <si>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</si>
  <si>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</si>
  <si>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</si>
  <si>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</si>
  <si>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</si>
  <si>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</si>
  <si>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</si>
  <si>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</si>
  <si>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</si>
  <si>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</si>
  <si>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</si>
  <si>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</si>
  <si>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</si>
  <si>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</si>
  <si>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</si>
  <si>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</si>
  <si>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</si>
  <si>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</si>
  <si>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</si>
  <si>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</si>
  <si>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</si>
  <si>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</si>
  <si>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</si>
  <si>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</si>
  <si>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</si>
  <si>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</si>
  <si>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</si>
  <si>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</si>
  <si>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</si>
  <si>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</si>
  <si>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</si>
  <si>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</si>
  <si>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</si>
  <si>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</si>
  <si>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</si>
  <si>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</si>
  <si>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</si>
  <si>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</si>
  <si>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</si>
  <si>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</si>
  <si>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</si>
  <si>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</si>
  <si>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</si>
  <si>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</si>
  <si>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</si>
  <si>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</si>
  <si>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</si>
  <si>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</si>
  <si>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</si>
  <si>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</si>
  <si>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</si>
  <si>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</si>
  <si>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</si>
  <si>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</si>
  <si>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</si>
  <si>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</si>
  <si>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</si>
  <si>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</si>
  <si>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</si>
  <si>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</si>
  <si>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</si>
  <si>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</si>
  <si>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</si>
  <si>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</si>
  <si>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</si>
  <si>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</si>
  <si>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</si>
  <si>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</si>
  <si>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</si>
  <si>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</si>
  <si>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</si>
  <si>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</si>
  <si>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</si>
  <si>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</si>
  <si>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</si>
  <si>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</si>
  <si>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</si>
  <si>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</si>
  <si>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</si>
  <si>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</si>
  <si>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</si>
  <si>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</si>
  <si>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</si>
  <si>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</si>
  <si>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</si>
  <si>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</si>
  <si>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</si>
  <si>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</si>
  <si>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</si>
  <si>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</si>
  <si>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</si>
  <si>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</si>
  <si>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</si>
  <si>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</si>
  <si>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</si>
  <si>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</si>
  <si>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</si>
  <si>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</si>
  <si>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</si>
  <si>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</si>
  <si>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</si>
  <si>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</si>
  <si>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</si>
  <si>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</si>
  <si>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</si>
  <si>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</si>
  <si>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</si>
  <si>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</si>
  <si>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</si>
  <si>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</si>
  <si>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</si>
  <si>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</si>
  <si>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</si>
  <si>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</si>
  <si>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</si>
  <si>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</si>
  <si>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</si>
  <si>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</si>
  <si>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</si>
  <si>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</si>
  <si>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</si>
  <si>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</si>
  <si>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</si>
  <si>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</si>
  <si>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</si>
  <si>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</si>
  <si>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</si>
  <si>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</si>
  <si>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</si>
  <si>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</si>
  <si>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</si>
  <si>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</si>
  <si>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</si>
  <si>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</si>
  <si>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</si>
  <si>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</si>
  <si>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</si>
  <si>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</si>
  <si>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</si>
  <si>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</si>
  <si>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</si>
  <si>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</si>
  <si>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</si>
  <si>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</si>
  <si>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</si>
  <si>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</si>
  <si>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</si>
  <si>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</si>
  <si>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</si>
  <si>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</si>
  <si>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</si>
  <si>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</si>
  <si>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</si>
  <si>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</si>
  <si>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</si>
  <si>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</si>
  <si>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</si>
  <si>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</si>
  <si>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</si>
  <si>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</si>
  <si>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</si>
  <si>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</si>
  <si>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</si>
  <si>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</si>
  <si>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</si>
  <si>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</si>
  <si>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</si>
  <si>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</si>
  <si>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</si>
  <si>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</si>
  <si>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</si>
  <si>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</si>
  <si>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</si>
  <si>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</si>
  <si>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</si>
  <si>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</si>
  <si>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</si>
  <si>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</si>
  <si>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</si>
  <si>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</si>
  <si>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</si>
  <si>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</si>
  <si>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</si>
  <si>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</si>
  <si>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</si>
  <si>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</si>
  <si>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</si>
  <si>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</si>
  <si>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</si>
  <si>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</si>
  <si>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</si>
  <si>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</si>
  <si>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</si>
  <si>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</si>
  <si>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</si>
  <si>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</si>
  <si>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</si>
  <si>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</si>
  <si>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</si>
  <si>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</si>
  <si>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</si>
  <si>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</si>
  <si>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</si>
  <si>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</si>
  <si>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</si>
  <si>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</si>
  <si>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</si>
  <si>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</si>
  <si>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</si>
  <si>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</si>
  <si>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</si>
  <si>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</si>
  <si>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</si>
  <si>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</si>
  <si>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</si>
  <si>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</si>
  <si>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</si>
  <si>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</si>
  <si>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</si>
  <si>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</si>
  <si>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</si>
  <si>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</si>
  <si>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</si>
  <si>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</si>
  <si>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</si>
  <si>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</si>
  <si>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</si>
  <si>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</si>
  <si>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</si>
  <si>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</si>
  <si>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</si>
  <si>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</si>
  <si>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</si>
  <si>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</si>
  <si>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</si>
  <si>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</si>
  <si>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</si>
  <si>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</si>
  <si>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</si>
  <si>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</si>
  <si>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</si>
  <si>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</si>
  <si>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</si>
  <si>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</si>
  <si>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</si>
  <si>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</si>
  <si>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</si>
  <si>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</si>
  <si>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</si>
  <si>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</si>
  <si>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</si>
  <si>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</si>
  <si>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</si>
  <si>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</si>
  <si>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</si>
  <si>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</si>
  <si>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</si>
  <si>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</si>
  <si>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</si>
  <si>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</si>
  <si>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</si>
  <si>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</si>
  <si>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</si>
  <si>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</si>
  <si>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</si>
  <si>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</si>
  <si>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</si>
  <si>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</si>
  <si>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</si>
  <si>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</si>
  <si>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</si>
  <si>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</si>
  <si>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</si>
  <si>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</si>
  <si>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</si>
  <si>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</si>
  <si>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</si>
  <si>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</si>
  <si>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</si>
  <si>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</si>
  <si>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</si>
  <si>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</si>
  <si>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</si>
  <si>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</si>
  <si>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</si>
  <si>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</si>
  <si>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</si>
  <si>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</si>
  <si>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</si>
  <si>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</si>
  <si>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</si>
  <si>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</si>
  <si>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</si>
  <si>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</si>
  <si>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</si>
  <si>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</si>
  <si>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</si>
  <si>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</si>
  <si>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</si>
  <si>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</si>
  <si>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</si>
  <si>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</si>
  <si>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</si>
  <si>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</si>
  <si>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</si>
  <si>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</si>
  <si>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</si>
  <si>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</si>
  <si>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</si>
  <si>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</si>
  <si>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</si>
  <si>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</si>
  <si>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</si>
  <si>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</si>
  <si>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</si>
  <si>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</si>
  <si>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</si>
  <si>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</si>
  <si>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</si>
  <si>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</si>
  <si>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</si>
  <si>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</si>
  <si>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</si>
  <si>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</si>
  <si>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</si>
  <si>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</si>
  <si>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</si>
  <si>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</si>
  <si>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</si>
  <si>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</si>
  <si>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</si>
  <si>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</si>
  <si>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</si>
  <si>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</si>
  <si>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</si>
  <si>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</si>
  <si>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</si>
  <si>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</si>
  <si>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</si>
  <si>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</si>
  <si>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</si>
  <si>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</si>
  <si>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</si>
  <si>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</si>
  <si>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</si>
  <si>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</si>
  <si>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</si>
  <si>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</si>
  <si>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</si>
  <si>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</si>
  <si>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</si>
  <si>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</si>
  <si>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</si>
  <si>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</si>
  <si>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</si>
  <si>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</si>
  <si>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</si>
  <si>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</si>
  <si>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</si>
  <si>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</si>
  <si>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</si>
  <si>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</si>
  <si>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</si>
  <si>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</si>
  <si>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</si>
  <si>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</si>
  <si>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</si>
  <si>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</si>
  <si>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</si>
  <si>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</si>
  <si>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</si>
  <si>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</si>
  <si>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</si>
  <si>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</si>
  <si>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</si>
  <si>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</si>
  <si>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</si>
  <si>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</si>
  <si>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</si>
  <si>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</si>
  <si>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</si>
  <si>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</si>
  <si>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</si>
  <si>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</si>
  <si>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</si>
  <si>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</si>
  <si>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</si>
  <si>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</si>
  <si>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</si>
  <si>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</si>
  <si>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</si>
  <si>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</si>
  <si>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</si>
  <si>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</si>
  <si>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</si>
  <si>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</si>
  <si>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</si>
  <si>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</si>
  <si>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</si>
  <si>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</si>
  <si>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</si>
  <si>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</si>
  <si>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</si>
  <si>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</si>
  <si>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</si>
  <si>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</si>
  <si>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</si>
  <si>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</si>
  <si>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</si>
  <si>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</si>
  <si>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</si>
  <si>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</si>
  <si>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</si>
  <si>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</si>
  <si>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</si>
  <si>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</si>
  <si>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</si>
  <si>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</si>
  <si>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</si>
  <si>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</si>
  <si>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</si>
  <si>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</si>
  <si>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</si>
  <si>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</si>
  <si>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</si>
  <si>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</si>
  <si>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</si>
  <si>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</si>
  <si>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</si>
  <si>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</si>
  <si>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</si>
  <si>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</si>
  <si>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</si>
  <si>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</si>
  <si>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</si>
  <si>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</si>
  <si>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</si>
  <si>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</si>
  <si>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</si>
  <si>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</si>
  <si>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</si>
  <si>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</si>
  <si>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</si>
  <si>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</si>
  <si>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</si>
  <si>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</si>
  <si>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</si>
  <si>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</si>
  <si>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</si>
  <si>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</si>
  <si>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</si>
  <si>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</si>
  <si>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</si>
  <si>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</si>
  <si>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</si>
  <si>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</si>
  <si>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</si>
  <si>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</si>
  <si>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</si>
  <si>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</si>
  <si>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</si>
  <si>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</si>
  <si>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</si>
  <si>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</si>
  <si>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</si>
  <si>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</si>
  <si>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</si>
  <si>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</si>
  <si>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</si>
  <si>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</si>
  <si>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</si>
  <si>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</si>
  <si>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</si>
  <si>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</si>
  <si>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</si>
  <si>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</si>
  <si>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</si>
  <si>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</si>
  <si>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</si>
  <si>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</si>
  <si>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</si>
  <si>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</si>
  <si>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</si>
  <si>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</si>
  <si>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</si>
  <si>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</si>
  <si>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</si>
  <si>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</si>
  <si>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</si>
  <si>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</si>
  <si>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</si>
  <si>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</si>
  <si>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</si>
  <si>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</si>
  <si>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</si>
  <si>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</si>
  <si>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</si>
  <si>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</si>
  <si>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</si>
  <si>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</si>
  <si>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</si>
  <si>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</si>
  <si>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</si>
  <si>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</si>
  <si>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</si>
  <si>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</si>
  <si>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</si>
  <si>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</si>
  <si>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</si>
  <si>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</si>
  <si>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</si>
  <si>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</si>
  <si>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</si>
  <si>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</si>
  <si>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</si>
  <si>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</si>
  <si>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</si>
  <si>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</si>
  <si>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</si>
  <si>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</si>
  <si>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</si>
  <si>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</si>
  <si>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</si>
  <si>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</si>
  <si>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</si>
  <si>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</si>
  <si>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</si>
  <si>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</si>
  <si>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</si>
  <si>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</si>
  <si>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</si>
  <si>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</si>
  <si>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</si>
  <si>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</si>
  <si>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</si>
  <si>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</si>
  <si>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</si>
  <si>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</si>
  <si>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</si>
  <si>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</si>
  <si>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</si>
  <si>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</si>
  <si>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</si>
  <si>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</si>
  <si>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</si>
  <si>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</si>
  <si>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</si>
  <si>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</si>
  <si>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</si>
  <si>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</si>
  <si>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</si>
  <si>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</si>
  <si>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</si>
  <si>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</si>
  <si>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</si>
  <si>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</si>
  <si>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</si>
  <si>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</si>
  <si>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</si>
  <si>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</si>
  <si>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</si>
  <si>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</si>
  <si>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</si>
  <si>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</si>
  <si>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</si>
  <si>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</si>
  <si>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</si>
  <si>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</si>
  <si>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</si>
  <si>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</si>
  <si>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</si>
  <si>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</si>
  <si>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</si>
  <si>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</si>
  <si>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</si>
  <si>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</si>
  <si>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</si>
  <si>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</si>
  <si>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</si>
  <si>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</si>
  <si>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</si>
  <si>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</si>
  <si>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</si>
  <si>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</si>
  <si>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</si>
  <si>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</si>
  <si>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</si>
  <si>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</si>
  <si>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</si>
  <si>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</si>
  <si>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</si>
  <si>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</si>
  <si>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</si>
  <si>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</si>
  <si>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</si>
  <si>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</si>
  <si>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</si>
  <si>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</si>
  <si>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</si>
  <si>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</si>
  <si>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</si>
  <si>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</si>
  <si>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</si>
  <si>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</si>
  <si>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</si>
  <si>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</si>
  <si>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</si>
  <si>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</si>
  <si>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</si>
  <si>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</si>
  <si>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</si>
  <si>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</si>
  <si>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</si>
  <si>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</si>
  <si>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</si>
  <si>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</si>
  <si>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</si>
  <si>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</si>
  <si>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</si>
  <si>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</si>
  <si>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</si>
  <si>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</si>
  <si>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</si>
  <si>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</si>
  <si>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</si>
  <si>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</si>
  <si>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</si>
  <si>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</si>
  <si>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</si>
  <si>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</si>
  <si>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</si>
  <si>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</si>
  <si>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</si>
  <si>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</si>
  <si>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</si>
  <si>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</si>
  <si>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</si>
  <si>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</si>
  <si>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</si>
  <si>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</si>
  <si>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</si>
  <si>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</si>
  <si>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</si>
  <si>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</si>
  <si>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</si>
  <si>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</si>
  <si>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</si>
  <si>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</si>
  <si>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</si>
  <si>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</si>
  <si>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</si>
  <si>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</si>
  <si>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</si>
  <si>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</si>
  <si>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</si>
  <si>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</si>
  <si>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</si>
  <si>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</si>
  <si>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</si>
  <si>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</si>
  <si>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</si>
  <si>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</si>
  <si>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</si>
  <si>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</si>
  <si>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</si>
  <si>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</si>
  <si>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</si>
  <si>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</si>
  <si>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</si>
  <si>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</si>
  <si>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</si>
  <si>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</si>
  <si>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</si>
  <si>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</si>
  <si>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</si>
  <si>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</si>
  <si>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</si>
  <si>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</si>
  <si>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</si>
  <si>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</si>
  <si>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</si>
  <si>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</si>
  <si>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</si>
  <si>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</si>
  <si>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</si>
  <si>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</si>
  <si>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</si>
  <si>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</si>
  <si>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</si>
  <si>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</si>
  <si>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</si>
  <si>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</si>
  <si>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</si>
  <si>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</si>
  <si>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</si>
  <si>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</si>
  <si>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</si>
  <si>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</si>
  <si>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</si>
  <si>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</si>
  <si>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</si>
  <si>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</si>
  <si>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</si>
  <si>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</si>
  <si>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</si>
  <si>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</si>
  <si>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</si>
  <si>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</si>
  <si>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</si>
  <si>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</si>
  <si>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</si>
  <si>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</si>
  <si>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</si>
  <si>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</si>
  <si>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</si>
  <si>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</si>
  <si>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</si>
  <si>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</si>
  <si>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</si>
  <si>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</si>
  <si>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</si>
  <si>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</si>
  <si>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</si>
  <si>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</si>
  <si>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</si>
  <si>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</si>
  <si>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</si>
  <si>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</si>
  <si>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</si>
  <si>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</si>
  <si>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</si>
  <si>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</si>
  <si>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</si>
  <si>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</si>
  <si>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</si>
  <si>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</si>
  <si>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</si>
  <si>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</si>
  <si>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</si>
  <si>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</si>
  <si>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</si>
  <si>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</si>
  <si>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</si>
  <si>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</si>
  <si>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</si>
  <si>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</si>
  <si>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</si>
  <si>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</si>
  <si>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</si>
  <si>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</si>
  <si>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</si>
  <si>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</si>
  <si>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</si>
  <si>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</si>
  <si>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</si>
  <si>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</si>
  <si>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</si>
  <si>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</si>
  <si>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</si>
  <si>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</si>
  <si>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</si>
  <si>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</si>
  <si>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</si>
  <si>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</si>
  <si>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</si>
  <si>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</si>
  <si>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</si>
  <si>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</si>
  <si>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</si>
  <si>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</si>
  <si>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</si>
  <si>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</si>
  <si>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</si>
  <si>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</si>
  <si>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</si>
  <si>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</si>
  <si>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</si>
  <si>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</si>
  <si>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</si>
  <si>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</si>
  <si>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</si>
  <si>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</si>
  <si>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</si>
  <si>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</si>
  <si>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</si>
  <si>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</si>
  <si>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</si>
  <si>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</si>
  <si>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</si>
  <si>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</si>
  <si>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</si>
  <si>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</si>
  <si>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</si>
  <si>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</si>
  <si>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</si>
  <si>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</si>
  <si>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</si>
  <si>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</si>
  <si>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</si>
  <si>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</si>
  <si>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</si>
  <si>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</si>
  <si>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</si>
  <si>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</si>
  <si>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</si>
  <si>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</si>
  <si>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</si>
  <si>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</si>
  <si>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</si>
  <si>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</si>
  <si>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</si>
  <si>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</si>
  <si>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</si>
  <si>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</si>
  <si>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</si>
  <si>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</si>
  <si>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</si>
  <si>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</si>
  <si>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</si>
  <si>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</si>
  <si>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</si>
  <si>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</si>
  <si>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</si>
  <si>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</si>
  <si>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</si>
  <si>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172</t>
  </si>
  <si>
    <t>Public Hospital District #1-A of Whitman County</t>
  </si>
  <si>
    <t xml:space="preserve">  835 SE Bishop Blvd</t>
  </si>
  <si>
    <t>Pullman WA 99163</t>
  </si>
  <si>
    <t>Whitman County</t>
  </si>
  <si>
    <t>Scott K Adams</t>
  </si>
  <si>
    <t>Steven D Febus</t>
  </si>
  <si>
    <t>Patricia D Grantham</t>
  </si>
  <si>
    <t>509-332-2541</t>
  </si>
  <si>
    <t>509-332-4242</t>
  </si>
  <si>
    <t>A new Anesthesia Purchased Service agreement was effective January 1, 2017 that included full coverage and administrative fees.</t>
  </si>
  <si>
    <t>In 2016, the Clinics included  6 months  of Audiology  services and recovery revenue with hearing aid sales.  The Audiology clinic was sold in June 2016.  The 2017 Clinic amounts excludes the Audiology services completely.</t>
  </si>
  <si>
    <t>a few minor equipment purchases in 2018 which increased expenses</t>
  </si>
  <si>
    <t>Equipment lease was completed in 2017.  No operating lease payments in 2018.</t>
  </si>
  <si>
    <t>Changed procedure calculation in 2018 and no longer included Oxim Spot Checks in the count</t>
  </si>
  <si>
    <t>In 2017, the average meal price to calculate the statistic was $4.50.  In 2018, the average meal price was increased to $6.75 which is more in line with actual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</si>
</sst>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2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0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37" fontId="18" fillId="0" borderId="0"/>
    <xf numFmtId="0" fontId="9" fillId="0" borderId="0"/>
    <xf numFmtId="37" fontId="18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37" fontId="18" fillId="0" borderId="0"/>
    <xf numFmtId="0" fontId="3" fillId="0" borderId="0"/>
    <xf numFmtId="0" fontId="5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37" fontId="10" fillId="0" borderId="0"/>
    <xf numFmtId="9" fontId="5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10" fillId="0" borderId="0"/>
    <xf numFmtId="0" fontId="2" fillId="0" borderId="0"/>
    <xf numFmtId="37" fontId="1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9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3" borderId="0" xfId="0" applyFont="1" applyFill="1" applyAlignment="1" applyProtection="1">
      <alignment horizontal="center" vertical="center"/>
    </xf>
  </cellXfs>
  <cellStyles count="62">
    <cellStyle name="Comma" xfId="1" builtinId="3"/>
    <cellStyle name="Comma 2" xfId="26"/>
    <cellStyle name="Comma 48" xfId="39"/>
    <cellStyle name="Comma 48 2" xfId="47"/>
    <cellStyle name="Comma 48 2 2" xfId="57"/>
    <cellStyle name="Comma 48 3" xfId="52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1 2" xfId="37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 2" xfId="43"/>
    <cellStyle name="Normal 2 3" xfId="31"/>
    <cellStyle name="Normal 2 3 2" xfId="27"/>
    <cellStyle name="Normal 2 4" xfId="34"/>
    <cellStyle name="Normal 2 5" xfId="30"/>
    <cellStyle name="Normal 213" xfId="20"/>
    <cellStyle name="Normal 220" xfId="7"/>
    <cellStyle name="Normal 240" xfId="8"/>
    <cellStyle name="Normal 277" xfId="9"/>
    <cellStyle name="Normal 288" xfId="10"/>
    <cellStyle name="Normal 3" xfId="38"/>
    <cellStyle name="Normal 326" xfId="11"/>
    <cellStyle name="Normal 346" xfId="12"/>
    <cellStyle name="Normal 4" xfId="24"/>
    <cellStyle name="Normal 4 2" xfId="41"/>
    <cellStyle name="Normal 420" xfId="17"/>
    <cellStyle name="Normal 428" xfId="18"/>
    <cellStyle name="Normal 448" xfId="19"/>
    <cellStyle name="Normal 5" xfId="29"/>
    <cellStyle name="Normal 5 2" xfId="33"/>
    <cellStyle name="Normal 5 3" xfId="45"/>
    <cellStyle name="Normal 5 3 2" xfId="50"/>
    <cellStyle name="Normal 5 3 2 2" xfId="60"/>
    <cellStyle name="Normal 5 3 3" xfId="55"/>
    <cellStyle name="Normal 5 4" xfId="42"/>
    <cellStyle name="Normal 5 4 2" xfId="53"/>
    <cellStyle name="Normal 5 5" xfId="48"/>
    <cellStyle name="Normal 5 5 2" xfId="58"/>
    <cellStyle name="Normal 6" xfId="22"/>
    <cellStyle name="Normal 6 2" xfId="44"/>
    <cellStyle name="Normal 6 2 2" xfId="49"/>
    <cellStyle name="Normal 6 2 2 2" xfId="59"/>
    <cellStyle name="Normal 6 2 3" xfId="54"/>
    <cellStyle name="Normal 6 3" xfId="46"/>
    <cellStyle name="Normal 6 3 2" xfId="51"/>
    <cellStyle name="Normal 6 3 2 2" xfId="61"/>
    <cellStyle name="Normal 6 3 3" xfId="56"/>
    <cellStyle name="Normal 9" xfId="32"/>
    <cellStyle name="Normal 9 2" xfId="36"/>
    <cellStyle name="Percent" xfId="3" builtinId="5"/>
    <cellStyle name="Percent 2" xfId="40"/>
    <cellStyle name="Percent 3 2" xfId="3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6434214</v>
      </c>
      <c r="C48" s="243">
        <f>ROUND(((B48/CE61)*C61),0)</f>
        <v>233693</v>
      </c>
      <c r="D48" s="243">
        <f>ROUND(((B48/CE61)*D61),0)</f>
        <v>0</v>
      </c>
      <c r="E48" s="195">
        <f>ROUND(((B48/CE61)*E61),0)</f>
        <v>601859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390963</v>
      </c>
      <c r="P48" s="195">
        <f>ROUND(((B48/CE61)*P61),0)</f>
        <v>791190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215947</v>
      </c>
      <c r="V48" s="195">
        <f>ROUND(((B48/CE61)*V61),0)</f>
        <v>0</v>
      </c>
      <c r="W48" s="195">
        <f>ROUND(((B48/CE61)*W61),0)</f>
        <v>68992</v>
      </c>
      <c r="X48" s="195">
        <f>ROUND(((B48/CE61)*X61),0)</f>
        <v>13919</v>
      </c>
      <c r="Y48" s="195">
        <f>ROUND(((B48/CE61)*Y61),0)</f>
        <v>312720</v>
      </c>
      <c r="Z48" s="195">
        <f>ROUND(((B48/CE61)*Z61),0)</f>
        <v>0</v>
      </c>
      <c r="AA48" s="195">
        <f>ROUND(((B48/CE61)*AA61),0)</f>
        <v>36757</v>
      </c>
      <c r="AB48" s="195">
        <f>ROUND(((B48/CE61)*AB61),0)</f>
        <v>141574</v>
      </c>
      <c r="AC48" s="195">
        <f>ROUND(((B48/CE61)*AC61),0)</f>
        <v>168329</v>
      </c>
      <c r="AD48" s="195">
        <f>ROUND(((B48/CE61)*AD61),0)</f>
        <v>0</v>
      </c>
      <c r="AE48" s="195">
        <f>ROUND(((B48/CE61)*AE61),0)</f>
        <v>629358</v>
      </c>
      <c r="AF48" s="195">
        <f>ROUND(((B48/CE61)*AF61),0)</f>
        <v>0</v>
      </c>
      <c r="AG48" s="195">
        <f>ROUND(((B48/CE61)*AG61),0)</f>
        <v>929041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10696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34774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180729</v>
      </c>
      <c r="AZ48" s="195">
        <f>ROUND(((B48/CE61)*AZ61),0)</f>
        <v>0</v>
      </c>
      <c r="BA48" s="195">
        <f>ROUND(((B48/CE61)*BA61),0)</f>
        <v>4217</v>
      </c>
      <c r="BB48" s="195">
        <f>ROUND(((B48/CE61)*BB61),0)</f>
        <v>107088</v>
      </c>
      <c r="BC48" s="195">
        <f>ROUND(((B48/CE61)*BC61),0)</f>
        <v>0</v>
      </c>
      <c r="BD48" s="195">
        <f>ROUND(((B48/CE61)*BD61),0)</f>
        <v>91886</v>
      </c>
      <c r="BE48" s="195">
        <f>ROUND(((B48/CE61)*BE61),0)</f>
        <v>121562</v>
      </c>
      <c r="BF48" s="195">
        <f>ROUND(((B48/CE61)*BF61),0)</f>
        <v>105240</v>
      </c>
      <c r="BG48" s="195">
        <f>ROUND(((B48/CE61)*BG61),0)</f>
        <v>0</v>
      </c>
      <c r="BH48" s="195">
        <f>ROUND(((B48/CE61)*BH61),0)</f>
        <v>125941</v>
      </c>
      <c r="BI48" s="195">
        <f>ROUND(((B48/CE61)*BI61),0)</f>
        <v>100456</v>
      </c>
      <c r="BJ48" s="195">
        <f>ROUND(((B48/CE61)*BJ61),0)</f>
        <v>0</v>
      </c>
      <c r="BK48" s="195">
        <f>ROUND(((B48/CE61)*BK61),0)</f>
        <v>125275</v>
      </c>
      <c r="BL48" s="195">
        <f>ROUND(((B48/CE61)*BL61),0)</f>
        <v>103158</v>
      </c>
      <c r="BM48" s="195">
        <f>ROUND(((B48/CE61)*BM61),0)</f>
        <v>63993</v>
      </c>
      <c r="BN48" s="195">
        <f>ROUND(((B48/CE61)*BN61),0)</f>
        <v>131800</v>
      </c>
      <c r="BO48" s="195">
        <f>ROUND(((B48/CE61)*BO61),0)</f>
        <v>22582</v>
      </c>
      <c r="BP48" s="195">
        <f>ROUND(((B48/CE61)*BP61),0)</f>
        <v>66696</v>
      </c>
      <c r="BQ48" s="195">
        <f>ROUND(((B48/CE61)*BQ61),0)</f>
        <v>0</v>
      </c>
      <c r="BR48" s="195">
        <f>ROUND(((B48/CE61)*BR61),0)</f>
        <v>107135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59823</v>
      </c>
      <c r="BW48" s="195">
        <f>ROUND(((B48/CE61)*BW61),0)</f>
        <v>87749</v>
      </c>
      <c r="BX48" s="195">
        <f>ROUND(((B48/CE61)*BX61),0)</f>
        <v>50628</v>
      </c>
      <c r="BY48" s="195">
        <f>ROUND(((B48/CE61)*BY61),0)</f>
        <v>198445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6434215</v>
      </c>
    </row>
    <row r="49" spans="1:84" ht="12.6" customHeight="1" x14ac:dyDescent="0.25">
      <c r="A49" s="175" t="s">
        <v>206</v>
      </c>
      <c r="B49" s="195">
        <f>B47+B48</f>
        <v>6434214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3160745</v>
      </c>
      <c r="C52" s="195">
        <f>ROUND((B52/(CE76+CF76)*C76),0)</f>
        <v>51654</v>
      </c>
      <c r="D52" s="195">
        <f>ROUND((B52/(CE76+CF76)*D76),0)</f>
        <v>0</v>
      </c>
      <c r="E52" s="195">
        <f>ROUND((B52/(CE76+CF76)*E76),0)</f>
        <v>278115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237112</v>
      </c>
      <c r="P52" s="195">
        <f>ROUND((B52/(CE76+CF76)*P76),0)</f>
        <v>318202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41203</v>
      </c>
      <c r="T52" s="195">
        <f>ROUND((B52/(CE76+CF76)*T76),0)</f>
        <v>0</v>
      </c>
      <c r="U52" s="195">
        <f>ROUND((B52/(CE76+CF76)*U76),0)</f>
        <v>56121</v>
      </c>
      <c r="V52" s="195">
        <f>ROUND((B52/(CE76+CF76)*V76),0)</f>
        <v>8848</v>
      </c>
      <c r="W52" s="195">
        <f>ROUND((B52/(CE76+CF76)*W76),0)</f>
        <v>14431</v>
      </c>
      <c r="X52" s="195">
        <f>ROUND((B52/(CE76+CF76)*X76),0)</f>
        <v>14947</v>
      </c>
      <c r="Y52" s="195">
        <f>ROUND((B52/(CE76+CF76)*Y76),0)</f>
        <v>129823</v>
      </c>
      <c r="Z52" s="195">
        <f>ROUND((B52/(CE76+CF76)*Z76),0)</f>
        <v>0</v>
      </c>
      <c r="AA52" s="195">
        <f>ROUND((B52/(CE76+CF76)*AA76),0)</f>
        <v>8733</v>
      </c>
      <c r="AB52" s="195">
        <f>ROUND((B52/(CE76+CF76)*AB76),0)</f>
        <v>22449</v>
      </c>
      <c r="AC52" s="195">
        <f>ROUND((B52/(CE76+CF76)*AC76),0)</f>
        <v>35419</v>
      </c>
      <c r="AD52" s="195">
        <f>ROUND((B52/(CE76+CF76)*AD76),0)</f>
        <v>0</v>
      </c>
      <c r="AE52" s="195">
        <f>ROUND((B52/(CE76+CF76)*AE76),0)</f>
        <v>250141</v>
      </c>
      <c r="AF52" s="195">
        <f>ROUND((B52/(CE76+CF76)*AF76),0)</f>
        <v>0</v>
      </c>
      <c r="AG52" s="195">
        <f>ROUND((B52/(CE76+CF76)*AG76),0)</f>
        <v>183625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28633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136466</v>
      </c>
      <c r="AZ52" s="195">
        <f>ROUND((B52/(CE76+CF76)*AZ76),0)</f>
        <v>0</v>
      </c>
      <c r="BA52" s="195">
        <f>ROUND((B52/(CE76+CF76)*BA76),0)</f>
        <v>37052</v>
      </c>
      <c r="BB52" s="195">
        <f>ROUND((B52/(CE76+CF76)*BB76),0)</f>
        <v>4295</v>
      </c>
      <c r="BC52" s="195">
        <f>ROUND((B52/(CE76+CF76)*BC76),0)</f>
        <v>0</v>
      </c>
      <c r="BD52" s="195">
        <f>ROUND((B52/(CE76+CF76)*BD76),0)</f>
        <v>80717</v>
      </c>
      <c r="BE52" s="195">
        <f>ROUND((B52/(CE76+CF76)*BE76),0)</f>
        <v>376557</v>
      </c>
      <c r="BF52" s="195">
        <f>ROUND((B52/(CE76+CF76)*BF76),0)</f>
        <v>10737</v>
      </c>
      <c r="BG52" s="195">
        <f>ROUND((B52/(CE76+CF76)*BG76),0)</f>
        <v>0</v>
      </c>
      <c r="BH52" s="195">
        <f>ROUND((B52/(CE76+CF76)*BH76),0)</f>
        <v>53458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24796</v>
      </c>
      <c r="BM52" s="195">
        <f>ROUND((B52/(CE76+CF76)*BM76),0)</f>
        <v>7874</v>
      </c>
      <c r="BN52" s="195">
        <f>ROUND((B52/(CE76+CF76)*BN76),0)</f>
        <v>102078</v>
      </c>
      <c r="BO52" s="195">
        <f>ROUND((B52/(CE76+CF76)*BO76),0)</f>
        <v>0</v>
      </c>
      <c r="BP52" s="195">
        <f>ROUND((B52/(CE76+CF76)*BP76),0)</f>
        <v>7874</v>
      </c>
      <c r="BQ52" s="195">
        <f>ROUND((B52/(CE76+CF76)*BQ76),0)</f>
        <v>0</v>
      </c>
      <c r="BR52" s="195">
        <f>ROUND((B52/(CE76+CF76)*BR76),0)</f>
        <v>7874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38741</v>
      </c>
      <c r="BW52" s="195">
        <f>ROUND((B52/(CE76+CF76)*BW76),0)</f>
        <v>4295</v>
      </c>
      <c r="BX52" s="195">
        <f>ROUND((B52/(CE76+CF76)*BX76),0)</f>
        <v>4295</v>
      </c>
      <c r="BY52" s="195">
        <f>ROUND((B52/(CE76+CF76)*BY76),0)</f>
        <v>4295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579882</v>
      </c>
      <c r="CD52" s="195"/>
      <c r="CE52" s="195">
        <f>SUM(C52:CD52)</f>
        <v>3160742</v>
      </c>
    </row>
    <row r="53" spans="1:84" ht="12.6" customHeight="1" x14ac:dyDescent="0.25">
      <c r="A53" s="175" t="s">
        <v>206</v>
      </c>
      <c r="B53" s="195">
        <f>B51+B52</f>
        <v>3160745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536</v>
      </c>
      <c r="D59" s="184"/>
      <c r="E59" s="184">
        <f>1918+864</f>
        <v>2782</v>
      </c>
      <c r="F59" s="184"/>
      <c r="G59" s="184"/>
      <c r="H59" s="184"/>
      <c r="I59" s="184"/>
      <c r="J59" s="184">
        <v>703</v>
      </c>
      <c r="K59" s="184"/>
      <c r="L59" s="184">
        <v>263</v>
      </c>
      <c r="M59" s="184"/>
      <c r="N59" s="184"/>
      <c r="O59" s="184">
        <v>353</v>
      </c>
      <c r="P59" s="185">
        <v>217114</v>
      </c>
      <c r="Q59" s="185">
        <v>108410</v>
      </c>
      <c r="R59" s="185">
        <f>2658*60</f>
        <v>159480</v>
      </c>
      <c r="S59" s="246"/>
      <c r="T59" s="246"/>
      <c r="U59" s="224">
        <v>108264</v>
      </c>
      <c r="V59" s="185">
        <v>3683</v>
      </c>
      <c r="W59" s="185">
        <v>2857</v>
      </c>
      <c r="X59" s="185">
        <v>4639</v>
      </c>
      <c r="Y59" s="185">
        <f>16475+1989+5938</f>
        <v>24402</v>
      </c>
      <c r="Z59" s="185"/>
      <c r="AA59" s="185">
        <v>937</v>
      </c>
      <c r="AB59" s="246"/>
      <c r="AC59" s="185">
        <v>10970</v>
      </c>
      <c r="AD59" s="185"/>
      <c r="AE59" s="185">
        <f>16925+15732+5406</f>
        <v>38063</v>
      </c>
      <c r="AF59" s="185"/>
      <c r="AG59" s="185">
        <v>12523</v>
      </c>
      <c r="AH59" s="185"/>
      <c r="AI59" s="185"/>
      <c r="AJ59" s="185">
        <v>278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v>17815</v>
      </c>
      <c r="AZ59" s="185">
        <f>97951-17815</f>
        <v>80136</v>
      </c>
      <c r="BA59" s="246"/>
      <c r="BB59" s="246"/>
      <c r="BC59" s="246"/>
      <c r="BD59" s="246"/>
      <c r="BE59" s="185">
        <v>110387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14.54</v>
      </c>
      <c r="D60" s="187"/>
      <c r="E60" s="187">
        <f>4.88+25.31</f>
        <v>30.189999999999998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22.55</v>
      </c>
      <c r="P60" s="221">
        <f>22.62+24.69</f>
        <v>47.31</v>
      </c>
      <c r="Q60" s="221"/>
      <c r="R60" s="221"/>
      <c r="S60" s="221"/>
      <c r="T60" s="221"/>
      <c r="U60" s="221">
        <v>16.829999999999998</v>
      </c>
      <c r="V60" s="221"/>
      <c r="W60" s="221">
        <v>3.31</v>
      </c>
      <c r="X60" s="221">
        <v>0.98</v>
      </c>
      <c r="Y60" s="221">
        <f>13.28+4.28+1.3</f>
        <v>18.86</v>
      </c>
      <c r="Z60" s="221"/>
      <c r="AA60" s="221">
        <v>1.66</v>
      </c>
      <c r="AB60" s="221">
        <v>5.7</v>
      </c>
      <c r="AC60" s="221">
        <f>7.35+1.07+1.75</f>
        <v>10.17</v>
      </c>
      <c r="AD60" s="221"/>
      <c r="AE60" s="221">
        <f>34.28+4.88+1.81+1</f>
        <v>41.970000000000006</v>
      </c>
      <c r="AF60" s="221"/>
      <c r="AG60" s="221">
        <f>23.44+7.35+0.48</f>
        <v>31.27</v>
      </c>
      <c r="AH60" s="221"/>
      <c r="AI60" s="221"/>
      <c r="AJ60" s="221">
        <v>0.62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1.85+0.09</f>
        <v>1.9400000000000002</v>
      </c>
      <c r="AW60" s="221"/>
      <c r="AX60" s="221"/>
      <c r="AY60" s="221">
        <f>17.42+3.08</f>
        <v>20.5</v>
      </c>
      <c r="AZ60" s="221">
        <v>17.420000000000002</v>
      </c>
      <c r="BA60" s="221">
        <v>0.52</v>
      </c>
      <c r="BB60" s="221">
        <v>5.75</v>
      </c>
      <c r="BC60" s="221"/>
      <c r="BD60" s="221">
        <v>7.01</v>
      </c>
      <c r="BE60" s="221">
        <v>8.69</v>
      </c>
      <c r="BF60" s="221">
        <v>13.7</v>
      </c>
      <c r="BG60" s="221"/>
      <c r="BH60" s="221">
        <f>4.05+2.18</f>
        <v>6.23</v>
      </c>
      <c r="BI60" s="221">
        <v>5.05</v>
      </c>
      <c r="BJ60" s="221"/>
      <c r="BK60" s="221">
        <f>10.06+2.01</f>
        <v>12.07</v>
      </c>
      <c r="BL60" s="221">
        <v>12.57</v>
      </c>
      <c r="BM60" s="221">
        <v>4.0199999999999996</v>
      </c>
      <c r="BN60" s="221">
        <f>3.44+0.08</f>
        <v>3.52</v>
      </c>
      <c r="BO60" s="221">
        <v>1.0900000000000001</v>
      </c>
      <c r="BP60" s="221">
        <v>4.8499999999999996</v>
      </c>
      <c r="BQ60" s="221"/>
      <c r="BR60" s="221">
        <f>0.52+4.98</f>
        <v>5.5</v>
      </c>
      <c r="BS60" s="221"/>
      <c r="BT60" s="221"/>
      <c r="BU60" s="221"/>
      <c r="BV60" s="221">
        <v>4.96</v>
      </c>
      <c r="BW60" s="221">
        <f>1.57+1.01</f>
        <v>2.58</v>
      </c>
      <c r="BX60" s="221">
        <f>1.23+3.16</f>
        <v>4.3900000000000006</v>
      </c>
      <c r="BY60" s="221">
        <v>7.27</v>
      </c>
      <c r="BZ60" s="221"/>
      <c r="CA60" s="221"/>
      <c r="CB60" s="221"/>
      <c r="CC60" s="221"/>
      <c r="CD60" s="247" t="s">
        <v>221</v>
      </c>
      <c r="CE60" s="249">
        <f t="shared" ref="CE60:CE70" si="0">SUM(C60:CD60)</f>
        <v>395.58999999999986</v>
      </c>
    </row>
    <row r="61" spans="1:84" ht="12.6" customHeight="1" x14ac:dyDescent="0.25">
      <c r="A61" s="171" t="s">
        <v>235</v>
      </c>
      <c r="B61" s="175"/>
      <c r="C61" s="184">
        <v>1117914</v>
      </c>
      <c r="D61" s="184"/>
      <c r="E61" s="184">
        <f>1010376+1868735</f>
        <v>2879111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1870246</v>
      </c>
      <c r="P61" s="185">
        <f>1675261+2109549</f>
        <v>3784810</v>
      </c>
      <c r="Q61" s="185"/>
      <c r="R61" s="185"/>
      <c r="S61" s="185"/>
      <c r="T61" s="185"/>
      <c r="U61" s="185">
        <v>1033026</v>
      </c>
      <c r="V61" s="185"/>
      <c r="W61" s="185">
        <v>330039</v>
      </c>
      <c r="X61" s="185">
        <v>66584</v>
      </c>
      <c r="Y61" s="185">
        <f>965786+418029+112141</f>
        <v>1495956</v>
      </c>
      <c r="Z61" s="185"/>
      <c r="AA61" s="185">
        <v>175834</v>
      </c>
      <c r="AB61" s="185">
        <v>677245</v>
      </c>
      <c r="AC61" s="185">
        <f>598714+99919+106602</f>
        <v>805235</v>
      </c>
      <c r="AD61" s="185"/>
      <c r="AE61" s="185">
        <f>2359418+317092+231747+102399</f>
        <v>3010656</v>
      </c>
      <c r="AF61" s="185"/>
      <c r="AG61" s="185">
        <f>2068132+51508+2324607</f>
        <v>4444247</v>
      </c>
      <c r="AH61" s="185"/>
      <c r="AI61" s="185"/>
      <c r="AJ61" s="185">
        <v>51168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166347</v>
      </c>
      <c r="AW61" s="185"/>
      <c r="AX61" s="185"/>
      <c r="AY61" s="185">
        <f>225126+639425</f>
        <v>864551</v>
      </c>
      <c r="AZ61" s="185"/>
      <c r="BA61" s="185">
        <v>20174</v>
      </c>
      <c r="BB61" s="185">
        <v>512277</v>
      </c>
      <c r="BC61" s="185"/>
      <c r="BD61" s="185">
        <v>439556</v>
      </c>
      <c r="BE61" s="185">
        <v>581515</v>
      </c>
      <c r="BF61" s="185">
        <v>503435</v>
      </c>
      <c r="BG61" s="185"/>
      <c r="BH61" s="185">
        <f>347061+255403</f>
        <v>602464</v>
      </c>
      <c r="BI61" s="185">
        <v>480550</v>
      </c>
      <c r="BJ61" s="185"/>
      <c r="BK61" s="185">
        <f>451023+148254</f>
        <v>599277</v>
      </c>
      <c r="BL61" s="185">
        <v>493475</v>
      </c>
      <c r="BM61" s="185">
        <v>306124</v>
      </c>
      <c r="BN61" s="185">
        <v>630490</v>
      </c>
      <c r="BO61" s="185">
        <f>108025</f>
        <v>108025</v>
      </c>
      <c r="BP61" s="185">
        <v>319055</v>
      </c>
      <c r="BQ61" s="185"/>
      <c r="BR61" s="185">
        <f>486207+26295</f>
        <v>512502</v>
      </c>
      <c r="BS61" s="185"/>
      <c r="BT61" s="185"/>
      <c r="BU61" s="185"/>
      <c r="BV61" s="185">
        <v>286174</v>
      </c>
      <c r="BW61" s="185">
        <f>86252+333511</f>
        <v>419763</v>
      </c>
      <c r="BX61" s="185">
        <f>242188</f>
        <v>242188</v>
      </c>
      <c r="BY61" s="185">
        <v>949299</v>
      </c>
      <c r="BZ61" s="185"/>
      <c r="CA61" s="185"/>
      <c r="CB61" s="185"/>
      <c r="CC61" s="185"/>
      <c r="CD61" s="247" t="s">
        <v>221</v>
      </c>
      <c r="CE61" s="195">
        <f t="shared" si="0"/>
        <v>30779312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233693</v>
      </c>
      <c r="D62" s="195">
        <f t="shared" si="1"/>
        <v>0</v>
      </c>
      <c r="E62" s="195">
        <f t="shared" si="1"/>
        <v>601859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390963</v>
      </c>
      <c r="P62" s="195">
        <f t="shared" si="1"/>
        <v>791190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215947</v>
      </c>
      <c r="V62" s="195">
        <f t="shared" si="1"/>
        <v>0</v>
      </c>
      <c r="W62" s="195">
        <f t="shared" si="1"/>
        <v>68992</v>
      </c>
      <c r="X62" s="195">
        <f t="shared" si="1"/>
        <v>13919</v>
      </c>
      <c r="Y62" s="195">
        <f t="shared" si="1"/>
        <v>312720</v>
      </c>
      <c r="Z62" s="195">
        <f t="shared" si="1"/>
        <v>0</v>
      </c>
      <c r="AA62" s="195">
        <f t="shared" si="1"/>
        <v>36757</v>
      </c>
      <c r="AB62" s="195">
        <f t="shared" si="1"/>
        <v>141574</v>
      </c>
      <c r="AC62" s="195">
        <f t="shared" si="1"/>
        <v>168329</v>
      </c>
      <c r="AD62" s="195">
        <f t="shared" si="1"/>
        <v>0</v>
      </c>
      <c r="AE62" s="195">
        <f t="shared" si="1"/>
        <v>629358</v>
      </c>
      <c r="AF62" s="195">
        <f t="shared" si="1"/>
        <v>0</v>
      </c>
      <c r="AG62" s="195">
        <f t="shared" si="1"/>
        <v>929041</v>
      </c>
      <c r="AH62" s="195">
        <f t="shared" si="1"/>
        <v>0</v>
      </c>
      <c r="AI62" s="195">
        <f t="shared" si="1"/>
        <v>0</v>
      </c>
      <c r="AJ62" s="195">
        <f t="shared" si="1"/>
        <v>10696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34774</v>
      </c>
      <c r="AW62" s="195">
        <f t="shared" si="1"/>
        <v>0</v>
      </c>
      <c r="AX62" s="195">
        <f t="shared" si="1"/>
        <v>0</v>
      </c>
      <c r="AY62" s="195">
        <f>ROUND(AY47+AY48,0)</f>
        <v>180729</v>
      </c>
      <c r="AZ62" s="195">
        <f>ROUND(AZ47+AZ48,0)</f>
        <v>0</v>
      </c>
      <c r="BA62" s="195">
        <f>ROUND(BA47+BA48,0)</f>
        <v>4217</v>
      </c>
      <c r="BB62" s="195">
        <f t="shared" si="1"/>
        <v>107088</v>
      </c>
      <c r="BC62" s="195">
        <f t="shared" si="1"/>
        <v>0</v>
      </c>
      <c r="BD62" s="195">
        <f t="shared" si="1"/>
        <v>91886</v>
      </c>
      <c r="BE62" s="195">
        <f t="shared" si="1"/>
        <v>121562</v>
      </c>
      <c r="BF62" s="195">
        <f t="shared" si="1"/>
        <v>105240</v>
      </c>
      <c r="BG62" s="195">
        <f t="shared" si="1"/>
        <v>0</v>
      </c>
      <c r="BH62" s="195">
        <f t="shared" si="1"/>
        <v>125941</v>
      </c>
      <c r="BI62" s="195">
        <f t="shared" si="1"/>
        <v>100456</v>
      </c>
      <c r="BJ62" s="195">
        <f t="shared" si="1"/>
        <v>0</v>
      </c>
      <c r="BK62" s="195">
        <f t="shared" si="1"/>
        <v>125275</v>
      </c>
      <c r="BL62" s="195">
        <f t="shared" si="1"/>
        <v>103158</v>
      </c>
      <c r="BM62" s="195">
        <f t="shared" si="1"/>
        <v>63993</v>
      </c>
      <c r="BN62" s="195">
        <f t="shared" si="1"/>
        <v>131800</v>
      </c>
      <c r="BO62" s="195">
        <f t="shared" ref="BO62:CC62" si="2">ROUND(BO47+BO48,0)</f>
        <v>22582</v>
      </c>
      <c r="BP62" s="195">
        <f t="shared" si="2"/>
        <v>66696</v>
      </c>
      <c r="BQ62" s="195">
        <f t="shared" si="2"/>
        <v>0</v>
      </c>
      <c r="BR62" s="195">
        <f t="shared" si="2"/>
        <v>107135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59823</v>
      </c>
      <c r="BW62" s="195">
        <f t="shared" si="2"/>
        <v>87749</v>
      </c>
      <c r="BX62" s="195">
        <f t="shared" si="2"/>
        <v>50628</v>
      </c>
      <c r="BY62" s="195">
        <f t="shared" si="2"/>
        <v>198445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7" t="s">
        <v>221</v>
      </c>
      <c r="CE62" s="195">
        <f t="shared" si="0"/>
        <v>6434215</v>
      </c>
      <c r="CF62" s="250"/>
    </row>
    <row r="63" spans="1:84" ht="12.6" customHeight="1" x14ac:dyDescent="0.25">
      <c r="A63" s="171" t="s">
        <v>236</v>
      </c>
      <c r="B63" s="175"/>
      <c r="C63" s="184">
        <v>40598</v>
      </c>
      <c r="D63" s="184"/>
      <c r="E63" s="184">
        <f>556077+30</f>
        <v>556107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42480</v>
      </c>
      <c r="P63" s="185">
        <f>51798+89</f>
        <v>51887</v>
      </c>
      <c r="Q63" s="185"/>
      <c r="R63" s="185">
        <v>378260</v>
      </c>
      <c r="S63" s="185">
        <v>3369</v>
      </c>
      <c r="T63" s="185"/>
      <c r="U63" s="185">
        <f>645639+2970</f>
        <v>648609</v>
      </c>
      <c r="V63" s="185"/>
      <c r="W63" s="185">
        <v>3672</v>
      </c>
      <c r="X63" s="185"/>
      <c r="Y63" s="185">
        <f>280144+89041</f>
        <v>369185</v>
      </c>
      <c r="Z63" s="185"/>
      <c r="AA63" s="185">
        <v>137379</v>
      </c>
      <c r="AB63" s="185">
        <f>80465+159563</f>
        <v>240028</v>
      </c>
      <c r="AC63" s="185">
        <v>110870</v>
      </c>
      <c r="AD63" s="185"/>
      <c r="AE63" s="185">
        <v>22556</v>
      </c>
      <c r="AF63" s="185"/>
      <c r="AG63" s="185">
        <f>68178+72290</f>
        <v>140468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15650</v>
      </c>
      <c r="AW63" s="185"/>
      <c r="AX63" s="185"/>
      <c r="AY63" s="185">
        <f>379+1118</f>
        <v>1497</v>
      </c>
      <c r="AZ63" s="185"/>
      <c r="BA63" s="185"/>
      <c r="BB63" s="185">
        <v>11273</v>
      </c>
      <c r="BC63" s="185"/>
      <c r="BD63" s="185"/>
      <c r="BE63" s="185">
        <v>43734</v>
      </c>
      <c r="BF63" s="185">
        <v>4900</v>
      </c>
      <c r="BG63" s="185"/>
      <c r="BH63" s="185">
        <v>50000</v>
      </c>
      <c r="BI63" s="185">
        <v>79798</v>
      </c>
      <c r="BJ63" s="185"/>
      <c r="BK63" s="185">
        <f>253987+149290</f>
        <v>403277</v>
      </c>
      <c r="BL63" s="185"/>
      <c r="BM63" s="185">
        <v>75955</v>
      </c>
      <c r="BN63" s="185">
        <f>227700+27080</f>
        <v>254780</v>
      </c>
      <c r="BO63" s="185"/>
      <c r="BP63" s="185">
        <v>277163</v>
      </c>
      <c r="BQ63" s="185"/>
      <c r="BR63" s="185">
        <v>102762</v>
      </c>
      <c r="BS63" s="185"/>
      <c r="BT63" s="185"/>
      <c r="BU63" s="185"/>
      <c r="BV63" s="185">
        <v>196534</v>
      </c>
      <c r="BW63" s="185">
        <f>543+1032328</f>
        <v>1032871</v>
      </c>
      <c r="BX63" s="185">
        <v>50890</v>
      </c>
      <c r="BY63" s="185">
        <v>4193</v>
      </c>
      <c r="BZ63" s="185"/>
      <c r="CA63" s="185"/>
      <c r="CB63" s="185"/>
      <c r="CC63" s="185"/>
      <c r="CD63" s="247" t="s">
        <v>221</v>
      </c>
      <c r="CE63" s="195">
        <f t="shared" si="0"/>
        <v>5350745</v>
      </c>
      <c r="CF63" s="250"/>
    </row>
    <row r="64" spans="1:84" ht="12.6" customHeight="1" x14ac:dyDescent="0.25">
      <c r="A64" s="171" t="s">
        <v>237</v>
      </c>
      <c r="B64" s="175"/>
      <c r="C64" s="184">
        <v>43655</v>
      </c>
      <c r="D64" s="184"/>
      <c r="E64" s="185">
        <f>2658+90026</f>
        <v>92684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106837</v>
      </c>
      <c r="P64" s="185">
        <f>1003322+178321</f>
        <v>1181643</v>
      </c>
      <c r="Q64" s="185">
        <v>25233</v>
      </c>
      <c r="R64" s="185">
        <v>115889</v>
      </c>
      <c r="S64" s="185">
        <f>4793119+9907</f>
        <v>4803026</v>
      </c>
      <c r="T64" s="185"/>
      <c r="U64" s="185">
        <f>474383+106288</f>
        <v>580671</v>
      </c>
      <c r="V64" s="185"/>
      <c r="W64" s="185">
        <v>5067</v>
      </c>
      <c r="X64" s="185">
        <v>8520</v>
      </c>
      <c r="Y64" s="185">
        <f>118173+4260+3390</f>
        <v>125823</v>
      </c>
      <c r="Z64" s="185"/>
      <c r="AA64" s="185">
        <v>238814</v>
      </c>
      <c r="AB64" s="185">
        <f>3483723+124946</f>
        <v>3608669</v>
      </c>
      <c r="AC64" s="185">
        <f>53636+6178+570</f>
        <v>60384</v>
      </c>
      <c r="AD64" s="185"/>
      <c r="AE64" s="185">
        <f>68671+211+20046+3375</f>
        <v>92303</v>
      </c>
      <c r="AF64" s="185"/>
      <c r="AG64" s="185">
        <f>156028+107+276</f>
        <v>156411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5063</v>
      </c>
      <c r="AW64" s="185"/>
      <c r="AX64" s="185"/>
      <c r="AY64" s="185">
        <f>5272+553794</f>
        <v>559066</v>
      </c>
      <c r="AZ64" s="185"/>
      <c r="BA64" s="185">
        <v>160</v>
      </c>
      <c r="BB64" s="185">
        <v>1812</v>
      </c>
      <c r="BC64" s="185"/>
      <c r="BD64" s="185">
        <v>11617</v>
      </c>
      <c r="BE64" s="185">
        <v>9642</v>
      </c>
      <c r="BF64" s="185">
        <v>51316</v>
      </c>
      <c r="BG64" s="185"/>
      <c r="BH64" s="185">
        <f>10307+2846</f>
        <v>13153</v>
      </c>
      <c r="BI64" s="185">
        <v>4213</v>
      </c>
      <c r="BJ64" s="185"/>
      <c r="BK64" s="185">
        <f>21365+283</f>
        <v>21648</v>
      </c>
      <c r="BL64" s="185">
        <v>11189</v>
      </c>
      <c r="BM64" s="185">
        <v>9469</v>
      </c>
      <c r="BN64" s="185">
        <f>24659+39</f>
        <v>24698</v>
      </c>
      <c r="BO64" s="185">
        <f>1428+2473</f>
        <v>3901</v>
      </c>
      <c r="BP64" s="185">
        <v>11014</v>
      </c>
      <c r="BQ64" s="185"/>
      <c r="BR64" s="185">
        <v>7737</v>
      </c>
      <c r="BS64" s="185"/>
      <c r="BT64" s="185"/>
      <c r="BU64" s="185"/>
      <c r="BV64" s="185">
        <v>7220</v>
      </c>
      <c r="BW64" s="185">
        <f>14909+104</f>
        <v>15013</v>
      </c>
      <c r="BX64" s="185">
        <v>3291</v>
      </c>
      <c r="BY64" s="185">
        <v>4802</v>
      </c>
      <c r="BZ64" s="185"/>
      <c r="CA64" s="185"/>
      <c r="CB64" s="185"/>
      <c r="CC64" s="185"/>
      <c r="CD64" s="247" t="s">
        <v>221</v>
      </c>
      <c r="CE64" s="195">
        <f t="shared" si="0"/>
        <v>12021653</v>
      </c>
      <c r="CF64" s="250"/>
    </row>
    <row r="65" spans="1:84" ht="12.6" customHeight="1" x14ac:dyDescent="0.25">
      <c r="A65" s="171" t="s">
        <v>238</v>
      </c>
      <c r="B65" s="175"/>
      <c r="C65" s="184">
        <v>468</v>
      </c>
      <c r="D65" s="184"/>
      <c r="E65" s="184">
        <v>39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f>936+819</f>
        <v>1755</v>
      </c>
      <c r="Q65" s="185"/>
      <c r="R65" s="185"/>
      <c r="S65" s="185"/>
      <c r="T65" s="185"/>
      <c r="U65" s="185">
        <v>936</v>
      </c>
      <c r="V65" s="185"/>
      <c r="W65" s="185"/>
      <c r="X65" s="185"/>
      <c r="Y65" s="185">
        <v>1648</v>
      </c>
      <c r="Z65" s="185"/>
      <c r="AA65" s="185"/>
      <c r="AB65" s="185">
        <v>18851</v>
      </c>
      <c r="AC65" s="185">
        <v>468</v>
      </c>
      <c r="AD65" s="185"/>
      <c r="AE65" s="185">
        <v>31739</v>
      </c>
      <c r="AF65" s="185"/>
      <c r="AG65" s="185">
        <f>468+351+468</f>
        <v>1287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2691</v>
      </c>
      <c r="BC65" s="185"/>
      <c r="BD65" s="185">
        <v>852</v>
      </c>
      <c r="BE65" s="185">
        <v>475936</v>
      </c>
      <c r="BF65" s="185">
        <v>50781</v>
      </c>
      <c r="BG65" s="185"/>
      <c r="BH65" s="185">
        <f>121809+468</f>
        <v>122277</v>
      </c>
      <c r="BI65" s="185">
        <v>4322</v>
      </c>
      <c r="BJ65" s="185"/>
      <c r="BK65" s="185">
        <v>2566</v>
      </c>
      <c r="BL65" s="185">
        <v>468</v>
      </c>
      <c r="BM65" s="185">
        <v>72</v>
      </c>
      <c r="BN65" s="185">
        <v>936</v>
      </c>
      <c r="BO65" s="185">
        <v>468</v>
      </c>
      <c r="BP65" s="185">
        <v>468</v>
      </c>
      <c r="BQ65" s="185"/>
      <c r="BR65" s="185"/>
      <c r="BS65" s="185"/>
      <c r="BT65" s="185"/>
      <c r="BU65" s="185"/>
      <c r="BV65" s="185"/>
      <c r="BW65" s="185">
        <f>468+468</f>
        <v>936</v>
      </c>
      <c r="BX65" s="185">
        <v>468</v>
      </c>
      <c r="BY65" s="185">
        <v>741</v>
      </c>
      <c r="BZ65" s="185"/>
      <c r="CA65" s="185"/>
      <c r="CB65" s="185"/>
      <c r="CC65" s="185"/>
      <c r="CD65" s="247" t="s">
        <v>221</v>
      </c>
      <c r="CE65" s="195">
        <f t="shared" si="0"/>
        <v>721173</v>
      </c>
      <c r="CF65" s="250"/>
    </row>
    <row r="66" spans="1:84" ht="12.6" customHeight="1" x14ac:dyDescent="0.25">
      <c r="A66" s="171" t="s">
        <v>239</v>
      </c>
      <c r="B66" s="175"/>
      <c r="C66" s="184">
        <v>20101</v>
      </c>
      <c r="D66" s="184"/>
      <c r="E66" s="184">
        <f>401+7206</f>
        <v>7607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72284</v>
      </c>
      <c r="P66" s="185">
        <f>424892+30991</f>
        <v>455883</v>
      </c>
      <c r="Q66" s="185">
        <v>2994</v>
      </c>
      <c r="R66" s="185">
        <v>1546</v>
      </c>
      <c r="S66" s="184">
        <v>2757</v>
      </c>
      <c r="T66" s="184"/>
      <c r="U66" s="185">
        <v>104644</v>
      </c>
      <c r="V66" s="185"/>
      <c r="W66" s="185">
        <v>153555</v>
      </c>
      <c r="X66" s="185">
        <v>155730</v>
      </c>
      <c r="Y66" s="185">
        <f>238783+40791+3268</f>
        <v>282842</v>
      </c>
      <c r="Z66" s="185"/>
      <c r="AA66" s="185">
        <v>108756</v>
      </c>
      <c r="AB66" s="185">
        <v>26919</v>
      </c>
      <c r="AC66" s="185">
        <f>17229+10734</f>
        <v>27963</v>
      </c>
      <c r="AD66" s="185"/>
      <c r="AE66" s="185">
        <v>36231</v>
      </c>
      <c r="AF66" s="185"/>
      <c r="AG66" s="185">
        <f>16666+5063</f>
        <v>21729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377</v>
      </c>
      <c r="AW66" s="185"/>
      <c r="AX66" s="185"/>
      <c r="AY66" s="185">
        <v>25761</v>
      </c>
      <c r="AZ66" s="185"/>
      <c r="BA66" s="185">
        <v>207444</v>
      </c>
      <c r="BB66" s="185">
        <v>1294</v>
      </c>
      <c r="BC66" s="185"/>
      <c r="BD66" s="185">
        <v>4516</v>
      </c>
      <c r="BE66" s="185">
        <v>165118</v>
      </c>
      <c r="BF66" s="185">
        <v>1442</v>
      </c>
      <c r="BG66" s="185"/>
      <c r="BH66" s="185">
        <f>167265+804652</f>
        <v>971917</v>
      </c>
      <c r="BI66" s="185">
        <v>32129</v>
      </c>
      <c r="BJ66" s="185"/>
      <c r="BK66" s="185">
        <f>184286+10858</f>
        <v>195144</v>
      </c>
      <c r="BL66" s="185">
        <v>935</v>
      </c>
      <c r="BM66" s="185">
        <v>10762</v>
      </c>
      <c r="BN66" s="185">
        <v>18172</v>
      </c>
      <c r="BO66" s="185"/>
      <c r="BP66" s="185">
        <v>51668</v>
      </c>
      <c r="BQ66" s="185"/>
      <c r="BR66" s="185">
        <v>55223</v>
      </c>
      <c r="BS66" s="185"/>
      <c r="BT66" s="185"/>
      <c r="BU66" s="185"/>
      <c r="BV66" s="185">
        <v>36004</v>
      </c>
      <c r="BW66" s="185">
        <v>13329</v>
      </c>
      <c r="BX66" s="185">
        <v>29436</v>
      </c>
      <c r="BY66" s="185"/>
      <c r="BZ66" s="185"/>
      <c r="CA66" s="185"/>
      <c r="CB66" s="185"/>
      <c r="CC66" s="185"/>
      <c r="CD66" s="247" t="s">
        <v>221</v>
      </c>
      <c r="CE66" s="195">
        <f t="shared" si="0"/>
        <v>3302212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51654</v>
      </c>
      <c r="D67" s="195">
        <f>ROUND(D51+D52,0)</f>
        <v>0</v>
      </c>
      <c r="E67" s="195">
        <f t="shared" ref="E67:BP67" si="3">ROUND(E51+E52,0)</f>
        <v>278115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237112</v>
      </c>
      <c r="P67" s="195">
        <f t="shared" si="3"/>
        <v>318202</v>
      </c>
      <c r="Q67" s="195">
        <f t="shared" si="3"/>
        <v>0</v>
      </c>
      <c r="R67" s="195">
        <f t="shared" si="3"/>
        <v>0</v>
      </c>
      <c r="S67" s="195">
        <f t="shared" si="3"/>
        <v>41203</v>
      </c>
      <c r="T67" s="195">
        <f t="shared" si="3"/>
        <v>0</v>
      </c>
      <c r="U67" s="195">
        <f t="shared" si="3"/>
        <v>56121</v>
      </c>
      <c r="V67" s="195">
        <f t="shared" si="3"/>
        <v>8848</v>
      </c>
      <c r="W67" s="195">
        <f t="shared" si="3"/>
        <v>14431</v>
      </c>
      <c r="X67" s="195">
        <f t="shared" si="3"/>
        <v>14947</v>
      </c>
      <c r="Y67" s="195">
        <f t="shared" si="3"/>
        <v>129823</v>
      </c>
      <c r="Z67" s="195">
        <f t="shared" si="3"/>
        <v>0</v>
      </c>
      <c r="AA67" s="195">
        <f t="shared" si="3"/>
        <v>8733</v>
      </c>
      <c r="AB67" s="195">
        <f t="shared" si="3"/>
        <v>22449</v>
      </c>
      <c r="AC67" s="195">
        <f t="shared" si="3"/>
        <v>35419</v>
      </c>
      <c r="AD67" s="195">
        <f t="shared" si="3"/>
        <v>0</v>
      </c>
      <c r="AE67" s="195">
        <f t="shared" si="3"/>
        <v>250141</v>
      </c>
      <c r="AF67" s="195">
        <f t="shared" si="3"/>
        <v>0</v>
      </c>
      <c r="AG67" s="195">
        <f t="shared" si="3"/>
        <v>183625</v>
      </c>
      <c r="AH67" s="195">
        <f t="shared" si="3"/>
        <v>0</v>
      </c>
      <c r="AI67" s="195">
        <f t="shared" si="3"/>
        <v>0</v>
      </c>
      <c r="AJ67" s="195">
        <f t="shared" si="3"/>
        <v>28633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136466</v>
      </c>
      <c r="AZ67" s="195">
        <f>ROUND(AZ51+AZ52,0)</f>
        <v>0</v>
      </c>
      <c r="BA67" s="195">
        <f>ROUND(BA51+BA52,0)</f>
        <v>37052</v>
      </c>
      <c r="BB67" s="195">
        <f t="shared" si="3"/>
        <v>4295</v>
      </c>
      <c r="BC67" s="195">
        <f t="shared" si="3"/>
        <v>0</v>
      </c>
      <c r="BD67" s="195">
        <f t="shared" si="3"/>
        <v>80717</v>
      </c>
      <c r="BE67" s="195">
        <f t="shared" si="3"/>
        <v>376557</v>
      </c>
      <c r="BF67" s="195">
        <f t="shared" si="3"/>
        <v>10737</v>
      </c>
      <c r="BG67" s="195">
        <f t="shared" si="3"/>
        <v>0</v>
      </c>
      <c r="BH67" s="195">
        <f t="shared" si="3"/>
        <v>53458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24796</v>
      </c>
      <c r="BM67" s="195">
        <f t="shared" si="3"/>
        <v>7874</v>
      </c>
      <c r="BN67" s="195">
        <f t="shared" si="3"/>
        <v>102078</v>
      </c>
      <c r="BO67" s="195">
        <f t="shared" si="3"/>
        <v>0</v>
      </c>
      <c r="BP67" s="195">
        <f t="shared" si="3"/>
        <v>7874</v>
      </c>
      <c r="BQ67" s="195">
        <f t="shared" ref="BQ67:CC67" si="4">ROUND(BQ51+BQ52,0)</f>
        <v>0</v>
      </c>
      <c r="BR67" s="195">
        <f t="shared" si="4"/>
        <v>7874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38741</v>
      </c>
      <c r="BW67" s="195">
        <f t="shared" si="4"/>
        <v>4295</v>
      </c>
      <c r="BX67" s="195">
        <f t="shared" si="4"/>
        <v>4295</v>
      </c>
      <c r="BY67" s="195">
        <f t="shared" si="4"/>
        <v>4295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579882</v>
      </c>
      <c r="CD67" s="247" t="s">
        <v>221</v>
      </c>
      <c r="CE67" s="195">
        <f t="shared" si="0"/>
        <v>3160742</v>
      </c>
      <c r="CF67" s="250"/>
    </row>
    <row r="68" spans="1:84" ht="12.6" customHeight="1" x14ac:dyDescent="0.25">
      <c r="A68" s="171" t="s">
        <v>240</v>
      </c>
      <c r="B68" s="175"/>
      <c r="C68" s="184">
        <v>460</v>
      </c>
      <c r="D68" s="184"/>
      <c r="E68" s="184">
        <v>5316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3479</v>
      </c>
      <c r="P68" s="185">
        <f>1738+45111</f>
        <v>46849</v>
      </c>
      <c r="Q68" s="185"/>
      <c r="R68" s="185"/>
      <c r="S68" s="185">
        <v>54664</v>
      </c>
      <c r="T68" s="185"/>
      <c r="U68" s="185">
        <v>376</v>
      </c>
      <c r="V68" s="185"/>
      <c r="W68" s="185"/>
      <c r="X68" s="185"/>
      <c r="Y68" s="185">
        <v>29922</v>
      </c>
      <c r="Z68" s="185"/>
      <c r="AA68" s="185"/>
      <c r="AB68" s="185">
        <v>90373</v>
      </c>
      <c r="AC68" s="185"/>
      <c r="AD68" s="185"/>
      <c r="AE68" s="185">
        <v>26175</v>
      </c>
      <c r="AF68" s="185"/>
      <c r="AG68" s="185">
        <v>5283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2797</v>
      </c>
      <c r="BC68" s="185"/>
      <c r="BD68" s="185">
        <v>8003</v>
      </c>
      <c r="BE68" s="185">
        <v>9578</v>
      </c>
      <c r="BF68" s="185">
        <v>409</v>
      </c>
      <c r="BG68" s="185"/>
      <c r="BH68" s="185"/>
      <c r="BI68" s="185">
        <v>41904</v>
      </c>
      <c r="BJ68" s="185"/>
      <c r="BK68" s="185">
        <v>52913</v>
      </c>
      <c r="BL68" s="185"/>
      <c r="BM68" s="185"/>
      <c r="BN68" s="185">
        <v>12496</v>
      </c>
      <c r="BO68" s="185"/>
      <c r="BP68" s="185">
        <v>679</v>
      </c>
      <c r="BQ68" s="185"/>
      <c r="BR68" s="185">
        <v>11</v>
      </c>
      <c r="BS68" s="185"/>
      <c r="BT68" s="185"/>
      <c r="BU68" s="185"/>
      <c r="BV68" s="185">
        <v>7996</v>
      </c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5">
        <f t="shared" si="0"/>
        <v>399683</v>
      </c>
      <c r="CF68" s="250"/>
    </row>
    <row r="69" spans="1:84" ht="12.6" customHeight="1" x14ac:dyDescent="0.25">
      <c r="A69" s="171" t="s">
        <v>241</v>
      </c>
      <c r="B69" s="175"/>
      <c r="C69" s="184">
        <v>6903</v>
      </c>
      <c r="D69" s="184"/>
      <c r="E69" s="185">
        <f>24436+641</f>
        <v>25077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10306</v>
      </c>
      <c r="P69" s="185">
        <f>15885+1603</f>
        <v>17488</v>
      </c>
      <c r="Q69" s="185"/>
      <c r="R69" s="224"/>
      <c r="S69" s="185">
        <v>90454</v>
      </c>
      <c r="T69" s="184"/>
      <c r="U69" s="185">
        <v>19736</v>
      </c>
      <c r="V69" s="185"/>
      <c r="W69" s="184">
        <v>1300</v>
      </c>
      <c r="X69" s="185"/>
      <c r="Y69" s="185">
        <f>13276+4520+469</f>
        <v>18265</v>
      </c>
      <c r="Z69" s="185"/>
      <c r="AA69" s="185">
        <v>12186</v>
      </c>
      <c r="AB69" s="185">
        <v>11278</v>
      </c>
      <c r="AC69" s="185">
        <f>3203+40</f>
        <v>3243</v>
      </c>
      <c r="AD69" s="185"/>
      <c r="AE69" s="185">
        <f>44923+99+8180</f>
        <v>53202</v>
      </c>
      <c r="AF69" s="185"/>
      <c r="AG69" s="185">
        <f>15611+975+75241+9880</f>
        <v>101707</v>
      </c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41521</v>
      </c>
      <c r="AW69" s="185"/>
      <c r="AX69" s="185"/>
      <c r="AY69" s="185">
        <f>3443+2443</f>
        <v>5886</v>
      </c>
      <c r="AZ69" s="185"/>
      <c r="BA69" s="185"/>
      <c r="BB69" s="185">
        <v>23811</v>
      </c>
      <c r="BC69" s="185"/>
      <c r="BD69" s="185">
        <v>9451</v>
      </c>
      <c r="BE69" s="185">
        <v>5594</v>
      </c>
      <c r="BF69" s="185">
        <v>65</v>
      </c>
      <c r="BG69" s="185"/>
      <c r="BH69" s="224">
        <f>21280+6715</f>
        <v>27995</v>
      </c>
      <c r="BI69" s="185">
        <f>150625</f>
        <v>150625</v>
      </c>
      <c r="BJ69" s="185"/>
      <c r="BK69" s="185">
        <f>2528+68227</f>
        <v>70755</v>
      </c>
      <c r="BL69" s="185"/>
      <c r="BM69" s="185">
        <v>50909</v>
      </c>
      <c r="BN69" s="185">
        <f>287597+15969+250</f>
        <v>303816</v>
      </c>
      <c r="BO69" s="185">
        <f>800+1329</f>
        <v>2129</v>
      </c>
      <c r="BP69" s="185">
        <v>57919</v>
      </c>
      <c r="BQ69" s="185"/>
      <c r="BR69" s="185">
        <v>87679</v>
      </c>
      <c r="BS69" s="185"/>
      <c r="BT69" s="185"/>
      <c r="BU69" s="185"/>
      <c r="BV69" s="185">
        <v>599</v>
      </c>
      <c r="BW69" s="185">
        <f>41155+10021</f>
        <v>51176</v>
      </c>
      <c r="BX69" s="185">
        <v>42712</v>
      </c>
      <c r="BY69" s="185">
        <v>25934</v>
      </c>
      <c r="BZ69" s="185"/>
      <c r="CA69" s="185"/>
      <c r="CB69" s="185"/>
      <c r="CC69" s="185"/>
      <c r="CD69" s="188">
        <v>1677993</v>
      </c>
      <c r="CE69" s="195">
        <f t="shared" si="0"/>
        <v>3007714</v>
      </c>
      <c r="CF69" s="250"/>
    </row>
    <row r="70" spans="1:84" ht="12.6" customHeight="1" x14ac:dyDescent="0.25">
      <c r="A70" s="171" t="s">
        <v>242</v>
      </c>
      <c r="B70" s="175"/>
      <c r="C70" s="184">
        <v>0</v>
      </c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27521</v>
      </c>
      <c r="P70" s="184">
        <v>250</v>
      </c>
      <c r="Q70" s="184"/>
      <c r="R70" s="184"/>
      <c r="S70" s="184">
        <v>8740</v>
      </c>
      <c r="T70" s="184"/>
      <c r="U70" s="185"/>
      <c r="V70" s="184"/>
      <c r="W70" s="184"/>
      <c r="X70" s="185"/>
      <c r="Y70" s="185">
        <f>40</f>
        <v>40</v>
      </c>
      <c r="Z70" s="185"/>
      <c r="AA70" s="185"/>
      <c r="AB70" s="185">
        <f>8435+365612</f>
        <v>374047</v>
      </c>
      <c r="AC70" s="185"/>
      <c r="AD70" s="185"/>
      <c r="AE70" s="185">
        <f>24861+39691+1851</f>
        <v>66403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2393</v>
      </c>
      <c r="AW70" s="185"/>
      <c r="AX70" s="185"/>
      <c r="AY70" s="185">
        <v>2250</v>
      </c>
      <c r="AZ70" s="185">
        <v>525240</v>
      </c>
      <c r="BA70" s="185"/>
      <c r="BB70" s="185">
        <v>22025</v>
      </c>
      <c r="BC70" s="185"/>
      <c r="BD70" s="185"/>
      <c r="BE70" s="185"/>
      <c r="BF70" s="185"/>
      <c r="BG70" s="185"/>
      <c r="BH70" s="185">
        <f>19904+14040</f>
        <v>33944</v>
      </c>
      <c r="BI70" s="185"/>
      <c r="BJ70" s="185"/>
      <c r="BK70" s="185">
        <v>60</v>
      </c>
      <c r="BL70" s="185"/>
      <c r="BM70" s="185">
        <v>562996</v>
      </c>
      <c r="BN70" s="185">
        <v>50000</v>
      </c>
      <c r="BO70" s="185"/>
      <c r="BP70" s="185">
        <v>15370</v>
      </c>
      <c r="BQ70" s="185"/>
      <c r="BR70" s="185">
        <v>27755</v>
      </c>
      <c r="BS70" s="185"/>
      <c r="BT70" s="185"/>
      <c r="BU70" s="185"/>
      <c r="BV70" s="185">
        <v>9931</v>
      </c>
      <c r="BW70" s="185">
        <v>8600</v>
      </c>
      <c r="BX70" s="185"/>
      <c r="BY70" s="185">
        <v>24329</v>
      </c>
      <c r="BZ70" s="185"/>
      <c r="CA70" s="185"/>
      <c r="CB70" s="185"/>
      <c r="CC70" s="185"/>
      <c r="CD70" s="188">
        <f>239402+55651</f>
        <v>295053</v>
      </c>
      <c r="CE70" s="195">
        <f t="shared" si="0"/>
        <v>2056947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1515446</v>
      </c>
      <c r="D71" s="195">
        <f t="shared" ref="D71:AI71" si="5">SUM(D61:D69)-D70</f>
        <v>0</v>
      </c>
      <c r="E71" s="195">
        <f t="shared" si="5"/>
        <v>4445915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2706186</v>
      </c>
      <c r="P71" s="195">
        <f t="shared" si="5"/>
        <v>6649457</v>
      </c>
      <c r="Q71" s="195">
        <f t="shared" si="5"/>
        <v>28227</v>
      </c>
      <c r="R71" s="195">
        <f t="shared" si="5"/>
        <v>495695</v>
      </c>
      <c r="S71" s="195">
        <f t="shared" si="5"/>
        <v>4986733</v>
      </c>
      <c r="T71" s="195">
        <f t="shared" si="5"/>
        <v>0</v>
      </c>
      <c r="U71" s="195">
        <f t="shared" si="5"/>
        <v>2660066</v>
      </c>
      <c r="V71" s="195">
        <f t="shared" si="5"/>
        <v>8848</v>
      </c>
      <c r="W71" s="195">
        <f t="shared" si="5"/>
        <v>577056</v>
      </c>
      <c r="X71" s="195">
        <f t="shared" si="5"/>
        <v>259700</v>
      </c>
      <c r="Y71" s="195">
        <f t="shared" si="5"/>
        <v>2766144</v>
      </c>
      <c r="Z71" s="195">
        <f t="shared" si="5"/>
        <v>0</v>
      </c>
      <c r="AA71" s="195">
        <f t="shared" si="5"/>
        <v>718459</v>
      </c>
      <c r="AB71" s="195">
        <f t="shared" si="5"/>
        <v>4463339</v>
      </c>
      <c r="AC71" s="195">
        <f t="shared" si="5"/>
        <v>1211911</v>
      </c>
      <c r="AD71" s="195">
        <f t="shared" si="5"/>
        <v>0</v>
      </c>
      <c r="AE71" s="195">
        <f t="shared" si="5"/>
        <v>4085958</v>
      </c>
      <c r="AF71" s="195">
        <f t="shared" si="5"/>
        <v>0</v>
      </c>
      <c r="AG71" s="195">
        <f t="shared" si="5"/>
        <v>5983798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90497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261339</v>
      </c>
      <c r="AW71" s="195">
        <f t="shared" si="6"/>
        <v>0</v>
      </c>
      <c r="AX71" s="195">
        <f t="shared" si="6"/>
        <v>0</v>
      </c>
      <c r="AY71" s="195">
        <f t="shared" si="6"/>
        <v>1771706</v>
      </c>
      <c r="AZ71" s="195">
        <f t="shared" si="6"/>
        <v>-525240</v>
      </c>
      <c r="BA71" s="195">
        <f t="shared" si="6"/>
        <v>269047</v>
      </c>
      <c r="BB71" s="195">
        <f t="shared" si="6"/>
        <v>645313</v>
      </c>
      <c r="BC71" s="195">
        <f t="shared" si="6"/>
        <v>0</v>
      </c>
      <c r="BD71" s="195">
        <f t="shared" si="6"/>
        <v>646598</v>
      </c>
      <c r="BE71" s="195">
        <f t="shared" si="6"/>
        <v>1789236</v>
      </c>
      <c r="BF71" s="195">
        <f t="shared" si="6"/>
        <v>728325</v>
      </c>
      <c r="BG71" s="195">
        <f t="shared" si="6"/>
        <v>0</v>
      </c>
      <c r="BH71" s="195">
        <f t="shared" si="6"/>
        <v>1933261</v>
      </c>
      <c r="BI71" s="195">
        <f t="shared" si="6"/>
        <v>893997</v>
      </c>
      <c r="BJ71" s="195">
        <f t="shared" si="6"/>
        <v>0</v>
      </c>
      <c r="BK71" s="195">
        <f t="shared" si="6"/>
        <v>1470795</v>
      </c>
      <c r="BL71" s="195">
        <f t="shared" si="6"/>
        <v>634021</v>
      </c>
      <c r="BM71" s="195">
        <f t="shared" si="6"/>
        <v>-37838</v>
      </c>
      <c r="BN71" s="195">
        <f t="shared" si="6"/>
        <v>1429266</v>
      </c>
      <c r="BO71" s="195">
        <f t="shared" si="6"/>
        <v>137105</v>
      </c>
      <c r="BP71" s="195">
        <f t="shared" ref="BP71:CC71" si="7">SUM(BP61:BP69)-BP70</f>
        <v>777166</v>
      </c>
      <c r="BQ71" s="195">
        <f t="shared" si="7"/>
        <v>0</v>
      </c>
      <c r="BR71" s="195">
        <f t="shared" si="7"/>
        <v>853168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623160</v>
      </c>
      <c r="BW71" s="195">
        <f t="shared" si="7"/>
        <v>1616532</v>
      </c>
      <c r="BX71" s="195">
        <f t="shared" si="7"/>
        <v>423908</v>
      </c>
      <c r="BY71" s="195">
        <f t="shared" si="7"/>
        <v>1163380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579882</v>
      </c>
      <c r="CD71" s="243">
        <f>CD69-CD70</f>
        <v>1382940</v>
      </c>
      <c r="CE71" s="195">
        <f>SUM(CE61:CE69)-CE70</f>
        <v>63120502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1227152</v>
      </c>
      <c r="CF72" s="250"/>
    </row>
    <row r="73" spans="1:84" ht="12.6" customHeight="1" x14ac:dyDescent="0.25">
      <c r="A73" s="171" t="s">
        <v>245</v>
      </c>
      <c r="B73" s="175"/>
      <c r="C73" s="184">
        <v>1175967</v>
      </c>
      <c r="D73" s="184"/>
      <c r="E73" s="185">
        <f>468527+2458071+33908</f>
        <v>2960506</v>
      </c>
      <c r="F73" s="185"/>
      <c r="G73" s="184"/>
      <c r="H73" s="184"/>
      <c r="I73" s="185"/>
      <c r="J73" s="185">
        <v>464704</v>
      </c>
      <c r="K73" s="185"/>
      <c r="L73" s="185">
        <v>314476</v>
      </c>
      <c r="M73" s="184"/>
      <c r="N73" s="184"/>
      <c r="O73" s="184">
        <v>1998259</v>
      </c>
      <c r="P73" s="185">
        <f>29299+5272694</f>
        <v>5301993</v>
      </c>
      <c r="Q73" s="185">
        <v>469066</v>
      </c>
      <c r="R73" s="185">
        <v>1166211</v>
      </c>
      <c r="S73" s="185">
        <f>7942141+1054821</f>
        <v>8996962</v>
      </c>
      <c r="T73" s="185"/>
      <c r="U73" s="185">
        <f>1394834+84834</f>
        <v>1479668</v>
      </c>
      <c r="V73" s="185">
        <v>48784</v>
      </c>
      <c r="W73" s="185">
        <v>66250</v>
      </c>
      <c r="X73" s="185">
        <v>333846</v>
      </c>
      <c r="Y73" s="185">
        <f>487132+123741</f>
        <v>610873</v>
      </c>
      <c r="Z73" s="185"/>
      <c r="AA73" s="185">
        <v>49513</v>
      </c>
      <c r="AB73" s="185">
        <v>3694480</v>
      </c>
      <c r="AC73" s="185">
        <f>1054765+668</f>
        <v>1055433</v>
      </c>
      <c r="AD73" s="185"/>
      <c r="AE73" s="185">
        <v>669219</v>
      </c>
      <c r="AF73" s="185"/>
      <c r="AG73" s="185">
        <f>164187+179891</f>
        <v>344078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31200288</v>
      </c>
      <c r="CF73" s="250"/>
    </row>
    <row r="74" spans="1:84" ht="12.6" customHeight="1" x14ac:dyDescent="0.25">
      <c r="A74" s="171" t="s">
        <v>246</v>
      </c>
      <c r="B74" s="175"/>
      <c r="C74" s="184">
        <v>844273</v>
      </c>
      <c r="D74" s="184"/>
      <c r="E74" s="185">
        <f>275640+1478847+196077+207694</f>
        <v>2158258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468399</v>
      </c>
      <c r="P74" s="185">
        <f>2354005+7830401</f>
        <v>10184406</v>
      </c>
      <c r="Q74" s="185">
        <v>885378</v>
      </c>
      <c r="R74" s="185">
        <v>2549345</v>
      </c>
      <c r="S74" s="185">
        <f>7379002+273471</f>
        <v>7652473</v>
      </c>
      <c r="T74" s="185"/>
      <c r="U74" s="185">
        <f>7792335+76835</f>
        <v>7869170</v>
      </c>
      <c r="V74" s="185">
        <v>467118</v>
      </c>
      <c r="W74" s="185">
        <v>6160552</v>
      </c>
      <c r="X74" s="185">
        <v>8205500</v>
      </c>
      <c r="Y74" s="185">
        <f>5466412+3403005+771095</f>
        <v>9640512</v>
      </c>
      <c r="Z74" s="185"/>
      <c r="AA74" s="185">
        <v>2008901</v>
      </c>
      <c r="AB74" s="185">
        <v>14006571</v>
      </c>
      <c r="AC74" s="185">
        <f>810024+278244+857474</f>
        <v>1945742</v>
      </c>
      <c r="AD74" s="185"/>
      <c r="AE74" s="185">
        <f>3738219+321195+363119</f>
        <v>4422533</v>
      </c>
      <c r="AF74" s="185"/>
      <c r="AG74" s="185">
        <f>5317248+39797+7265912</f>
        <v>12622957</v>
      </c>
      <c r="AH74" s="185"/>
      <c r="AI74" s="185"/>
      <c r="AJ74" s="185">
        <v>69584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92161672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2020240</v>
      </c>
      <c r="D75" s="195">
        <f t="shared" si="9"/>
        <v>0</v>
      </c>
      <c r="E75" s="195">
        <f t="shared" si="9"/>
        <v>5118764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464704</v>
      </c>
      <c r="K75" s="195">
        <f t="shared" si="9"/>
        <v>0</v>
      </c>
      <c r="L75" s="195">
        <f t="shared" si="9"/>
        <v>314476</v>
      </c>
      <c r="M75" s="195">
        <f t="shared" si="9"/>
        <v>0</v>
      </c>
      <c r="N75" s="195">
        <f t="shared" si="9"/>
        <v>0</v>
      </c>
      <c r="O75" s="195">
        <f t="shared" si="9"/>
        <v>2466658</v>
      </c>
      <c r="P75" s="195">
        <f t="shared" si="9"/>
        <v>15486399</v>
      </c>
      <c r="Q75" s="195">
        <f t="shared" si="9"/>
        <v>1354444</v>
      </c>
      <c r="R75" s="195">
        <f t="shared" si="9"/>
        <v>3715556</v>
      </c>
      <c r="S75" s="195">
        <f t="shared" si="9"/>
        <v>16649435</v>
      </c>
      <c r="T75" s="195">
        <f t="shared" si="9"/>
        <v>0</v>
      </c>
      <c r="U75" s="195">
        <f t="shared" si="9"/>
        <v>9348838</v>
      </c>
      <c r="V75" s="195">
        <f t="shared" si="9"/>
        <v>515902</v>
      </c>
      <c r="W75" s="195">
        <f t="shared" si="9"/>
        <v>6226802</v>
      </c>
      <c r="X75" s="195">
        <f t="shared" si="9"/>
        <v>8539346</v>
      </c>
      <c r="Y75" s="195">
        <f t="shared" si="9"/>
        <v>10251385</v>
      </c>
      <c r="Z75" s="195">
        <f t="shared" si="9"/>
        <v>0</v>
      </c>
      <c r="AA75" s="195">
        <f t="shared" si="9"/>
        <v>2058414</v>
      </c>
      <c r="AB75" s="195">
        <f t="shared" si="9"/>
        <v>17701051</v>
      </c>
      <c r="AC75" s="195">
        <f t="shared" si="9"/>
        <v>3001175</v>
      </c>
      <c r="AD75" s="195">
        <f t="shared" si="9"/>
        <v>0</v>
      </c>
      <c r="AE75" s="195">
        <f t="shared" si="9"/>
        <v>5091752</v>
      </c>
      <c r="AF75" s="195">
        <f t="shared" si="9"/>
        <v>0</v>
      </c>
      <c r="AG75" s="195">
        <f t="shared" si="9"/>
        <v>12967035</v>
      </c>
      <c r="AH75" s="195">
        <f t="shared" si="9"/>
        <v>0</v>
      </c>
      <c r="AI75" s="195">
        <f t="shared" si="9"/>
        <v>0</v>
      </c>
      <c r="AJ75" s="195">
        <f t="shared" si="9"/>
        <v>69584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123361960</v>
      </c>
      <c r="CF75" s="250"/>
    </row>
    <row r="76" spans="1:84" ht="12.6" customHeight="1" x14ac:dyDescent="0.25">
      <c r="A76" s="171" t="s">
        <v>248</v>
      </c>
      <c r="B76" s="175"/>
      <c r="C76" s="184">
        <v>1804</v>
      </c>
      <c r="D76" s="184"/>
      <c r="E76" s="185">
        <v>9713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8281</v>
      </c>
      <c r="P76" s="185">
        <v>11113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185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v>20252</v>
      </c>
      <c r="CD76" s="247" t="s">
        <v>221</v>
      </c>
      <c r="CE76" s="195">
        <f t="shared" si="8"/>
        <v>110387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648+2418</f>
        <v>3066</v>
      </c>
      <c r="D77" s="184"/>
      <c r="E77" s="184">
        <f>6132+1219</f>
        <v>7351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3196+1050</f>
        <v>4246</v>
      </c>
      <c r="P77" s="184">
        <f>1026+865</f>
        <v>1891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1004+257</f>
        <v>1261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17815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2576</v>
      </c>
      <c r="D78" s="184"/>
      <c r="E78" s="184">
        <v>3864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3864</v>
      </c>
      <c r="P78" s="184">
        <v>3220</v>
      </c>
      <c r="Q78" s="184"/>
      <c r="R78" s="184"/>
      <c r="S78" s="184"/>
      <c r="T78" s="184"/>
      <c r="U78" s="184">
        <v>1288</v>
      </c>
      <c r="V78" s="184"/>
      <c r="W78" s="184">
        <v>161</v>
      </c>
      <c r="X78" s="184">
        <v>161</v>
      </c>
      <c r="Y78" s="184">
        <f>2898+322</f>
        <v>3220</v>
      </c>
      <c r="Z78" s="184"/>
      <c r="AA78" s="184">
        <v>161</v>
      </c>
      <c r="AB78" s="184">
        <v>322</v>
      </c>
      <c r="AC78" s="184">
        <f>322+322+161</f>
        <v>805</v>
      </c>
      <c r="AD78" s="184"/>
      <c r="AE78" s="184">
        <f>1931.93+161+161</f>
        <v>2253.9300000000003</v>
      </c>
      <c r="AF78" s="184"/>
      <c r="AG78" s="184">
        <v>2576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161</v>
      </c>
      <c r="AW78" s="184"/>
      <c r="AX78" s="247" t="s">
        <v>221</v>
      </c>
      <c r="AY78" s="247" t="s">
        <v>221</v>
      </c>
      <c r="AZ78" s="247" t="s">
        <v>221</v>
      </c>
      <c r="BA78" s="184">
        <v>161</v>
      </c>
      <c r="BB78" s="184">
        <v>322</v>
      </c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f>161+161</f>
        <v>322</v>
      </c>
      <c r="BI78" s="184"/>
      <c r="BJ78" s="247" t="s">
        <v>221</v>
      </c>
      <c r="BK78" s="184"/>
      <c r="BL78" s="184">
        <v>161</v>
      </c>
      <c r="BM78" s="184">
        <v>161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>
        <v>161</v>
      </c>
      <c r="BW78" s="184">
        <v>161</v>
      </c>
      <c r="BX78" s="184">
        <v>161</v>
      </c>
      <c r="BY78" s="184"/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26242.93</v>
      </c>
      <c r="CF78" s="195"/>
    </row>
    <row r="79" spans="1:84" ht="12.6" customHeight="1" x14ac:dyDescent="0.25">
      <c r="A79" s="171" t="s">
        <v>251</v>
      </c>
      <c r="B79" s="175"/>
      <c r="C79" s="225">
        <v>16346</v>
      </c>
      <c r="D79" s="225"/>
      <c r="E79" s="184">
        <v>57212</v>
      </c>
      <c r="F79" s="184"/>
      <c r="G79" s="184"/>
      <c r="H79" s="184"/>
      <c r="I79" s="184"/>
      <c r="J79" s="184">
        <v>24520</v>
      </c>
      <c r="K79" s="184"/>
      <c r="L79" s="184"/>
      <c r="M79" s="184"/>
      <c r="N79" s="184"/>
      <c r="O79" s="184">
        <v>38142</v>
      </c>
      <c r="P79" s="184">
        <v>49039</v>
      </c>
      <c r="Q79" s="184"/>
      <c r="R79" s="184"/>
      <c r="S79" s="184"/>
      <c r="T79" s="184"/>
      <c r="U79" s="184">
        <v>8173</v>
      </c>
      <c r="V79" s="184"/>
      <c r="W79" s="184"/>
      <c r="X79" s="184"/>
      <c r="Y79" s="184">
        <v>19071</v>
      </c>
      <c r="Z79" s="184"/>
      <c r="AA79" s="184"/>
      <c r="AB79" s="184"/>
      <c r="AC79" s="184"/>
      <c r="AD79" s="184"/>
      <c r="AE79" s="184">
        <v>49854</v>
      </c>
      <c r="AF79" s="184"/>
      <c r="AG79" s="184">
        <v>59937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322294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20816.45/2080</f>
        <v>10.007908653846155</v>
      </c>
      <c r="D80" s="187"/>
      <c r="E80" s="187">
        <f>32056.55/2080</f>
        <v>15.411802884615383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33332.97/2080</f>
        <v>16.025466346153848</v>
      </c>
      <c r="P80" s="187">
        <f>49707.42/2080</f>
        <v>23.897798076923078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33069.41/2080</f>
        <v>15.89875480769231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81.241730769230784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1267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84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86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6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4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4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4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4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4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1273</v>
      </c>
      <c r="D111" s="174">
        <f>4284-703-263</f>
        <v>3318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28</v>
      </c>
      <c r="D112" s="174">
        <v>263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353</v>
      </c>
      <c r="D114" s="174">
        <v>703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7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7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7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87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87">
        <v>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87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87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87"/>
      <c r="D123" s="175"/>
      <c r="E123" s="175"/>
    </row>
    <row r="124" spans="1:5" ht="12.6" customHeight="1" x14ac:dyDescent="0.25">
      <c r="A124" s="173" t="s">
        <v>289</v>
      </c>
      <c r="B124" s="172"/>
      <c r="C124" s="287">
        <v>2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287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287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314476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-28+519+34+6</f>
        <v>531</v>
      </c>
      <c r="C138" s="189">
        <v>235</v>
      </c>
      <c r="D138" s="174">
        <f>1273-766</f>
        <v>507</v>
      </c>
      <c r="E138" s="175">
        <f>SUM(B138:D138)</f>
        <v>1273</v>
      </c>
    </row>
    <row r="139" spans="1:6" ht="12.6" customHeight="1" x14ac:dyDescent="0.25">
      <c r="A139" s="173" t="s">
        <v>215</v>
      </c>
      <c r="B139" s="174">
        <f>-263+1613+78+12</f>
        <v>1440</v>
      </c>
      <c r="C139" s="189">
        <f>743-126</f>
        <v>617</v>
      </c>
      <c r="D139" s="174">
        <v>1261</v>
      </c>
      <c r="E139" s="175">
        <f>SUM(B139:D139)</f>
        <v>3318</v>
      </c>
    </row>
    <row r="140" spans="1:6" ht="12.6" customHeight="1" x14ac:dyDescent="0.25">
      <c r="A140" s="173" t="s">
        <v>298</v>
      </c>
      <c r="B140" s="174"/>
      <c r="C140" s="174"/>
      <c r="D140" s="174">
        <v>83020</v>
      </c>
      <c r="E140" s="175">
        <f>SUM(B140:D140)</f>
        <v>83020</v>
      </c>
    </row>
    <row r="141" spans="1:6" ht="12.6" customHeight="1" x14ac:dyDescent="0.25">
      <c r="A141" s="173" t="s">
        <v>245</v>
      </c>
      <c r="B141" s="174">
        <f>1256027+14250192-314476</f>
        <v>15191743</v>
      </c>
      <c r="C141" s="189">
        <f>220134+290542+2115968+459587</f>
        <v>3086231</v>
      </c>
      <c r="D141" s="174">
        <f>31200288-18592450</f>
        <v>12607838</v>
      </c>
      <c r="E141" s="175">
        <f>SUM(B141:D141)</f>
        <v>30885812</v>
      </c>
      <c r="F141" s="199"/>
    </row>
    <row r="142" spans="1:6" ht="12.6" customHeight="1" x14ac:dyDescent="0.25">
      <c r="A142" s="173" t="s">
        <v>246</v>
      </c>
      <c r="B142" s="174">
        <f>2767045+23403675</f>
        <v>26170720</v>
      </c>
      <c r="C142" s="189">
        <f>1184302+559806+7488688+2569914</f>
        <v>11802710</v>
      </c>
      <c r="D142" s="174">
        <f>92161672-37973430</f>
        <v>54188242</v>
      </c>
      <c r="E142" s="175">
        <f>SUM(B142:D142)</f>
        <v>92161672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28</v>
      </c>
      <c r="C144" s="189"/>
      <c r="D144" s="174"/>
      <c r="E144" s="175">
        <f>SUM(B144:D144)</f>
        <v>28</v>
      </c>
    </row>
    <row r="145" spans="1:5" ht="12.6" customHeight="1" x14ac:dyDescent="0.25">
      <c r="A145" s="173" t="s">
        <v>215</v>
      </c>
      <c r="B145" s="174">
        <v>263</v>
      </c>
      <c r="C145" s="189"/>
      <c r="D145" s="174"/>
      <c r="E145" s="175">
        <f>SUM(B145:D145)</f>
        <v>263</v>
      </c>
    </row>
    <row r="146" spans="1:5" ht="12.6" customHeight="1" x14ac:dyDescent="0.25">
      <c r="A146" s="173" t="s">
        <v>298</v>
      </c>
      <c r="B146" s="174">
        <v>0</v>
      </c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314476</v>
      </c>
      <c r="C147" s="189"/>
      <c r="D147" s="174"/>
      <c r="E147" s="175">
        <f>SUM(B147:D147)</f>
        <v>314476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6225602</v>
      </c>
      <c r="C157" s="174">
        <f>1686290+2590958</f>
        <v>4277248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2149377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3189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83443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2169065+261811+3637+106253+248805+33746+16301+1165</f>
        <v>2840783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22551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946966</f>
        <v>946966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96332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72839-2545+178+181+10098+185189+25633</f>
        <v>291573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6434214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124082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275601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399683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v>167297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103689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270986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713813-2008</f>
        <v>711805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2009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713814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97100+2679+346600+15199</f>
        <v>461578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1270+165442+64903</f>
        <v>231615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693193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" customHeight="1" x14ac:dyDescent="0.25">
      <c r="A196" s="173" t="s">
        <v>333</v>
      </c>
      <c r="B196" s="174">
        <v>3696545</v>
      </c>
      <c r="C196" s="189">
        <v>12397</v>
      </c>
      <c r="D196" s="174"/>
      <c r="E196" s="175">
        <f t="shared" si="10"/>
        <v>3708942</v>
      </c>
    </row>
    <row r="197" spans="1:8" ht="12.6" customHeight="1" x14ac:dyDescent="0.25">
      <c r="A197" s="173" t="s">
        <v>334</v>
      </c>
      <c r="B197" s="174">
        <v>14929106</v>
      </c>
      <c r="C197" s="189">
        <f>232412.82</f>
        <v>232412.82</v>
      </c>
      <c r="D197" s="174">
        <v>38376</v>
      </c>
      <c r="E197" s="175">
        <f t="shared" si="10"/>
        <v>15123142.82</v>
      </c>
    </row>
    <row r="198" spans="1:8" ht="12.6" customHeight="1" x14ac:dyDescent="0.25">
      <c r="A198" s="173" t="s">
        <v>335</v>
      </c>
      <c r="B198" s="174">
        <v>14400163</v>
      </c>
      <c r="C198" s="189">
        <v>228921.1</v>
      </c>
      <c r="D198" s="174">
        <v>11184.75</v>
      </c>
      <c r="E198" s="175">
        <f t="shared" si="10"/>
        <v>14617899.35</v>
      </c>
    </row>
    <row r="199" spans="1:8" ht="12.6" customHeight="1" x14ac:dyDescent="0.25">
      <c r="A199" s="173" t="s">
        <v>336</v>
      </c>
      <c r="B199" s="174">
        <v>1007816</v>
      </c>
      <c r="C199" s="189">
        <v>33397.199999999997</v>
      </c>
      <c r="D199" s="174"/>
      <c r="E199" s="175">
        <f t="shared" si="10"/>
        <v>1041213.2</v>
      </c>
    </row>
    <row r="200" spans="1:8" ht="12.6" customHeight="1" x14ac:dyDescent="0.25">
      <c r="A200" s="173" t="s">
        <v>337</v>
      </c>
      <c r="B200" s="174">
        <v>15644219</v>
      </c>
      <c r="C200" s="189">
        <f>622615.5+13256.05+387326.72</f>
        <v>1023198.27</v>
      </c>
      <c r="D200" s="174">
        <f>286385.92+202197.94+128070.75+544885.08</f>
        <v>1161539.69</v>
      </c>
      <c r="E200" s="175">
        <f t="shared" si="10"/>
        <v>15505877.58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365480</v>
      </c>
      <c r="C203" s="189">
        <v>2969047</v>
      </c>
      <c r="D203" s="174">
        <v>1055611</v>
      </c>
      <c r="E203" s="175">
        <f t="shared" si="10"/>
        <v>2278916</v>
      </c>
    </row>
    <row r="204" spans="1:8" ht="12.6" customHeight="1" x14ac:dyDescent="0.25">
      <c r="A204" s="173" t="s">
        <v>203</v>
      </c>
      <c r="B204" s="175">
        <f>SUM(B195:B203)</f>
        <v>51856634</v>
      </c>
      <c r="C204" s="191">
        <f>SUM(C195:C203)</f>
        <v>4499373.3900000006</v>
      </c>
      <c r="D204" s="175">
        <f>SUM(D195:D203)</f>
        <v>2266711.44</v>
      </c>
      <c r="E204" s="175">
        <f>SUM(E195:E203)</f>
        <v>54089295.950000003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1651679</v>
      </c>
      <c r="C209" s="189">
        <v>103535.23</v>
      </c>
      <c r="D209" s="174"/>
      <c r="E209" s="175">
        <f t="shared" ref="E209:E216" si="11">SUM(B209:C209)-D209</f>
        <v>1755214.23</v>
      </c>
      <c r="H209" s="257"/>
    </row>
    <row r="210" spans="1:8" ht="12.6" customHeight="1" x14ac:dyDescent="0.25">
      <c r="A210" s="173" t="s">
        <v>334</v>
      </c>
      <c r="B210" s="174">
        <v>4101143</v>
      </c>
      <c r="C210" s="189">
        <f>693302.47-399282.6</f>
        <v>294019.87</v>
      </c>
      <c r="D210" s="174">
        <v>38375.64</v>
      </c>
      <c r="E210" s="175">
        <f t="shared" si="11"/>
        <v>4356787.2300000004</v>
      </c>
      <c r="H210" s="257"/>
    </row>
    <row r="211" spans="1:8" ht="12.6" customHeight="1" x14ac:dyDescent="0.25">
      <c r="A211" s="173" t="s">
        <v>335</v>
      </c>
      <c r="B211" s="174">
        <v>10362163</v>
      </c>
      <c r="C211" s="189">
        <v>770840.26</v>
      </c>
      <c r="D211" s="174">
        <v>11184.75</v>
      </c>
      <c r="E211" s="175">
        <f t="shared" si="11"/>
        <v>11121818.51</v>
      </c>
      <c r="H211" s="257"/>
    </row>
    <row r="212" spans="1:8" ht="12.6" customHeight="1" x14ac:dyDescent="0.25">
      <c r="A212" s="173" t="s">
        <v>336</v>
      </c>
      <c r="B212" s="174">
        <v>896132</v>
      </c>
      <c r="C212" s="189">
        <v>33959.74</v>
      </c>
      <c r="D212" s="174"/>
      <c r="E212" s="175">
        <f t="shared" si="11"/>
        <v>930091.74</v>
      </c>
      <c r="H212" s="257"/>
    </row>
    <row r="213" spans="1:8" ht="12.6" customHeight="1" x14ac:dyDescent="0.25">
      <c r="A213" s="173" t="s">
        <v>337</v>
      </c>
      <c r="B213" s="174">
        <v>9845689</v>
      </c>
      <c r="C213" s="189">
        <f>1545865.35+142569.13+191615.68+78340.15</f>
        <v>1958390.3099999998</v>
      </c>
      <c r="D213" s="174">
        <f>284875.15+202197.94+128070.75+544885.08</f>
        <v>1160028.92</v>
      </c>
      <c r="E213" s="175">
        <f t="shared" si="11"/>
        <v>10644050.390000001</v>
      </c>
      <c r="H213" s="257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26856806</v>
      </c>
      <c r="C217" s="191">
        <f>SUM(C208:C216)</f>
        <v>3160745.4099999997</v>
      </c>
      <c r="D217" s="175">
        <f>SUM(D208:D216)</f>
        <v>1209589.3099999998</v>
      </c>
      <c r="E217" s="175">
        <f>SUM(E208:E216)</f>
        <v>28807962.099999998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1413873</v>
      </c>
      <c r="D221" s="172">
        <f>C221</f>
        <v>1413873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20331754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7722279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287">
        <f>1168022</f>
        <v>1168022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702896</f>
        <v>702896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287">
        <f>10204820+1985322+5350882+5425646+109391</f>
        <v>23076061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53001012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657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301994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803728+22291</f>
        <v>826019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1128013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f>150000+300554</f>
        <v>450554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147688+191469</f>
        <v>339157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789711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56332609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4832300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15789687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2959540+5614720</f>
        <v>8574260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-389000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1078236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1864133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880789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15481885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8792692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8792692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3708942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15123143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14617899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1041213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15505878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2278916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54089296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28807962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25281334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919278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-319215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600063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50155974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2399801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2490581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288789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-509000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4670171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56444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128444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13129036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1607986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14921910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14921910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30563893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50155974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50155974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31200288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92161672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123361960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1413873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v>53001012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1128013</f>
        <v>1128013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789711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56332609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67029351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2056947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1227152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3284099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70313450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30779312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6434214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5350745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12021653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721173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3302212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3160745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399683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270986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713814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693193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1329721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65177451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5135999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-2619987-1227152</f>
        <v>-3847139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1288860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1288860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Public Hospital District #1-A of Whitman County   H-0     FYE 12/31/2018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1273</v>
      </c>
      <c r="C414" s="194">
        <f>E138</f>
        <v>1273</v>
      </c>
      <c r="D414" s="179"/>
    </row>
    <row r="415" spans="1:5" ht="12.6" customHeight="1" x14ac:dyDescent="0.25">
      <c r="A415" s="179" t="s">
        <v>464</v>
      </c>
      <c r="B415" s="179">
        <f>D111</f>
        <v>3318</v>
      </c>
      <c r="C415" s="179">
        <f>E139</f>
        <v>3318</v>
      </c>
      <c r="D415" s="194">
        <f>SUM(C59:H59)+N59</f>
        <v>3318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28</v>
      </c>
      <c r="C417" s="194">
        <f>E144</f>
        <v>28</v>
      </c>
      <c r="D417" s="179"/>
    </row>
    <row r="418" spans="1:7" ht="12.6" customHeight="1" x14ac:dyDescent="0.25">
      <c r="A418" s="179" t="s">
        <v>466</v>
      </c>
      <c r="B418" s="179">
        <f>D112</f>
        <v>263</v>
      </c>
      <c r="C418" s="179">
        <f>E145</f>
        <v>263</v>
      </c>
      <c r="D418" s="179">
        <f>K59+L59</f>
        <v>263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353</v>
      </c>
    </row>
    <row r="424" spans="1:7" ht="12.6" customHeight="1" x14ac:dyDescent="0.25">
      <c r="A424" s="179" t="s">
        <v>1244</v>
      </c>
      <c r="B424" s="179">
        <f>D114</f>
        <v>703</v>
      </c>
      <c r="D424" s="179">
        <f>J59</f>
        <v>703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30779312</v>
      </c>
      <c r="C427" s="179">
        <f t="shared" ref="C427:C434" si="13">CE61</f>
        <v>30779312</v>
      </c>
      <c r="D427" s="179"/>
    </row>
    <row r="428" spans="1:7" ht="12.6" customHeight="1" x14ac:dyDescent="0.25">
      <c r="A428" s="179" t="s">
        <v>3</v>
      </c>
      <c r="B428" s="179">
        <f t="shared" si="12"/>
        <v>6434214</v>
      </c>
      <c r="C428" s="179">
        <f t="shared" si="13"/>
        <v>6434215</v>
      </c>
      <c r="D428" s="179">
        <f>D173</f>
        <v>6434214</v>
      </c>
    </row>
    <row r="429" spans="1:7" ht="12.6" customHeight="1" x14ac:dyDescent="0.25">
      <c r="A429" s="179" t="s">
        <v>236</v>
      </c>
      <c r="B429" s="179">
        <f t="shared" si="12"/>
        <v>5350745</v>
      </c>
      <c r="C429" s="179">
        <f t="shared" si="13"/>
        <v>5350745</v>
      </c>
      <c r="D429" s="179"/>
    </row>
    <row r="430" spans="1:7" ht="12.6" customHeight="1" x14ac:dyDescent="0.25">
      <c r="A430" s="179" t="s">
        <v>237</v>
      </c>
      <c r="B430" s="179">
        <f t="shared" si="12"/>
        <v>12021653</v>
      </c>
      <c r="C430" s="179">
        <f t="shared" si="13"/>
        <v>12021653</v>
      </c>
      <c r="D430" s="179"/>
    </row>
    <row r="431" spans="1:7" ht="12.6" customHeight="1" x14ac:dyDescent="0.25">
      <c r="A431" s="179" t="s">
        <v>444</v>
      </c>
      <c r="B431" s="179">
        <f t="shared" si="12"/>
        <v>721173</v>
      </c>
      <c r="C431" s="179">
        <f t="shared" si="13"/>
        <v>721173</v>
      </c>
      <c r="D431" s="179"/>
    </row>
    <row r="432" spans="1:7" ht="12.6" customHeight="1" x14ac:dyDescent="0.25">
      <c r="A432" s="179" t="s">
        <v>445</v>
      </c>
      <c r="B432" s="179">
        <f t="shared" si="12"/>
        <v>3302212</v>
      </c>
      <c r="C432" s="179">
        <f t="shared" si="13"/>
        <v>3302212</v>
      </c>
      <c r="D432" s="179"/>
    </row>
    <row r="433" spans="1:7" ht="12.6" customHeight="1" x14ac:dyDescent="0.25">
      <c r="A433" s="179" t="s">
        <v>6</v>
      </c>
      <c r="B433" s="179">
        <f t="shared" si="12"/>
        <v>3160745</v>
      </c>
      <c r="C433" s="179">
        <f t="shared" si="13"/>
        <v>3160742</v>
      </c>
      <c r="D433" s="179">
        <f>C217</f>
        <v>3160745.4099999997</v>
      </c>
    </row>
    <row r="434" spans="1:7" ht="12.6" customHeight="1" x14ac:dyDescent="0.25">
      <c r="A434" s="179" t="s">
        <v>474</v>
      </c>
      <c r="B434" s="179">
        <f t="shared" si="12"/>
        <v>399683</v>
      </c>
      <c r="C434" s="179">
        <f t="shared" si="13"/>
        <v>399683</v>
      </c>
      <c r="D434" s="179">
        <f>D177</f>
        <v>399683</v>
      </c>
    </row>
    <row r="435" spans="1:7" ht="12.6" customHeight="1" x14ac:dyDescent="0.25">
      <c r="A435" s="179" t="s">
        <v>447</v>
      </c>
      <c r="B435" s="179">
        <f t="shared" si="12"/>
        <v>270986</v>
      </c>
      <c r="C435" s="179"/>
      <c r="D435" s="179">
        <f>D181</f>
        <v>270986</v>
      </c>
    </row>
    <row r="436" spans="1:7" ht="12.6" customHeight="1" x14ac:dyDescent="0.25">
      <c r="A436" s="179" t="s">
        <v>475</v>
      </c>
      <c r="B436" s="179">
        <f t="shared" si="12"/>
        <v>713814</v>
      </c>
      <c r="C436" s="179"/>
      <c r="D436" s="179">
        <f>D186</f>
        <v>713814</v>
      </c>
    </row>
    <row r="437" spans="1:7" ht="12.6" customHeight="1" x14ac:dyDescent="0.25">
      <c r="A437" s="194" t="s">
        <v>449</v>
      </c>
      <c r="B437" s="194">
        <f t="shared" si="12"/>
        <v>693193</v>
      </c>
      <c r="C437" s="194"/>
      <c r="D437" s="194">
        <f>D190</f>
        <v>693193</v>
      </c>
    </row>
    <row r="438" spans="1:7" ht="12.6" customHeight="1" x14ac:dyDescent="0.25">
      <c r="A438" s="194" t="s">
        <v>476</v>
      </c>
      <c r="B438" s="194">
        <f>C386+C387+C388</f>
        <v>1677993</v>
      </c>
      <c r="C438" s="194">
        <f>CD69</f>
        <v>1677993</v>
      </c>
      <c r="D438" s="194">
        <f>D181+D186+D190</f>
        <v>1677993</v>
      </c>
    </row>
    <row r="439" spans="1:7" ht="12.6" customHeight="1" x14ac:dyDescent="0.25">
      <c r="A439" s="179" t="s">
        <v>451</v>
      </c>
      <c r="B439" s="194">
        <f>C389</f>
        <v>1329721</v>
      </c>
      <c r="C439" s="194">
        <f>SUM(C69:CC69)</f>
        <v>1329721</v>
      </c>
      <c r="D439" s="179"/>
    </row>
    <row r="440" spans="1:7" ht="12.6" customHeight="1" x14ac:dyDescent="0.25">
      <c r="A440" s="179" t="s">
        <v>477</v>
      </c>
      <c r="B440" s="194">
        <f>B438+B439</f>
        <v>3007714</v>
      </c>
      <c r="C440" s="194">
        <f>CE69</f>
        <v>3007714</v>
      </c>
      <c r="D440" s="179"/>
    </row>
    <row r="441" spans="1:7" ht="12.6" customHeight="1" x14ac:dyDescent="0.25">
      <c r="A441" s="179" t="s">
        <v>478</v>
      </c>
      <c r="B441" s="179">
        <f>D390</f>
        <v>65177451</v>
      </c>
      <c r="C441" s="179">
        <f>SUM(C427:C437)+C440</f>
        <v>65177449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1413873</v>
      </c>
      <c r="C444" s="179">
        <f>C363</f>
        <v>1413873</v>
      </c>
      <c r="D444" s="179"/>
    </row>
    <row r="445" spans="1:7" ht="12.6" customHeight="1" x14ac:dyDescent="0.25">
      <c r="A445" s="179" t="s">
        <v>343</v>
      </c>
      <c r="B445" s="179">
        <f>D229</f>
        <v>53001012</v>
      </c>
      <c r="C445" s="179">
        <f>C364</f>
        <v>53001012</v>
      </c>
      <c r="D445" s="179"/>
    </row>
    <row r="446" spans="1:7" ht="12.6" customHeight="1" x14ac:dyDescent="0.25">
      <c r="A446" s="179" t="s">
        <v>351</v>
      </c>
      <c r="B446" s="179">
        <f>D236</f>
        <v>1128013</v>
      </c>
      <c r="C446" s="179">
        <f>C365</f>
        <v>1128013</v>
      </c>
      <c r="D446" s="179"/>
    </row>
    <row r="447" spans="1:7" ht="12.6" customHeight="1" x14ac:dyDescent="0.25">
      <c r="A447" s="179" t="s">
        <v>356</v>
      </c>
      <c r="B447" s="179">
        <f>D240</f>
        <v>789711</v>
      </c>
      <c r="C447" s="179">
        <f>C366</f>
        <v>789711</v>
      </c>
      <c r="D447" s="179"/>
    </row>
    <row r="448" spans="1:7" ht="12.6" customHeight="1" x14ac:dyDescent="0.25">
      <c r="A448" s="179" t="s">
        <v>358</v>
      </c>
      <c r="B448" s="179">
        <f>D242</f>
        <v>56332609</v>
      </c>
      <c r="C448" s="179">
        <f>D367</f>
        <v>56332609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657</v>
      </c>
    </row>
    <row r="454" spans="1:7" ht="12.6" customHeight="1" x14ac:dyDescent="0.25">
      <c r="A454" s="179" t="s">
        <v>168</v>
      </c>
      <c r="B454" s="179">
        <f>C233</f>
        <v>301994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826019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2056947</v>
      </c>
      <c r="C458" s="194">
        <f>CE70</f>
        <v>2056947</v>
      </c>
      <c r="D458" s="194"/>
    </row>
    <row r="459" spans="1:7" ht="12.6" customHeight="1" x14ac:dyDescent="0.25">
      <c r="A459" s="179" t="s">
        <v>244</v>
      </c>
      <c r="B459" s="194">
        <f>C371</f>
        <v>1227152</v>
      </c>
      <c r="C459" s="194">
        <f>CE72</f>
        <v>1227152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31200288</v>
      </c>
      <c r="C463" s="194">
        <f>CE73</f>
        <v>31200288</v>
      </c>
      <c r="D463" s="194">
        <f>E141+E147+E153</f>
        <v>31200288</v>
      </c>
    </row>
    <row r="464" spans="1:7" ht="12.6" customHeight="1" x14ac:dyDescent="0.25">
      <c r="A464" s="179" t="s">
        <v>246</v>
      </c>
      <c r="B464" s="194">
        <f>C360</f>
        <v>92161672</v>
      </c>
      <c r="C464" s="194">
        <f>CE74</f>
        <v>92161672</v>
      </c>
      <c r="D464" s="194">
        <f>E142+E148+E154</f>
        <v>92161672</v>
      </c>
    </row>
    <row r="465" spans="1:7" ht="12.6" customHeight="1" x14ac:dyDescent="0.25">
      <c r="A465" s="179" t="s">
        <v>247</v>
      </c>
      <c r="B465" s="194">
        <f>D361</f>
        <v>123361960</v>
      </c>
      <c r="C465" s="194">
        <f>CE75</f>
        <v>123361960</v>
      </c>
      <c r="D465" s="194">
        <f>D463+D464</f>
        <v>123361960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" customHeight="1" x14ac:dyDescent="0.25">
      <c r="A469" s="179" t="s">
        <v>333</v>
      </c>
      <c r="B469" s="179">
        <f t="shared" si="14"/>
        <v>3708942</v>
      </c>
      <c r="C469" s="179">
        <f>E196</f>
        <v>3708942</v>
      </c>
      <c r="D469" s="179"/>
    </row>
    <row r="470" spans="1:7" ht="12.6" customHeight="1" x14ac:dyDescent="0.25">
      <c r="A470" s="179" t="s">
        <v>334</v>
      </c>
      <c r="B470" s="179">
        <f t="shared" si="14"/>
        <v>15123143</v>
      </c>
      <c r="C470" s="179">
        <f>E197</f>
        <v>15123142.82</v>
      </c>
      <c r="D470" s="179"/>
    </row>
    <row r="471" spans="1:7" ht="12.6" customHeight="1" x14ac:dyDescent="0.25">
      <c r="A471" s="179" t="s">
        <v>494</v>
      </c>
      <c r="B471" s="179">
        <f t="shared" si="14"/>
        <v>14617899</v>
      </c>
      <c r="C471" s="179">
        <f>E198</f>
        <v>14617899.35</v>
      </c>
      <c r="D471" s="179"/>
    </row>
    <row r="472" spans="1:7" ht="12.6" customHeight="1" x14ac:dyDescent="0.25">
      <c r="A472" s="179" t="s">
        <v>377</v>
      </c>
      <c r="B472" s="179">
        <f t="shared" si="14"/>
        <v>1041213</v>
      </c>
      <c r="C472" s="179">
        <f>E199</f>
        <v>1041213.2</v>
      </c>
      <c r="D472" s="179"/>
    </row>
    <row r="473" spans="1:7" ht="12.6" customHeight="1" x14ac:dyDescent="0.25">
      <c r="A473" s="179" t="s">
        <v>495</v>
      </c>
      <c r="B473" s="179">
        <f t="shared" si="14"/>
        <v>15505878</v>
      </c>
      <c r="C473" s="179">
        <f>SUM(E200:E201)</f>
        <v>15505877.58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2278916</v>
      </c>
      <c r="C475" s="179">
        <f>E203</f>
        <v>2278916</v>
      </c>
      <c r="D475" s="179"/>
    </row>
    <row r="476" spans="1:7" ht="12.6" customHeight="1" x14ac:dyDescent="0.25">
      <c r="A476" s="179" t="s">
        <v>203</v>
      </c>
      <c r="B476" s="179">
        <f>D275</f>
        <v>54089296</v>
      </c>
      <c r="C476" s="179">
        <f>E204</f>
        <v>54089295.950000003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28807962</v>
      </c>
      <c r="C478" s="179">
        <f>E217</f>
        <v>28807962.099999998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50155974</v>
      </c>
    </row>
    <row r="482" spans="1:12" ht="12.6" customHeight="1" x14ac:dyDescent="0.25">
      <c r="A482" s="180" t="s">
        <v>499</v>
      </c>
      <c r="C482" s="180">
        <f>D339</f>
        <v>50155974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172</v>
      </c>
      <c r="B493" s="259" t="str">
        <f>RIGHT('Prior Year'!C82,4)</f>
        <v>2017</v>
      </c>
      <c r="C493" s="259" t="str">
        <f>RIGHT(C82,4)</f>
        <v>2018</v>
      </c>
      <c r="D493" s="259" t="str">
        <f>RIGHT('Prior Year'!C82,4)</f>
        <v>2017</v>
      </c>
      <c r="E493" s="259" t="str">
        <f>RIGHT(C82,4)</f>
        <v>2018</v>
      </c>
      <c r="F493" s="259" t="str">
        <f>RIGHT('Prior Year'!C82,4)</f>
        <v>2017</v>
      </c>
      <c r="G493" s="259" t="str">
        <f>RIGHT(C82,4)</f>
        <v>2018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f>'Prior Year'!C71</f>
        <v>1514994</v>
      </c>
      <c r="C496" s="238">
        <f>C71</f>
        <v>1515446</v>
      </c>
      <c r="D496" s="238">
        <f>'Prior Year'!C59</f>
        <v>419</v>
      </c>
      <c r="E496" s="180">
        <f>C59</f>
        <v>536</v>
      </c>
      <c r="F496" s="261">
        <f t="shared" ref="F496:G511" si="15">IF(B496=0,"",IF(D496=0,"",B496/D496))</f>
        <v>3615.7374701670647</v>
      </c>
      <c r="G496" s="262">
        <f t="shared" si="15"/>
        <v>2827.3246268656717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f>'Prior Year'!D71</f>
        <v>0</v>
      </c>
      <c r="C497" s="238">
        <f>D71</f>
        <v>0</v>
      </c>
      <c r="D497" s="238">
        <f>'Prior Year'!D59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f>'Prior Year'!E71</f>
        <v>3874292</v>
      </c>
      <c r="C498" s="238">
        <f>E71</f>
        <v>4445915</v>
      </c>
      <c r="D498" s="238">
        <f>'Prior Year'!E59</f>
        <v>3229</v>
      </c>
      <c r="E498" s="180">
        <f>E59</f>
        <v>2782</v>
      </c>
      <c r="F498" s="261">
        <f t="shared" si="15"/>
        <v>1199.8426757510065</v>
      </c>
      <c r="G498" s="261">
        <f t="shared" si="15"/>
        <v>1598.1002875629044</v>
      </c>
      <c r="H498" s="263">
        <f t="shared" si="16"/>
        <v>0.33192485970097718</v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f>'Prior Year'!F71</f>
        <v>0</v>
      </c>
      <c r="C499" s="238">
        <f>F71</f>
        <v>0</v>
      </c>
      <c r="D499" s="238">
        <f>'Prior Year'!F59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f>'Prior Year'!G71</f>
        <v>0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f>'Prior Year'!H71</f>
        <v>0</v>
      </c>
      <c r="C501" s="238">
        <f>H71</f>
        <v>0</v>
      </c>
      <c r="D501" s="238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f>'Prior Year'!J71</f>
        <v>0</v>
      </c>
      <c r="C503" s="238">
        <f>J71</f>
        <v>0</v>
      </c>
      <c r="D503" s="238">
        <f>'Prior Year'!J59</f>
        <v>833</v>
      </c>
      <c r="E503" s="180">
        <f>J59</f>
        <v>703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119</v>
      </c>
      <c r="E505" s="180">
        <f>L59</f>
        <v>263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f>'Prior Year'!O71</f>
        <v>2647347</v>
      </c>
      <c r="C508" s="238">
        <f>O71</f>
        <v>2706186</v>
      </c>
      <c r="D508" s="238">
        <f>'Prior Year'!O59</f>
        <v>429</v>
      </c>
      <c r="E508" s="180">
        <f>O59</f>
        <v>353</v>
      </c>
      <c r="F508" s="261">
        <f t="shared" si="15"/>
        <v>6170.9720279720277</v>
      </c>
      <c r="G508" s="261">
        <f t="shared" si="15"/>
        <v>7666.2492917847021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f>'Prior Year'!P71</f>
        <v>6500134</v>
      </c>
      <c r="C509" s="238">
        <f>P71</f>
        <v>6649457</v>
      </c>
      <c r="D509" s="238">
        <f>'Prior Year'!P59</f>
        <v>213657</v>
      </c>
      <c r="E509" s="180">
        <f>P59</f>
        <v>217114</v>
      </c>
      <c r="F509" s="261">
        <f t="shared" si="15"/>
        <v>30.423220395306497</v>
      </c>
      <c r="G509" s="261">
        <f t="shared" si="15"/>
        <v>30.626569451992964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f>'Prior Year'!Q71</f>
        <v>20230</v>
      </c>
      <c r="C510" s="238">
        <f>Q71</f>
        <v>28227</v>
      </c>
      <c r="D510" s="238">
        <f>'Prior Year'!Q59</f>
        <v>110824</v>
      </c>
      <c r="E510" s="180">
        <f>Q59</f>
        <v>108410</v>
      </c>
      <c r="F510" s="261">
        <f t="shared" si="15"/>
        <v>0.18254168772107124</v>
      </c>
      <c r="G510" s="261">
        <f t="shared" si="15"/>
        <v>0.26037265934876858</v>
      </c>
      <c r="H510" s="263">
        <f t="shared" si="16"/>
        <v>0.4263736826331157</v>
      </c>
      <c r="I510" s="265" t="s">
        <v>1280</v>
      </c>
      <c r="K510" s="259"/>
      <c r="L510" s="259"/>
    </row>
    <row r="511" spans="1:12" ht="12.6" customHeight="1" x14ac:dyDescent="0.25">
      <c r="A511" s="180" t="s">
        <v>527</v>
      </c>
      <c r="B511" s="238">
        <f>'Prior Year'!R71</f>
        <v>465305</v>
      </c>
      <c r="C511" s="238">
        <f>R71</f>
        <v>495695</v>
      </c>
      <c r="D511" s="238">
        <f>'Prior Year'!R59</f>
        <v>157140</v>
      </c>
      <c r="E511" s="180">
        <f>R59</f>
        <v>159480</v>
      </c>
      <c r="F511" s="261">
        <f t="shared" si="15"/>
        <v>2.961085656102838</v>
      </c>
      <c r="G511" s="261">
        <f t="shared" si="15"/>
        <v>3.1081953850012543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f>'Prior Year'!S71</f>
        <v>4680684</v>
      </c>
      <c r="C512" s="238">
        <f>S71</f>
        <v>4986733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f>'Prior Year'!T71</f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f>'Prior Year'!U71</f>
        <v>2516053</v>
      </c>
      <c r="C514" s="238">
        <f>U71</f>
        <v>2660066</v>
      </c>
      <c r="D514" s="238">
        <f>'Prior Year'!U59</f>
        <v>99570</v>
      </c>
      <c r="E514" s="180">
        <f>U59</f>
        <v>108264</v>
      </c>
      <c r="F514" s="261">
        <f t="shared" si="17"/>
        <v>25.269187506276992</v>
      </c>
      <c r="G514" s="261">
        <f t="shared" si="17"/>
        <v>24.57018030000739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f>'Prior Year'!V71</f>
        <v>7964</v>
      </c>
      <c r="C515" s="238">
        <f>V71</f>
        <v>8848</v>
      </c>
      <c r="D515" s="238">
        <f>'Prior Year'!V59</f>
        <v>3772</v>
      </c>
      <c r="E515" s="180">
        <f>V59</f>
        <v>3683</v>
      </c>
      <c r="F515" s="261">
        <f t="shared" si="17"/>
        <v>2.1113467656415694</v>
      </c>
      <c r="G515" s="261">
        <f t="shared" si="17"/>
        <v>2.4023893565028511</v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f>'Prior Year'!W71</f>
        <v>716077</v>
      </c>
      <c r="C516" s="238">
        <f>W71</f>
        <v>577056</v>
      </c>
      <c r="D516" s="238">
        <f>'Prior Year'!W59</f>
        <v>2677</v>
      </c>
      <c r="E516" s="180">
        <f>W59</f>
        <v>2857</v>
      </c>
      <c r="F516" s="261">
        <f t="shared" si="17"/>
        <v>267.49234217407547</v>
      </c>
      <c r="G516" s="261">
        <f t="shared" si="17"/>
        <v>201.97969898494924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f>'Prior Year'!X71</f>
        <v>345909</v>
      </c>
      <c r="C517" s="238">
        <f>X71</f>
        <v>259700</v>
      </c>
      <c r="D517" s="238">
        <f>'Prior Year'!X59</f>
        <v>4574</v>
      </c>
      <c r="E517" s="180">
        <f>X59</f>
        <v>4639</v>
      </c>
      <c r="F517" s="261">
        <f t="shared" si="17"/>
        <v>75.62505465675558</v>
      </c>
      <c r="G517" s="261">
        <f t="shared" si="17"/>
        <v>55.98189264927786</v>
      </c>
      <c r="H517" s="263">
        <f t="shared" si="16"/>
        <v>-0.25974410328208597</v>
      </c>
      <c r="I517" s="265" t="s">
        <v>1281</v>
      </c>
      <c r="K517" s="259"/>
      <c r="L517" s="259"/>
    </row>
    <row r="518" spans="1:12" ht="12.6" customHeight="1" x14ac:dyDescent="0.25">
      <c r="A518" s="180" t="s">
        <v>534</v>
      </c>
      <c r="B518" s="238">
        <f>'Prior Year'!Y71</f>
        <v>2632466</v>
      </c>
      <c r="C518" s="238">
        <f>Y71</f>
        <v>2766144</v>
      </c>
      <c r="D518" s="238">
        <f>'Prior Year'!Y59</f>
        <v>24611</v>
      </c>
      <c r="E518" s="180">
        <f>Y59</f>
        <v>24402</v>
      </c>
      <c r="F518" s="261">
        <f t="shared" si="17"/>
        <v>106.96298403153061</v>
      </c>
      <c r="G518" s="261">
        <f t="shared" si="17"/>
        <v>113.35726579788542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f>'Prior Year'!Z71</f>
        <v>0</v>
      </c>
      <c r="C519" s="238">
        <f>Z71</f>
        <v>0</v>
      </c>
      <c r="D519" s="238">
        <f>'Prior Year'!Z59</f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f>'Prior Year'!AA71</f>
        <v>552224</v>
      </c>
      <c r="C520" s="238">
        <f>AA71</f>
        <v>718459</v>
      </c>
      <c r="D520" s="238">
        <f>'Prior Year'!AA59</f>
        <v>790</v>
      </c>
      <c r="E520" s="180">
        <f>AA59</f>
        <v>937</v>
      </c>
      <c r="F520" s="261">
        <f t="shared" si="17"/>
        <v>699.01772151898729</v>
      </c>
      <c r="G520" s="261">
        <f t="shared" si="17"/>
        <v>766.76520811099249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f>'Prior Year'!AB71</f>
        <v>4018205</v>
      </c>
      <c r="C521" s="238">
        <f>AB71</f>
        <v>4463339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f>'Prior Year'!AC71</f>
        <v>1126997</v>
      </c>
      <c r="C522" s="238">
        <f>AC71</f>
        <v>1211911</v>
      </c>
      <c r="D522" s="238">
        <f>'Prior Year'!AC59</f>
        <v>21269</v>
      </c>
      <c r="E522" s="180">
        <f>AC59</f>
        <v>10970</v>
      </c>
      <c r="F522" s="261">
        <f t="shared" si="17"/>
        <v>52.987775635902018</v>
      </c>
      <c r="G522" s="261">
        <f t="shared" si="17"/>
        <v>110.47502278942571</v>
      </c>
      <c r="H522" s="263">
        <f t="shared" si="16"/>
        <v>1.084915274582182</v>
      </c>
      <c r="I522" s="265" t="s">
        <v>1282</v>
      </c>
      <c r="K522" s="259"/>
      <c r="L522" s="259"/>
    </row>
    <row r="523" spans="1:12" ht="12.6" customHeight="1" x14ac:dyDescent="0.25">
      <c r="A523" s="180" t="s">
        <v>539</v>
      </c>
      <c r="B523" s="238">
        <f>'Prior Year'!AD71</f>
        <v>0</v>
      </c>
      <c r="C523" s="238">
        <f>AD71</f>
        <v>0</v>
      </c>
      <c r="D523" s="238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f>'Prior Year'!AE71</f>
        <v>3788103</v>
      </c>
      <c r="C524" s="238">
        <f>AE71</f>
        <v>4085958</v>
      </c>
      <c r="D524" s="238">
        <f>'Prior Year'!AE59</f>
        <v>37359</v>
      </c>
      <c r="E524" s="180">
        <f>AE59</f>
        <v>38063</v>
      </c>
      <c r="F524" s="261">
        <f t="shared" si="17"/>
        <v>101.39733397574882</v>
      </c>
      <c r="G524" s="261">
        <f t="shared" si="17"/>
        <v>107.34724010193626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f>'Prior Year'!AG71</f>
        <v>5841940</v>
      </c>
      <c r="C526" s="238">
        <f>AG71</f>
        <v>5983798</v>
      </c>
      <c r="D526" s="238">
        <f>'Prior Year'!AG59</f>
        <v>12188</v>
      </c>
      <c r="E526" s="180">
        <f>AG59</f>
        <v>12523</v>
      </c>
      <c r="F526" s="261">
        <f t="shared" si="17"/>
        <v>479.31900229734163</v>
      </c>
      <c r="G526" s="261">
        <f t="shared" si="17"/>
        <v>477.8246426575102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f>'Prior Year'!AH71</f>
        <v>0</v>
      </c>
      <c r="C527" s="238">
        <f>AH71</f>
        <v>0</v>
      </c>
      <c r="D527" s="238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f>'Prior Year'!AI71</f>
        <v>0</v>
      </c>
      <c r="C528" s="238">
        <f>AI71</f>
        <v>0</v>
      </c>
      <c r="D528" s="238">
        <f>'Prior Year'!AI59</f>
        <v>0</v>
      </c>
      <c r="E528" s="180">
        <f>AI59</f>
        <v>0</v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f>'Prior Year'!AJ71</f>
        <v>87033</v>
      </c>
      <c r="C529" s="238">
        <f>AJ71</f>
        <v>90497</v>
      </c>
      <c r="D529" s="238">
        <f>'Prior Year'!AJ59</f>
        <v>231</v>
      </c>
      <c r="E529" s="180">
        <f>AJ59</f>
        <v>278</v>
      </c>
      <c r="F529" s="261">
        <f t="shared" si="18"/>
        <v>376.76623376623377</v>
      </c>
      <c r="G529" s="261">
        <f t="shared" si="18"/>
        <v>325.52877697841728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f>'Prior Year'!AK71</f>
        <v>0</v>
      </c>
      <c r="C530" s="238">
        <f>AK71</f>
        <v>0</v>
      </c>
      <c r="D530" s="238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f>'Prior Year'!AL71</f>
        <v>0</v>
      </c>
      <c r="C531" s="238">
        <f>AL71</f>
        <v>0</v>
      </c>
      <c r="D531" s="238">
        <f>'Prior Year'!AL59</f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f>'Prior Year'!AP71</f>
        <v>0</v>
      </c>
      <c r="C535" s="238">
        <f>AP71</f>
        <v>0</v>
      </c>
      <c r="D535" s="238">
        <f>'Prior Year'!AP59</f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f>'Prior Year'!AR71</f>
        <v>0</v>
      </c>
      <c r="C537" s="238">
        <f>AR71</f>
        <v>0</v>
      </c>
      <c r="D537" s="238">
        <f>'Prior Year'!AR59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f>'Prior Year'!AV71</f>
        <v>275596</v>
      </c>
      <c r="C541" s="238">
        <f>AV71</f>
        <v>261339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f>'Prior Year'!AX71</f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f>'Prior Year'!AY71</f>
        <v>1567971</v>
      </c>
      <c r="C544" s="238">
        <f>AY71</f>
        <v>1771706</v>
      </c>
      <c r="D544" s="238">
        <f>'Prior Year'!AY59</f>
        <v>19786</v>
      </c>
      <c r="E544" s="180">
        <f>AY59</f>
        <v>17815</v>
      </c>
      <c r="F544" s="261">
        <f t="shared" ref="F544:G550" si="19">IF(B544=0,"",IF(D544=0,"",B544/D544))</f>
        <v>79.246487415344177</v>
      </c>
      <c r="G544" s="261">
        <f t="shared" si="19"/>
        <v>99.450238563008696</v>
      </c>
      <c r="H544" s="263">
        <f t="shared" si="16"/>
        <v>0.25494822302688647</v>
      </c>
      <c r="I544" s="265" t="s">
        <v>1283</v>
      </c>
      <c r="K544" s="259"/>
      <c r="L544" s="259"/>
    </row>
    <row r="545" spans="1:13" ht="12.6" customHeight="1" x14ac:dyDescent="0.25">
      <c r="A545" s="180" t="s">
        <v>559</v>
      </c>
      <c r="B545" s="238">
        <f>'Prior Year'!AZ71</f>
        <v>-506040</v>
      </c>
      <c r="C545" s="238">
        <f>AZ71</f>
        <v>-525240</v>
      </c>
      <c r="D545" s="238">
        <f>'Prior Year'!AZ59</f>
        <v>111832</v>
      </c>
      <c r="E545" s="180">
        <f>AZ59</f>
        <v>80136</v>
      </c>
      <c r="F545" s="261">
        <f t="shared" si="19"/>
        <v>-4.5250017883968807</v>
      </c>
      <c r="G545" s="261">
        <f t="shared" si="19"/>
        <v>-6.5543575920934414</v>
      </c>
      <c r="H545" s="263">
        <f t="shared" si="16"/>
        <v>0.44847624345702664</v>
      </c>
      <c r="I545" s="265" t="s">
        <v>1283</v>
      </c>
      <c r="K545" s="259"/>
      <c r="L545" s="259"/>
    </row>
    <row r="546" spans="1:13" ht="12.6" customHeight="1" x14ac:dyDescent="0.25">
      <c r="A546" s="180" t="s">
        <v>560</v>
      </c>
      <c r="B546" s="238">
        <f>'Prior Year'!BA71</f>
        <v>271595</v>
      </c>
      <c r="C546" s="238">
        <f>BA71</f>
        <v>269047</v>
      </c>
      <c r="D546" s="238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f>'Prior Year'!BB71</f>
        <v>538192</v>
      </c>
      <c r="C547" s="238">
        <f>BB71</f>
        <v>645313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f>'Prior Year'!BC71</f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f>'Prior Year'!BD71</f>
        <v>613939</v>
      </c>
      <c r="C549" s="238">
        <f>BD71</f>
        <v>646598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f>'Prior Year'!BE71</f>
        <v>1737829</v>
      </c>
      <c r="C550" s="238">
        <f>BE71</f>
        <v>1789236</v>
      </c>
      <c r="D550" s="238">
        <f>'Prior Year'!BE59</f>
        <v>110387</v>
      </c>
      <c r="E550" s="180">
        <f>BE59</f>
        <v>110387</v>
      </c>
      <c r="F550" s="261">
        <f t="shared" si="19"/>
        <v>15.74305851232482</v>
      </c>
      <c r="G550" s="261">
        <f t="shared" si="19"/>
        <v>16.208756465888193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f>'Prior Year'!BF71</f>
        <v>664855</v>
      </c>
      <c r="C551" s="238">
        <f>BF71</f>
        <v>728325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f>'Prior Year'!BG71</f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f>'Prior Year'!BH71</f>
        <v>1709882</v>
      </c>
      <c r="C553" s="238">
        <f>BH71</f>
        <v>1933261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f>'Prior Year'!BI71</f>
        <v>791143</v>
      </c>
      <c r="C554" s="238">
        <f>BI71</f>
        <v>893997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f>'Prior Year'!BJ71</f>
        <v>0</v>
      </c>
      <c r="C555" s="238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f>'Prior Year'!BK71</f>
        <v>1339638</v>
      </c>
      <c r="C556" s="238">
        <f>BK71</f>
        <v>1470795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f>'Prior Year'!BL71</f>
        <v>665897</v>
      </c>
      <c r="C557" s="238">
        <f>BL71</f>
        <v>634021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f>'Prior Year'!BM71</f>
        <v>-30381</v>
      </c>
      <c r="C558" s="238">
        <f>BM71</f>
        <v>-37838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f>'Prior Year'!BN71</f>
        <v>1686047</v>
      </c>
      <c r="C559" s="238">
        <f>BN71</f>
        <v>1429266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f>'Prior Year'!BO71</f>
        <v>138509</v>
      </c>
      <c r="C560" s="238">
        <f>BO71</f>
        <v>137105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f>'Prior Year'!BP71</f>
        <v>780630</v>
      </c>
      <c r="C561" s="238">
        <f>BP71</f>
        <v>777166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f>'Prior Year'!BR71</f>
        <v>774740</v>
      </c>
      <c r="C563" s="238">
        <f>BR71</f>
        <v>853168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f>'Prior Year'!BS71</f>
        <v>0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f>'Prior Year'!BT71</f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f>'Prior Year'!BU71</f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f>'Prior Year'!BV71</f>
        <v>638100</v>
      </c>
      <c r="C567" s="238">
        <f>BV71</f>
        <v>623160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f>'Prior Year'!BW71</f>
        <v>1581519</v>
      </c>
      <c r="C568" s="238">
        <f>BW71</f>
        <v>1616532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f>'Prior Year'!BX71</f>
        <v>681595</v>
      </c>
      <c r="C569" s="238">
        <f>BX71</f>
        <v>423908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f>'Prior Year'!BY71</f>
        <v>1028297</v>
      </c>
      <c r="C570" s="238">
        <f>BY71</f>
        <v>1163380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f>'Prior Year'!BZ71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f>'Prior Year'!CA71</f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f>'Prior Year'!CB71</f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f>'Prior Year'!CC71</f>
        <v>507511</v>
      </c>
      <c r="C574" s="238">
        <f>CC71</f>
        <v>579882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f>'Prior Year'!CD71</f>
        <v>1271167</v>
      </c>
      <c r="C575" s="238">
        <f>CD71</f>
        <v>1382940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97236</v>
      </c>
      <c r="E612" s="180">
        <f>SUM(C624:D647)+SUM(C668:D713)</f>
        <v>59548223.293594971</v>
      </c>
      <c r="F612" s="180">
        <f>CE64-(AX64+BD64+BE64+BG64+BJ64+BN64+BP64+BQ64+CB64+CC64+CD64)</f>
        <v>11964682</v>
      </c>
      <c r="G612" s="180">
        <f>CE77-(AX77+AY77+BD77+BE77+BG77+BJ77+BN77+BP77+BQ77+CB77+CC77+CD77)</f>
        <v>17815</v>
      </c>
      <c r="H612" s="197">
        <f>CE60-(AX60+AY60+AZ60+BD60+BE60+BG60+BJ60+BN60+BO60+BP60+BQ60+BR60+CB60+CC60+CD60)</f>
        <v>327.00999999999988</v>
      </c>
      <c r="I612" s="180">
        <f>CE78-(AX78+AY78+AZ78+BD78+BE78+BF78+BG78+BJ78+BN78+BO78+BP78+BQ78+BR78+CB78+CC78+CD78)</f>
        <v>26242.93</v>
      </c>
      <c r="J612" s="180">
        <f>CE79-(AX79+AY79+AZ79+BA79+BD79+BE79+BF79+BG79+BJ79+BN79+BO79+BP79+BQ79+BR79+CB79+CC79+CD79)</f>
        <v>322294</v>
      </c>
      <c r="K612" s="180">
        <f>CE75-(AW75+AX75+AY75+AZ75+BA75+BB75+BC75+BD75+BE75+BF75+BG75+BH75+BI75+BJ75+BK75+BL75+BM75+BN75+BO75+BP75+BQ75+BR75+BS75+BT75+BU75+BV75+BW75+BX75+CB75+CC75+CD75)</f>
        <v>123361960</v>
      </c>
      <c r="L612" s="197">
        <f>CE80-(AW80+AX80+AY80+AZ80+BA80+BB80+BC80+BD80+BE80+BF80+BG80+BH80+BI80+BJ80+BK80+BL80+BM80+BN80+BO80+BP80+BQ80+BR80+BS80+BT80+BU80+BV80+BW80+BX80+BY80+BZ80+CA80+CB80+CC80+CD80)</f>
        <v>81.241730769230784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1789236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1382940</v>
      </c>
      <c r="D615" s="264">
        <f>SUM(C614:C615)</f>
        <v>3172176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1429266</v>
      </c>
      <c r="D619" s="180">
        <f>(D615/D612)*BN76</f>
        <v>116302.68048870789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579882</v>
      </c>
      <c r="D620" s="180">
        <f>(D615/D612)*CC76</f>
        <v>660690.57089966675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777166</v>
      </c>
      <c r="D621" s="180">
        <f>(D615/D612)*BP76</f>
        <v>8971.4550166604968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3572278.7064050352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646598</v>
      </c>
      <c r="D624" s="180">
        <f>(D615/D612)*BD76</f>
        <v>91965.569788967056</v>
      </c>
      <c r="E624" s="180">
        <f>(E623/E612)*SUM(C624:D624)</f>
        <v>44306.190306897006</v>
      </c>
      <c r="F624" s="180">
        <f>SUM(C624:E624)</f>
        <v>782869.76009586407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1771706</v>
      </c>
      <c r="D625" s="180">
        <f>(D615/D612)*AY76</f>
        <v>155483.47130692337</v>
      </c>
      <c r="E625" s="180">
        <f>(E623/E612)*SUM(C625:D625)</f>
        <v>115611.4747137753</v>
      </c>
      <c r="F625" s="180">
        <f>(F624/F612)*AY64</f>
        <v>36580.651729628444</v>
      </c>
      <c r="G625" s="180">
        <f>SUM(C625:F625)</f>
        <v>2079381.5977503271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853168</v>
      </c>
      <c r="D626" s="180">
        <f>(D615/D612)*BR76</f>
        <v>8971.4550166604968</v>
      </c>
      <c r="E626" s="180">
        <f>(E623/E612)*SUM(C626:D626)</f>
        <v>51719.467798780199</v>
      </c>
      <c r="F626" s="180">
        <f>(F624/F612)*BR64</f>
        <v>506.24524194305377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137105</v>
      </c>
      <c r="D627" s="180">
        <f>(D615/D612)*BO76</f>
        <v>0</v>
      </c>
      <c r="E627" s="180">
        <f>(E623/E612)*SUM(C627:D627)</f>
        <v>8224.8847228720424</v>
      </c>
      <c r="F627" s="180">
        <f>(F624/F612)*BO64</f>
        <v>255.24915197361415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-525240</v>
      </c>
      <c r="D628" s="180">
        <f>(D615/D612)*AZ76</f>
        <v>0</v>
      </c>
      <c r="E628" s="180">
        <f>(E623/E612)*SUM(C628:D628)</f>
        <v>-31508.978168858259</v>
      </c>
      <c r="F628" s="180">
        <f>(F624/F612)*AZ64</f>
        <v>0</v>
      </c>
      <c r="G628" s="180">
        <f>(G625/G612)*AZ77</f>
        <v>0</v>
      </c>
      <c r="H628" s="180">
        <f>SUM(C626:G628)</f>
        <v>503201.32376337092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728325</v>
      </c>
      <c r="D629" s="180">
        <f>(D615/D612)*BF76</f>
        <v>12233.802295446132</v>
      </c>
      <c r="E629" s="180">
        <f>(E623/E612)*SUM(C629:D629)</f>
        <v>44425.883661341541</v>
      </c>
      <c r="F629" s="180">
        <f>(F624/F612)*BF64</f>
        <v>3357.6943047110958</v>
      </c>
      <c r="G629" s="180">
        <f>(G625/G612)*BF77</f>
        <v>0</v>
      </c>
      <c r="H629" s="180">
        <f>(H628/H612)*BF60</f>
        <v>21081.490277233672</v>
      </c>
      <c r="I629" s="180">
        <f>SUM(C629:H629)</f>
        <v>809423.87053873239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269047</v>
      </c>
      <c r="D630" s="180">
        <f>(D615/D612)*BA76</f>
        <v>42214.77378748612</v>
      </c>
      <c r="E630" s="180">
        <f>(E623/E612)*SUM(C630:D630)</f>
        <v>18672.493403149034</v>
      </c>
      <c r="F630" s="180">
        <f>(F624/F612)*BA64</f>
        <v>10.469075702583508</v>
      </c>
      <c r="G630" s="180">
        <f>(G625/G612)*BA77</f>
        <v>0</v>
      </c>
      <c r="H630" s="180">
        <f>(H628/H612)*BA60</f>
        <v>800.1733535884315</v>
      </c>
      <c r="I630" s="180">
        <f>(I629/I612)*BA78</f>
        <v>4965.8038624778528</v>
      </c>
      <c r="J630" s="180">
        <f>SUM(C630:I630)</f>
        <v>335710.71348240401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645313</v>
      </c>
      <c r="D632" s="180">
        <f>(D615/D612)*BB76</f>
        <v>4893.5209181784521</v>
      </c>
      <c r="E632" s="180">
        <f>(E623/E612)*SUM(C632:D632)</f>
        <v>39005.679447224444</v>
      </c>
      <c r="F632" s="180">
        <f>(F624/F612)*BB64</f>
        <v>118.56228233175823</v>
      </c>
      <c r="G632" s="180">
        <f>(G625/G612)*BB77</f>
        <v>0</v>
      </c>
      <c r="H632" s="180">
        <f>(H628/H612)*BB60</f>
        <v>8848.0707367951545</v>
      </c>
      <c r="I632" s="180">
        <f>(I629/I612)*BB78</f>
        <v>9931.6077249557056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893997</v>
      </c>
      <c r="D634" s="180">
        <f>(D615/D612)*BI76</f>
        <v>0</v>
      </c>
      <c r="E634" s="180">
        <f>(E623/E612)*SUM(C634:D634)</f>
        <v>53630.591645771034</v>
      </c>
      <c r="F634" s="180">
        <f>(F624/F612)*BI64</f>
        <v>275.663849593652</v>
      </c>
      <c r="G634" s="180">
        <f>(G625/G612)*BI77</f>
        <v>0</v>
      </c>
      <c r="H634" s="180">
        <f>(H628/H612)*BI60</f>
        <v>7770.9142992722664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1470795</v>
      </c>
      <c r="D635" s="180">
        <f>(D615/D612)*BK76</f>
        <v>0</v>
      </c>
      <c r="E635" s="180">
        <f>(E623/E612)*SUM(C635:D635)</f>
        <v>88232.517603125962</v>
      </c>
      <c r="F635" s="180">
        <f>(F624/F612)*BK64</f>
        <v>1416.4659425595487</v>
      </c>
      <c r="G635" s="180">
        <f>(G625/G612)*BK77</f>
        <v>0</v>
      </c>
      <c r="H635" s="180">
        <f>(H628/H612)*BK60</f>
        <v>18573.25457271609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1933261</v>
      </c>
      <c r="D636" s="180">
        <f>(D615/D612)*BH76</f>
        <v>60908.023694927804</v>
      </c>
      <c r="E636" s="180">
        <f>(E623/E612)*SUM(C636:D636)</f>
        <v>119629.55645536682</v>
      </c>
      <c r="F636" s="180">
        <f>(F624/F612)*BH64</f>
        <v>860.62345447550547</v>
      </c>
      <c r="G636" s="180">
        <f>(G625/G612)*BH77</f>
        <v>0</v>
      </c>
      <c r="H636" s="180">
        <f>(H628/H612)*BH60</f>
        <v>9586.6922939537089</v>
      </c>
      <c r="I636" s="180">
        <f>(I629/I612)*BH78</f>
        <v>9931.6077249557056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634021</v>
      </c>
      <c r="D637" s="180">
        <f>(D615/D612)*BL76</f>
        <v>28251.9274342836</v>
      </c>
      <c r="E637" s="180">
        <f>(E623/E612)*SUM(C637:D637)</f>
        <v>39729.53928176203</v>
      </c>
      <c r="F637" s="180">
        <f>(F624/F612)*BL64</f>
        <v>732.11555022629295</v>
      </c>
      <c r="G637" s="180">
        <f>(G625/G612)*BL77</f>
        <v>0</v>
      </c>
      <c r="H637" s="180">
        <f>(H628/H612)*BL60</f>
        <v>19342.652028089582</v>
      </c>
      <c r="I637" s="180">
        <f>(I629/I612)*BL78</f>
        <v>4965.8038624778528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-37838</v>
      </c>
      <c r="D638" s="180">
        <f>(D615/D612)*BM76</f>
        <v>8971.4550166604968</v>
      </c>
      <c r="E638" s="180">
        <f>(E623/E612)*SUM(C638:D638)</f>
        <v>-1731.6947218231842</v>
      </c>
      <c r="F638" s="180">
        <f>(F624/F612)*BM64</f>
        <v>619.57298642352021</v>
      </c>
      <c r="G638" s="180">
        <f>(G625/G612)*BM77</f>
        <v>0</v>
      </c>
      <c r="H638" s="180">
        <f>(H628/H612)*BM60</f>
        <v>6185.9555412028731</v>
      </c>
      <c r="I638" s="180">
        <f>(I629/I612)*BM78</f>
        <v>4965.8038624778528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623160</v>
      </c>
      <c r="D642" s="180">
        <f>(D615/D612)*BV76</f>
        <v>44139.55868196964</v>
      </c>
      <c r="E642" s="180">
        <f>(E623/E612)*SUM(C642:D642)</f>
        <v>40031.085268827454</v>
      </c>
      <c r="F642" s="180">
        <f>(F624/F612)*BV64</f>
        <v>472.41704107908078</v>
      </c>
      <c r="G642" s="180">
        <f>(G625/G612)*BV77</f>
        <v>0</v>
      </c>
      <c r="H642" s="180">
        <f>(H628/H612)*BV60</f>
        <v>7632.4227573050384</v>
      </c>
      <c r="I642" s="180">
        <f>(I629/I612)*BV78</f>
        <v>4965.8038624778528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1616532</v>
      </c>
      <c r="D643" s="180">
        <f>(D615/D612)*BW76</f>
        <v>4893.5209181784521</v>
      </c>
      <c r="E643" s="180">
        <f>(E623/E612)*SUM(C643:D643)</f>
        <v>97268.793962837008</v>
      </c>
      <c r="F643" s="180">
        <f>(F624/F612)*BW64</f>
        <v>982.32645951803875</v>
      </c>
      <c r="G643" s="180">
        <f>(G625/G612)*BW77</f>
        <v>0</v>
      </c>
      <c r="H643" s="180">
        <f>(H628/H612)*BW60</f>
        <v>3970.0908697272175</v>
      </c>
      <c r="I643" s="180">
        <f>(I629/I612)*BW78</f>
        <v>4965.8038624778528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423908</v>
      </c>
      <c r="D644" s="180">
        <f>(D615/D612)*BX76</f>
        <v>4893.5209181784521</v>
      </c>
      <c r="E644" s="180">
        <f>(E623/E612)*SUM(C644:D644)</f>
        <v>25723.664917721617</v>
      </c>
      <c r="F644" s="180">
        <f>(F624/F612)*BX64</f>
        <v>215.33580085751453</v>
      </c>
      <c r="G644" s="180">
        <f>(G625/G612)*BX77</f>
        <v>0</v>
      </c>
      <c r="H644" s="180">
        <f>(H628/H612)*BX60</f>
        <v>6755.3096581792588</v>
      </c>
      <c r="I644" s="180">
        <f>(I629/I612)*BX78</f>
        <v>4965.8038624778528</v>
      </c>
      <c r="J644" s="180">
        <f>(J630/J612)*BX79</f>
        <v>0</v>
      </c>
      <c r="K644" s="180">
        <f>SUM(C631:J644)</f>
        <v>9000670.9423297998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1163380</v>
      </c>
      <c r="D645" s="180">
        <f>(D615/D612)*BY76</f>
        <v>4893.5209181784521</v>
      </c>
      <c r="E645" s="180">
        <f>(E623/E612)*SUM(C645:D645)</f>
        <v>70084.351659938417</v>
      </c>
      <c r="F645" s="180">
        <f>(F624/F612)*BY64</f>
        <v>314.20313452378753</v>
      </c>
      <c r="G645" s="180">
        <f>(G625/G612)*BY77</f>
        <v>0</v>
      </c>
      <c r="H645" s="180">
        <f>(H628/H612)*BY60</f>
        <v>11187.03900113057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1249859.114713771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19205728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1515446</v>
      </c>
      <c r="D668" s="180">
        <f>(D615/D612)*C76</f>
        <v>58852.744909292858</v>
      </c>
      <c r="E668" s="180">
        <f>(E623/E612)*SUM(C668:D668)</f>
        <v>94441.673872149608</v>
      </c>
      <c r="F668" s="180">
        <f>(F624/F612)*C64</f>
        <v>2856.4218737267688</v>
      </c>
      <c r="G668" s="180">
        <f>(G625/G612)*C77</f>
        <v>357866.06672481075</v>
      </c>
      <c r="H668" s="180">
        <f>(H628/H612)*C60</f>
        <v>22374.07800226114</v>
      </c>
      <c r="I668" s="180">
        <f>(I629/I612)*C78</f>
        <v>79452.861799645645</v>
      </c>
      <c r="J668" s="180">
        <f>(J630/J612)*C79</f>
        <v>17026.464416288778</v>
      </c>
      <c r="K668" s="180">
        <f>(K644/K612)*C75</f>
        <v>147399.69650719195</v>
      </c>
      <c r="L668" s="180">
        <f>(L647/L612)*C80</f>
        <v>153966.14192973176</v>
      </c>
      <c r="M668" s="180">
        <f t="shared" ref="M668:M713" si="20">ROUND(SUM(D668:L668),0)</f>
        <v>934236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4445915</v>
      </c>
      <c r="D670" s="180">
        <f>(D615/D612)*E76</f>
        <v>316871.79118844873</v>
      </c>
      <c r="E670" s="180">
        <f>(E623/E612)*SUM(C670:D670)</f>
        <v>285718.0432306818</v>
      </c>
      <c r="F670" s="180">
        <f>(F624/F612)*E64</f>
        <v>6064.4738276140615</v>
      </c>
      <c r="G670" s="180">
        <f>(G625/G612)*E77</f>
        <v>858014.82599285187</v>
      </c>
      <c r="H670" s="180">
        <f>(H628/H612)*E60</f>
        <v>46456.218355451427</v>
      </c>
      <c r="I670" s="180">
        <f>(I629/I612)*E78</f>
        <v>119179.29269946847</v>
      </c>
      <c r="J670" s="180">
        <f>(J630/J612)*E79</f>
        <v>59593.667085813875</v>
      </c>
      <c r="K670" s="180">
        <f>(K644/K612)*E75</f>
        <v>373472.58746086602</v>
      </c>
      <c r="L670" s="180">
        <f>(L647/L612)*E80</f>
        <v>237102.06721499303</v>
      </c>
      <c r="M670" s="180">
        <f t="shared" si="20"/>
        <v>2302473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25540.738253236319</v>
      </c>
      <c r="K675" s="180">
        <f>(K644/K612)*J75</f>
        <v>33905.4907167852</v>
      </c>
      <c r="L675" s="180">
        <f>(L647/L612)*J80</f>
        <v>0</v>
      </c>
      <c r="M675" s="180">
        <f t="shared" si="20"/>
        <v>59446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22944.633785488702</v>
      </c>
      <c r="L677" s="180">
        <f>(L647/L612)*L80</f>
        <v>0</v>
      </c>
      <c r="M677" s="180">
        <f t="shared" si="20"/>
        <v>22945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2706186</v>
      </c>
      <c r="D680" s="180">
        <f>(D615/D612)*O76</f>
        <v>270154.97815623845</v>
      </c>
      <c r="E680" s="180">
        <f>(E623/E612)*SUM(C680:D680)</f>
        <v>178549.73517592557</v>
      </c>
      <c r="F680" s="180">
        <f>(F624/F612)*O64</f>
        <v>6990.5290052307137</v>
      </c>
      <c r="G680" s="180">
        <f>(G625/G612)*O77</f>
        <v>495596.64687330282</v>
      </c>
      <c r="H680" s="180">
        <f>(H628/H612)*O60</f>
        <v>34699.825237344478</v>
      </c>
      <c r="I680" s="180">
        <f>(I629/I612)*O78</f>
        <v>119179.29269946847</v>
      </c>
      <c r="J680" s="180">
        <f>(J630/J612)*O79</f>
        <v>39729.805809744685</v>
      </c>
      <c r="K680" s="180">
        <f>(K644/K612)*O75</f>
        <v>179971.01363552702</v>
      </c>
      <c r="L680" s="180">
        <f>(L647/L612)*O80</f>
        <v>246542.94031688839</v>
      </c>
      <c r="M680" s="180">
        <f t="shared" si="20"/>
        <v>1571415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6649457</v>
      </c>
      <c r="D681" s="180">
        <f>(D615/D612)*P76</f>
        <v>362544.6530914476</v>
      </c>
      <c r="E681" s="180">
        <f>(E623/E612)*SUM(C681:D681)</f>
        <v>420647.71724784182</v>
      </c>
      <c r="F681" s="180">
        <f>(F624/F612)*P64</f>
        <v>77316.93762767427</v>
      </c>
      <c r="G681" s="180">
        <f>(G625/G612)*P77</f>
        <v>220719.09072949024</v>
      </c>
      <c r="H681" s="180">
        <f>(H628/H612)*P60</f>
        <v>72800.387227439787</v>
      </c>
      <c r="I681" s="180">
        <f>(I629/I612)*P78</f>
        <v>99316.077249557056</v>
      </c>
      <c r="J681" s="180">
        <f>(J630/J612)*P79</f>
        <v>51080.43487766949</v>
      </c>
      <c r="K681" s="180">
        <f>(K644/K612)*P75</f>
        <v>1129910.5614131396</v>
      </c>
      <c r="L681" s="180">
        <f>(L647/L612)*P80</f>
        <v>367654.41190408485</v>
      </c>
      <c r="M681" s="180">
        <f t="shared" si="20"/>
        <v>2801990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28227</v>
      </c>
      <c r="D682" s="180">
        <f>(D615/D612)*Q76</f>
        <v>0</v>
      </c>
      <c r="E682" s="180">
        <f>(E623/E612)*SUM(C682:D682)</f>
        <v>1693.3286245761215</v>
      </c>
      <c r="F682" s="180">
        <f>(F624/F612)*Q64</f>
        <v>1651.0386700205604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98822.236237272358</v>
      </c>
      <c r="L682" s="180">
        <f>(L647/L612)*Q80</f>
        <v>0</v>
      </c>
      <c r="M682" s="180">
        <f t="shared" si="20"/>
        <v>102167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495695</v>
      </c>
      <c r="D683" s="180">
        <f>(D615/D612)*R76</f>
        <v>0</v>
      </c>
      <c r="E683" s="180">
        <f>(E623/E612)*SUM(C683:D683)</f>
        <v>29736.583149440627</v>
      </c>
      <c r="F683" s="180">
        <f>(F624/F612)*R64</f>
        <v>7582.8169631043756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271092.45770575583</v>
      </c>
      <c r="L683" s="180">
        <f>(L647/L612)*R80</f>
        <v>0</v>
      </c>
      <c r="M683" s="180">
        <f t="shared" si="20"/>
        <v>308412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4986733</v>
      </c>
      <c r="D684" s="180">
        <f>(D615/D612)*S76</f>
        <v>46945.177341725292</v>
      </c>
      <c r="E684" s="180">
        <f>(E623/E612)*SUM(C684:D684)</f>
        <v>301968.73010227451</v>
      </c>
      <c r="F684" s="180">
        <f>(F624/F612)*S64</f>
        <v>314270.26747173036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1214767.3870511521</v>
      </c>
      <c r="L684" s="180">
        <f>(L647/L612)*S80</f>
        <v>0</v>
      </c>
      <c r="M684" s="180">
        <f t="shared" si="20"/>
        <v>1877952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2660066</v>
      </c>
      <c r="D686" s="180">
        <f>(D615/D612)*U76</f>
        <v>63942.006664198445</v>
      </c>
      <c r="E686" s="180">
        <f>(E623/E612)*SUM(C686:D686)</f>
        <v>163412.36161331454</v>
      </c>
      <c r="F686" s="180">
        <f>(F624/F612)*U64</f>
        <v>37994.304108092925</v>
      </c>
      <c r="G686" s="180">
        <f>(G625/G612)*U77</f>
        <v>0</v>
      </c>
      <c r="H686" s="180">
        <f>(H628/H612)*U60</f>
        <v>25897.918347871731</v>
      </c>
      <c r="I686" s="180">
        <f>(I629/I612)*U78</f>
        <v>39726.430899822823</v>
      </c>
      <c r="J686" s="180">
        <f>(J630/J612)*U79</f>
        <v>8513.232208144389</v>
      </c>
      <c r="K686" s="180">
        <f>(K644/K612)*U75</f>
        <v>682105.03895324492</v>
      </c>
      <c r="L686" s="180">
        <f>(L647/L612)*U80</f>
        <v>0</v>
      </c>
      <c r="M686" s="180">
        <f t="shared" si="20"/>
        <v>1021591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8848</v>
      </c>
      <c r="D687" s="180">
        <f>(D615/D612)*V76</f>
        <v>10080.653091447612</v>
      </c>
      <c r="E687" s="180">
        <f>(E623/E612)*SUM(C687:D687)</f>
        <v>1135.523792979046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37640.97247230693</v>
      </c>
      <c r="L687" s="180">
        <f>(L647/L612)*V80</f>
        <v>0</v>
      </c>
      <c r="M687" s="180">
        <f t="shared" si="20"/>
        <v>48857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577056</v>
      </c>
      <c r="D688" s="180">
        <f>(D615/D612)*W76</f>
        <v>16442.2302850796</v>
      </c>
      <c r="E688" s="180">
        <f>(E623/E612)*SUM(C688:D688)</f>
        <v>35603.767385021289</v>
      </c>
      <c r="F688" s="180">
        <f>(F624/F612)*W64</f>
        <v>331.54254115619148</v>
      </c>
      <c r="G688" s="180">
        <f>(G625/G612)*W77</f>
        <v>0</v>
      </c>
      <c r="H688" s="180">
        <f>(H628/H612)*W60</f>
        <v>5093.4111545725154</v>
      </c>
      <c r="I688" s="180">
        <f>(I629/I612)*W78</f>
        <v>4965.8038624778528</v>
      </c>
      <c r="J688" s="180">
        <f>(J630/J612)*W79</f>
        <v>0</v>
      </c>
      <c r="K688" s="180">
        <f>(K644/K612)*W75</f>
        <v>454316.67772659479</v>
      </c>
      <c r="L688" s="180">
        <f>(L647/L612)*W80</f>
        <v>0</v>
      </c>
      <c r="M688" s="180">
        <f t="shared" si="20"/>
        <v>516753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259700</v>
      </c>
      <c r="D689" s="180">
        <f>(D615/D612)*X76</f>
        <v>17029.452795261015</v>
      </c>
      <c r="E689" s="180">
        <f>(E623/E612)*SUM(C689:D689)</f>
        <v>16600.910606210437</v>
      </c>
      <c r="F689" s="180">
        <f>(F624/F612)*X64</f>
        <v>557.47828116257176</v>
      </c>
      <c r="G689" s="180">
        <f>(G625/G612)*X77</f>
        <v>0</v>
      </c>
      <c r="H689" s="180">
        <f>(H628/H612)*X60</f>
        <v>1508.0190125320439</v>
      </c>
      <c r="I689" s="180">
        <f>(I629/I612)*X78</f>
        <v>4965.8038624778528</v>
      </c>
      <c r="J689" s="180">
        <f>(J630/J612)*X79</f>
        <v>0</v>
      </c>
      <c r="K689" s="180">
        <f>(K644/K612)*X75</f>
        <v>623043.30612694705</v>
      </c>
      <c r="L689" s="180">
        <f>(L647/L612)*X80</f>
        <v>0</v>
      </c>
      <c r="M689" s="180">
        <f t="shared" si="20"/>
        <v>663705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2766144</v>
      </c>
      <c r="D690" s="180">
        <f>(D615/D612)*Y76</f>
        <v>147914.82562014071</v>
      </c>
      <c r="E690" s="180">
        <f>(E623/E612)*SUM(C690:D690)</f>
        <v>174813.44893616968</v>
      </c>
      <c r="F690" s="180">
        <f>(F624/F612)*Y64</f>
        <v>8232.8157007885293</v>
      </c>
      <c r="G690" s="180">
        <f>(G625/G612)*Y77</f>
        <v>0</v>
      </c>
      <c r="H690" s="180">
        <f>(H628/H612)*Y60</f>
        <v>29021.67201668811</v>
      </c>
      <c r="I690" s="180">
        <f>(I629/I612)*Y78</f>
        <v>99316.077249557056</v>
      </c>
      <c r="J690" s="180">
        <f>(J630/J612)*Y79</f>
        <v>19864.902904872342</v>
      </c>
      <c r="K690" s="180">
        <f>(K644/K612)*Y75</f>
        <v>747956.2021236982</v>
      </c>
      <c r="L690" s="180">
        <f>(L647/L612)*Y80</f>
        <v>0</v>
      </c>
      <c r="M690" s="180">
        <f t="shared" si="20"/>
        <v>1227120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718459</v>
      </c>
      <c r="D692" s="180">
        <f>(D615/D612)*AA76</f>
        <v>9950.1592002961861</v>
      </c>
      <c r="E692" s="180">
        <f>(E623/E612)*SUM(C692:D692)</f>
        <v>43697.030491277379</v>
      </c>
      <c r="F692" s="180">
        <f>(F624/F612)*AA64</f>
        <v>15626.011530229862</v>
      </c>
      <c r="G692" s="180">
        <f>(G625/G612)*AA77</f>
        <v>0</v>
      </c>
      <c r="H692" s="180">
        <f>(H628/H612)*AA60</f>
        <v>2554.3995518399925</v>
      </c>
      <c r="I692" s="180">
        <f>(I629/I612)*AA78</f>
        <v>4965.8038624778528</v>
      </c>
      <c r="J692" s="180">
        <f>(J630/J612)*AA79</f>
        <v>0</v>
      </c>
      <c r="K692" s="180">
        <f>(K644/K612)*AA75</f>
        <v>150184.92797200088</v>
      </c>
      <c r="L692" s="180">
        <f>(L647/L612)*AA80</f>
        <v>0</v>
      </c>
      <c r="M692" s="180">
        <f t="shared" si="20"/>
        <v>226978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4463339</v>
      </c>
      <c r="D693" s="180">
        <f>(D615/D612)*AB76</f>
        <v>25576.802665679377</v>
      </c>
      <c r="E693" s="180">
        <f>(E623/E612)*SUM(C693:D693)</f>
        <v>269288.61097409896</v>
      </c>
      <c r="F693" s="180">
        <f>(F624/F612)*AB64</f>
        <v>236121.43091603954</v>
      </c>
      <c r="G693" s="180">
        <f>(G625/G612)*AB77</f>
        <v>0</v>
      </c>
      <c r="H693" s="180">
        <f>(H628/H612)*AB60</f>
        <v>8771.1309912578072</v>
      </c>
      <c r="I693" s="180">
        <f>(I629/I612)*AB78</f>
        <v>9931.6077249557056</v>
      </c>
      <c r="J693" s="180">
        <f>(J630/J612)*AB79</f>
        <v>0</v>
      </c>
      <c r="K693" s="180">
        <f>(K644/K612)*AB75</f>
        <v>1291494.8447997896</v>
      </c>
      <c r="L693" s="180">
        <f>(L647/L612)*AB80</f>
        <v>0</v>
      </c>
      <c r="M693" s="180">
        <f t="shared" si="20"/>
        <v>1841184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1211911</v>
      </c>
      <c r="D694" s="180">
        <f>(D615/D612)*AC76</f>
        <v>40355.235838578308</v>
      </c>
      <c r="E694" s="180">
        <f>(E623/E612)*SUM(C694:D694)</f>
        <v>75123.04753376756</v>
      </c>
      <c r="F694" s="180">
        <f>(F624/F612)*AC64</f>
        <v>3951.0291701550159</v>
      </c>
      <c r="G694" s="180">
        <f>(G625/G612)*AC77</f>
        <v>0</v>
      </c>
      <c r="H694" s="180">
        <f>(H628/H612)*AC60</f>
        <v>15649.544242296823</v>
      </c>
      <c r="I694" s="180">
        <f>(I629/I612)*AC78</f>
        <v>24829.019312389264</v>
      </c>
      <c r="J694" s="180">
        <f>(J630/J612)*AC79</f>
        <v>0</v>
      </c>
      <c r="K694" s="180">
        <f>(K644/K612)*AC75</f>
        <v>218970.16402257743</v>
      </c>
      <c r="L694" s="180">
        <f>(L647/L612)*AC80</f>
        <v>0</v>
      </c>
      <c r="M694" s="180">
        <f t="shared" si="20"/>
        <v>378878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4085958</v>
      </c>
      <c r="D696" s="180">
        <f>(D615/D612)*AE76</f>
        <v>284998.65827471309</v>
      </c>
      <c r="E696" s="180">
        <f>(E623/E612)*SUM(C696:D696)</f>
        <v>262212.27995317109</v>
      </c>
      <c r="F696" s="180">
        <f>(F624/F612)*AE64</f>
        <v>6039.5443410972848</v>
      </c>
      <c r="G696" s="180">
        <f>(G625/G612)*AE77</f>
        <v>0</v>
      </c>
      <c r="H696" s="180">
        <f>(H628/H612)*AE60</f>
        <v>64583.22240405091</v>
      </c>
      <c r="I696" s="180">
        <f>(I629/I612)*AE78</f>
        <v>69519.095029532342</v>
      </c>
      <c r="J696" s="180">
        <f>(J630/J612)*AE79</f>
        <v>51929.362352236683</v>
      </c>
      <c r="K696" s="180">
        <f>(K644/K612)*AE75</f>
        <v>371501.75201455655</v>
      </c>
      <c r="L696" s="180">
        <f>(L647/L612)*AE80</f>
        <v>0</v>
      </c>
      <c r="M696" s="180">
        <f t="shared" si="20"/>
        <v>1110784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5983798</v>
      </c>
      <c r="D698" s="180">
        <f>(D615/D612)*AG76</f>
        <v>209214.33098852276</v>
      </c>
      <c r="E698" s="180">
        <f>(E623/E612)*SUM(C698:D698)</f>
        <v>371516.81200325064</v>
      </c>
      <c r="F698" s="180">
        <f>(F624/F612)*AG64</f>
        <v>10234.241248229931</v>
      </c>
      <c r="G698" s="180">
        <f>(G625/G612)*AG77</f>
        <v>147184.96742987161</v>
      </c>
      <c r="H698" s="180">
        <f>(H628/H612)*AG60</f>
        <v>48118.116859058173</v>
      </c>
      <c r="I698" s="180">
        <f>(I629/I612)*AG78</f>
        <v>79452.861799645645</v>
      </c>
      <c r="J698" s="180">
        <f>(J630/J612)*AG79</f>
        <v>62432.105574397443</v>
      </c>
      <c r="K698" s="180">
        <f>(K644/K612)*AG75</f>
        <v>946094.04011312313</v>
      </c>
      <c r="L698" s="180">
        <f>(L647/L612)*AG80</f>
        <v>244593.55334807283</v>
      </c>
      <c r="M698" s="180">
        <f t="shared" si="20"/>
        <v>2118841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90497</v>
      </c>
      <c r="D701" s="180">
        <f>(D615/D612)*AJ76</f>
        <v>32623.47278785635</v>
      </c>
      <c r="E701" s="180">
        <f>(E623/E612)*SUM(C701:D701)</f>
        <v>7385.9574465236337</v>
      </c>
      <c r="F701" s="180">
        <f>(F624/F612)*AJ64</f>
        <v>0</v>
      </c>
      <c r="G701" s="180">
        <f>(G625/G612)*AJ77</f>
        <v>0</v>
      </c>
      <c r="H701" s="180">
        <f>(H628/H612)*AJ60</f>
        <v>954.0528446631298</v>
      </c>
      <c r="I701" s="180">
        <f>(I629/I612)*AJ78</f>
        <v>0</v>
      </c>
      <c r="J701" s="180">
        <f>(J630/J612)*AJ79</f>
        <v>0</v>
      </c>
      <c r="K701" s="180">
        <f>(K644/K612)*AJ75</f>
        <v>5076.9514917813949</v>
      </c>
      <c r="L701" s="180">
        <f>(L647/L612)*AJ80</f>
        <v>0</v>
      </c>
      <c r="M701" s="180">
        <f t="shared" si="20"/>
        <v>46040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261339</v>
      </c>
      <c r="D713" s="180">
        <f>(D615/D612)*AV76</f>
        <v>0</v>
      </c>
      <c r="E713" s="180">
        <f>(E623/E612)*SUM(C713:D713)</f>
        <v>15677.642307652213</v>
      </c>
      <c r="F713" s="180">
        <f>(F624/F612)*AV64</f>
        <v>331.28081426362689</v>
      </c>
      <c r="G713" s="180">
        <f>(G625/G612)*AV77</f>
        <v>0</v>
      </c>
      <c r="H713" s="180">
        <f>(H628/H612)*AV60</f>
        <v>2985.2621268491484</v>
      </c>
      <c r="I713" s="180">
        <f>(I629/I612)*AV78</f>
        <v>4965.8038624778528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23960</v>
      </c>
      <c r="N713" s="199" t="s">
        <v>741</v>
      </c>
    </row>
    <row r="715" spans="1:15" ht="12.6" customHeight="1" x14ac:dyDescent="0.25">
      <c r="C715" s="180">
        <f>SUM(C614:C647)+SUM(C668:C713)</f>
        <v>63120502</v>
      </c>
      <c r="D715" s="180">
        <f>SUM(D616:D647)+SUM(D668:D713)</f>
        <v>3172176</v>
      </c>
      <c r="E715" s="180">
        <f>SUM(E624:E647)+SUM(E668:E713)</f>
        <v>3572278.7064050352</v>
      </c>
      <c r="F715" s="180">
        <f>SUM(F625:F648)+SUM(F668:F713)</f>
        <v>782869.76009586407</v>
      </c>
      <c r="G715" s="180">
        <f>SUM(G626:G647)+SUM(G668:G713)</f>
        <v>2079381.5977503273</v>
      </c>
      <c r="H715" s="180">
        <f>SUM(H629:H647)+SUM(H668:H713)</f>
        <v>503201.3237633711</v>
      </c>
      <c r="I715" s="180">
        <f>SUM(I630:I647)+SUM(I668:I713)</f>
        <v>809423.87053873239</v>
      </c>
      <c r="J715" s="180">
        <f>SUM(J631:J647)+SUM(J668:J713)</f>
        <v>335710.71348240401</v>
      </c>
      <c r="K715" s="180">
        <f>SUM(K668:K713)</f>
        <v>9000670.9423297979</v>
      </c>
      <c r="L715" s="180">
        <f>SUM(L668:L713)</f>
        <v>1249859.1147137708</v>
      </c>
      <c r="M715" s="180">
        <f>SUM(M668:M713)</f>
        <v>19205727</v>
      </c>
      <c r="N715" s="198" t="s">
        <v>742</v>
      </c>
    </row>
    <row r="716" spans="1:15" ht="12.6" customHeight="1" x14ac:dyDescent="0.25">
      <c r="C716" s="180">
        <f>CE71</f>
        <v>63120502</v>
      </c>
      <c r="D716" s="180">
        <f>D615</f>
        <v>3172176</v>
      </c>
      <c r="E716" s="180">
        <f>E623</f>
        <v>3572278.7064050352</v>
      </c>
      <c r="F716" s="180">
        <f>F624</f>
        <v>782869.76009586407</v>
      </c>
      <c r="G716" s="180">
        <f>G625</f>
        <v>2079381.5977503271</v>
      </c>
      <c r="H716" s="180">
        <f>H628</f>
        <v>503201.32376337092</v>
      </c>
      <c r="I716" s="180">
        <f>I629</f>
        <v>809423.87053873239</v>
      </c>
      <c r="J716" s="180">
        <f>J630</f>
        <v>335710.71348240401</v>
      </c>
      <c r="K716" s="180">
        <f>K644</f>
        <v>9000670.9423297998</v>
      </c>
      <c r="L716" s="180">
        <f>L647</f>
        <v>1249859.114713771</v>
      </c>
      <c r="M716" s="180">
        <f>C648</f>
        <v>19205728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fitToHeight="2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N36" transitionEvaluation="1" transitionEntry="1" codeName="Sheet10">
    <pageSetUpPr autoPageBreaks="0" fitToPage="1"/>
  </sheetPr>
  <dimension ref="A1:CF817"/>
  <sheetViews>
    <sheetView showGridLines="0" topLeftCell="N36" zoomScale="75" workbookViewId="0">
      <selection activeCell="D68" sqref="D6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6214795</v>
      </c>
      <c r="C48" s="243">
        <f>ROUND(((B48/CE61)*C61),0)</f>
        <v>240282</v>
      </c>
      <c r="D48" s="243">
        <f>ROUND(((B48/CE61)*D61),0)</f>
        <v>0</v>
      </c>
      <c r="E48" s="195">
        <f>ROUND(((B48/CE61)*E61),0)</f>
        <v>548197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393051</v>
      </c>
      <c r="P48" s="195">
        <f>ROUND(((B48/CE61)*P61),0)</f>
        <v>785786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199411</v>
      </c>
      <c r="V48" s="195">
        <f>ROUND(((B48/CE61)*V61),0)</f>
        <v>0</v>
      </c>
      <c r="W48" s="195">
        <f>ROUND(((B48/CE61)*W61),0)</f>
        <v>66757</v>
      </c>
      <c r="X48" s="195">
        <f>ROUND(((B48/CE61)*X61),0)</f>
        <v>14606</v>
      </c>
      <c r="Y48" s="195">
        <f>ROUND(((B48/CE61)*Y61),0)</f>
        <v>317569</v>
      </c>
      <c r="Z48" s="195">
        <f>ROUND(((B48/CE61)*Z61),0)</f>
        <v>0</v>
      </c>
      <c r="AA48" s="195">
        <f>ROUND(((B48/CE61)*AA61),0)</f>
        <v>31636</v>
      </c>
      <c r="AB48" s="195">
        <f>ROUND(((B48/CE61)*AB61),0)</f>
        <v>138486</v>
      </c>
      <c r="AC48" s="195">
        <f>ROUND(((B48/CE61)*AC61),0)</f>
        <v>162060</v>
      </c>
      <c r="AD48" s="195">
        <f>ROUND(((B48/CE61)*AD61),0)</f>
        <v>0</v>
      </c>
      <c r="AE48" s="195">
        <f>ROUND(((B48/CE61)*AE61),0)</f>
        <v>583867</v>
      </c>
      <c r="AF48" s="195">
        <f>ROUND(((B48/CE61)*AF61),0)</f>
        <v>0</v>
      </c>
      <c r="AG48" s="195">
        <f>ROUND(((B48/CE61)*AG61),0)</f>
        <v>939495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10556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33514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167170</v>
      </c>
      <c r="AZ48" s="195">
        <f>ROUND(((B48/CE61)*AZ61),0)</f>
        <v>0</v>
      </c>
      <c r="BA48" s="195">
        <f>ROUND(((B48/CE61)*BA61),0)</f>
        <v>4433</v>
      </c>
      <c r="BB48" s="195">
        <f>ROUND(((B48/CE61)*BB61),0)</f>
        <v>94836</v>
      </c>
      <c r="BC48" s="195">
        <f>ROUND(((B48/CE61)*BC61),0)</f>
        <v>0</v>
      </c>
      <c r="BD48" s="195">
        <f>ROUND(((B48/CE61)*BD61),0)</f>
        <v>89671</v>
      </c>
      <c r="BE48" s="195">
        <f>ROUND(((B48/CE61)*BE61),0)</f>
        <v>115494</v>
      </c>
      <c r="BF48" s="195">
        <f>ROUND(((B48/CE61)*BF61),0)</f>
        <v>96042</v>
      </c>
      <c r="BG48" s="195">
        <f>ROUND(((B48/CE61)*BG61),0)</f>
        <v>0</v>
      </c>
      <c r="BH48" s="195">
        <f>ROUND(((B48/CE61)*BH61),0)</f>
        <v>112949</v>
      </c>
      <c r="BI48" s="195">
        <f>ROUND(((B48/CE61)*BI61),0)</f>
        <v>88250</v>
      </c>
      <c r="BJ48" s="195">
        <f>ROUND(((B48/CE61)*BJ61),0)</f>
        <v>0</v>
      </c>
      <c r="BK48" s="195">
        <f>ROUND(((B48/CE61)*BK61),0)</f>
        <v>114612</v>
      </c>
      <c r="BL48" s="195">
        <f>ROUND(((B48/CE61)*BL61),0)</f>
        <v>110830</v>
      </c>
      <c r="BM48" s="195">
        <f>ROUND(((B48/CE61)*BM61),0)</f>
        <v>44968</v>
      </c>
      <c r="BN48" s="195">
        <f>ROUND(((B48/CE61)*BN61),0)</f>
        <v>118300</v>
      </c>
      <c r="BO48" s="195">
        <f>ROUND(((B48/CE61)*BO61),0)</f>
        <v>22827</v>
      </c>
      <c r="BP48" s="195">
        <f>ROUND(((B48/CE61)*BP61),0)</f>
        <v>63192</v>
      </c>
      <c r="BQ48" s="195">
        <f>ROUND(((B48/CE61)*BQ61),0)</f>
        <v>0</v>
      </c>
      <c r="BR48" s="195">
        <f>ROUND(((B48/CE61)*BR61),0)</f>
        <v>95953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60810</v>
      </c>
      <c r="BW48" s="195">
        <f>ROUND(((B48/CE61)*BW61),0)</f>
        <v>86940</v>
      </c>
      <c r="BX48" s="195">
        <f>ROUND(((B48/CE61)*BX61),0)</f>
        <v>86911</v>
      </c>
      <c r="BY48" s="195">
        <f>ROUND(((B48/CE61)*BY61),0)</f>
        <v>175333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6214794</v>
      </c>
    </row>
    <row r="49" spans="1:84" ht="12.6" customHeight="1" x14ac:dyDescent="0.25">
      <c r="A49" s="175" t="s">
        <v>206</v>
      </c>
      <c r="B49" s="195">
        <f>B47+B48</f>
        <v>6214795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0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2766277</v>
      </c>
      <c r="C52" s="195">
        <f>ROUND((B52/(CE76+CF76)*C76),0)</f>
        <v>45208</v>
      </c>
      <c r="D52" s="195">
        <f>ROUND((B52/(CE76+CF76)*D76),0)</f>
        <v>0</v>
      </c>
      <c r="E52" s="195">
        <f>ROUND((B52/(CE76+CF76)*E76),0)</f>
        <v>243406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207520</v>
      </c>
      <c r="P52" s="195">
        <f>ROUND((B52/(CE76+CF76)*P76),0)</f>
        <v>278490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36061</v>
      </c>
      <c r="T52" s="195">
        <f>ROUND((B52/(CE76+CF76)*T76),0)</f>
        <v>0</v>
      </c>
      <c r="U52" s="195">
        <f>ROUND((B52/(CE76+CF76)*U76),0)</f>
        <v>49117</v>
      </c>
      <c r="V52" s="195">
        <f>ROUND((B52/(CE76+CF76)*V76),0)</f>
        <v>7743</v>
      </c>
      <c r="W52" s="195">
        <f>ROUND((B52/(CE76+CF76)*W76),0)</f>
        <v>12630</v>
      </c>
      <c r="X52" s="195">
        <f>ROUND((B52/(CE76+CF76)*X76),0)</f>
        <v>13081</v>
      </c>
      <c r="Y52" s="195">
        <f>ROUND((B52/(CE76+CF76)*Y76),0)</f>
        <v>113621</v>
      </c>
      <c r="Z52" s="195">
        <f>ROUND((B52/(CE76+CF76)*Z76),0)</f>
        <v>0</v>
      </c>
      <c r="AA52" s="195">
        <f>ROUND((B52/(CE76+CF76)*AA76),0)</f>
        <v>7643</v>
      </c>
      <c r="AB52" s="195">
        <f>ROUND((B52/(CE76+CF76)*AB76),0)</f>
        <v>19647</v>
      </c>
      <c r="AC52" s="195">
        <f>ROUND((B52/(CE76+CF76)*AC76),0)</f>
        <v>30999</v>
      </c>
      <c r="AD52" s="195">
        <f>ROUND((B52/(CE76+CF76)*AD76),0)</f>
        <v>0</v>
      </c>
      <c r="AE52" s="195">
        <f>ROUND((B52/(CE76+CF76)*AE76),0)</f>
        <v>218922</v>
      </c>
      <c r="AF52" s="195">
        <f>ROUND((B52/(CE76+CF76)*AF76),0)</f>
        <v>0</v>
      </c>
      <c r="AG52" s="195">
        <f>ROUND((B52/(CE76+CF76)*AG76),0)</f>
        <v>160709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25060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119435</v>
      </c>
      <c r="AZ52" s="195">
        <f>ROUND((B52/(CE76+CF76)*AZ76),0)</f>
        <v>0</v>
      </c>
      <c r="BA52" s="195">
        <f>ROUND((B52/(CE76+CF76)*BA76),0)</f>
        <v>32427</v>
      </c>
      <c r="BB52" s="195">
        <f>ROUND((B52/(CE76+CF76)*BB76),0)</f>
        <v>3759</v>
      </c>
      <c r="BC52" s="195">
        <f>ROUND((B52/(CE76+CF76)*BC76),0)</f>
        <v>0</v>
      </c>
      <c r="BD52" s="195">
        <f>ROUND((B52/(CE76+CF76)*BD76),0)</f>
        <v>70644</v>
      </c>
      <c r="BE52" s="195">
        <f>ROUND((B52/(CE76+CF76)*BE76),0)</f>
        <v>329562</v>
      </c>
      <c r="BF52" s="195">
        <f>ROUND((B52/(CE76+CF76)*BF76),0)</f>
        <v>9397</v>
      </c>
      <c r="BG52" s="195">
        <f>ROUND((B52/(CE76+CF76)*BG76),0)</f>
        <v>0</v>
      </c>
      <c r="BH52" s="195">
        <f>ROUND((B52/(CE76+CF76)*BH76),0)</f>
        <v>46787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21702</v>
      </c>
      <c r="BM52" s="195">
        <f>ROUND((B52/(CE76+CF76)*BM76),0)</f>
        <v>6891</v>
      </c>
      <c r="BN52" s="195">
        <f>ROUND((B52/(CE76+CF76)*BN76),0)</f>
        <v>89338</v>
      </c>
      <c r="BO52" s="195">
        <f>ROUND((B52/(CE76+CF76)*BO76),0)</f>
        <v>0</v>
      </c>
      <c r="BP52" s="195">
        <f>ROUND((B52/(CE76+CF76)*BP76),0)</f>
        <v>6891</v>
      </c>
      <c r="BQ52" s="195">
        <f>ROUND((B52/(CE76+CF76)*BQ76),0)</f>
        <v>0</v>
      </c>
      <c r="BR52" s="195">
        <f>ROUND((B52/(CE76+CF76)*BR76),0)</f>
        <v>6891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33906</v>
      </c>
      <c r="BW52" s="195">
        <f>ROUND((B52/(CE76+CF76)*BW76),0)</f>
        <v>3759</v>
      </c>
      <c r="BX52" s="195">
        <f>ROUND((B52/(CE76+CF76)*BX76),0)</f>
        <v>3759</v>
      </c>
      <c r="BY52" s="195">
        <f>ROUND((B52/(CE76+CF76)*BY76),0)</f>
        <v>3759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507511</v>
      </c>
      <c r="CD52" s="195"/>
      <c r="CE52" s="195">
        <f>SUM(C52:CD52)</f>
        <v>2766275</v>
      </c>
    </row>
    <row r="53" spans="1:84" ht="12.6" customHeight="1" x14ac:dyDescent="0.25">
      <c r="A53" s="175" t="s">
        <v>206</v>
      </c>
      <c r="B53" s="195">
        <f>B51+B52</f>
        <v>2766277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419</v>
      </c>
      <c r="D59" s="184"/>
      <c r="E59" s="184">
        <f>1000+38+2191</f>
        <v>3229</v>
      </c>
      <c r="F59" s="184"/>
      <c r="G59" s="184"/>
      <c r="H59" s="184"/>
      <c r="I59" s="184"/>
      <c r="J59" s="184">
        <v>833</v>
      </c>
      <c r="K59" s="184"/>
      <c r="L59" s="184">
        <v>119</v>
      </c>
      <c r="M59" s="184"/>
      <c r="N59" s="184"/>
      <c r="O59" s="184">
        <v>429</v>
      </c>
      <c r="P59" s="185">
        <v>213657</v>
      </c>
      <c r="Q59" s="185">
        <v>110824</v>
      </c>
      <c r="R59" s="185">
        <v>157140</v>
      </c>
      <c r="S59" s="246"/>
      <c r="T59" s="246"/>
      <c r="U59" s="224">
        <v>99570</v>
      </c>
      <c r="V59" s="185">
        <v>3772</v>
      </c>
      <c r="W59" s="185">
        <v>2677</v>
      </c>
      <c r="X59" s="185">
        <v>4574</v>
      </c>
      <c r="Y59" s="185">
        <f>18926+5685</f>
        <v>24611</v>
      </c>
      <c r="Z59" s="185"/>
      <c r="AA59" s="185">
        <v>790</v>
      </c>
      <c r="AB59" s="246"/>
      <c r="AC59" s="185">
        <v>21269</v>
      </c>
      <c r="AD59" s="185"/>
      <c r="AE59" s="185">
        <f>15867+16516+4976</f>
        <v>37359</v>
      </c>
      <c r="AF59" s="185"/>
      <c r="AG59" s="185">
        <v>12188</v>
      </c>
      <c r="AH59" s="185"/>
      <c r="AI59" s="185"/>
      <c r="AJ59" s="185">
        <v>231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v>19786</v>
      </c>
      <c r="AZ59" s="185">
        <f>131618-19786</f>
        <v>111832</v>
      </c>
      <c r="BA59" s="246"/>
      <c r="BB59" s="246"/>
      <c r="BC59" s="246"/>
      <c r="BD59" s="246"/>
      <c r="BE59" s="185">
        <v>110387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13.74</v>
      </c>
      <c r="D60" s="187"/>
      <c r="E60" s="187">
        <f>3.89+24.82</f>
        <v>28.71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22.99</v>
      </c>
      <c r="P60" s="221">
        <f>22.23+24.4</f>
        <v>46.629999999999995</v>
      </c>
      <c r="Q60" s="221"/>
      <c r="R60" s="221"/>
      <c r="S60" s="221"/>
      <c r="T60" s="221"/>
      <c r="U60" s="221">
        <v>14.81</v>
      </c>
      <c r="V60" s="221"/>
      <c r="W60" s="221">
        <v>3.28</v>
      </c>
      <c r="X60" s="221">
        <v>0.96</v>
      </c>
      <c r="Y60" s="221">
        <f>13.97+5.46</f>
        <v>19.43</v>
      </c>
      <c r="Z60" s="221"/>
      <c r="AA60" s="221">
        <v>1.41</v>
      </c>
      <c r="AB60" s="221">
        <v>5.76</v>
      </c>
      <c r="AC60" s="221">
        <f>7.22+0.99+1.41</f>
        <v>9.6199999999999992</v>
      </c>
      <c r="AD60" s="221"/>
      <c r="AE60" s="221">
        <f>33.1+5.06+1.06</f>
        <v>39.220000000000006</v>
      </c>
      <c r="AF60" s="221"/>
      <c r="AG60" s="221">
        <f>22.05+0.51+0.03+7.57</f>
        <v>30.160000000000004</v>
      </c>
      <c r="AH60" s="221"/>
      <c r="AI60" s="221"/>
      <c r="AJ60" s="221">
        <v>0.62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1.02+1</f>
        <v>2.02</v>
      </c>
      <c r="AW60" s="221"/>
      <c r="AX60" s="221"/>
      <c r="AY60" s="221">
        <f>16.27+2.51</f>
        <v>18.78</v>
      </c>
      <c r="AZ60" s="221"/>
      <c r="BA60" s="221">
        <v>0.52</v>
      </c>
      <c r="BB60" s="221">
        <v>6.29</v>
      </c>
      <c r="BC60" s="221"/>
      <c r="BD60" s="221">
        <v>6.97</v>
      </c>
      <c r="BE60" s="221">
        <v>8.1199999999999992</v>
      </c>
      <c r="BF60" s="221">
        <v>12.79</v>
      </c>
      <c r="BG60" s="221"/>
      <c r="BH60" s="221">
        <f>4.06+1.76</f>
        <v>5.8199999999999994</v>
      </c>
      <c r="BI60" s="221">
        <v>4.01</v>
      </c>
      <c r="BJ60" s="221"/>
      <c r="BK60" s="221">
        <f>9.38+2.01</f>
        <v>11.39</v>
      </c>
      <c r="BL60" s="221">
        <v>12.57</v>
      </c>
      <c r="BM60" s="221">
        <v>3.15</v>
      </c>
      <c r="BN60" s="221">
        <v>3.1</v>
      </c>
      <c r="BO60" s="221">
        <v>1.04</v>
      </c>
      <c r="BP60" s="221">
        <v>4.5</v>
      </c>
      <c r="BQ60" s="221"/>
      <c r="BR60" s="221">
        <f>4.34+0.42</f>
        <v>4.76</v>
      </c>
      <c r="BS60" s="221"/>
      <c r="BT60" s="221"/>
      <c r="BU60" s="221"/>
      <c r="BV60" s="221">
        <v>4.99</v>
      </c>
      <c r="BW60" s="221">
        <f>1.74+1</f>
        <v>2.74</v>
      </c>
      <c r="BX60" s="221">
        <f>3.81+0.97</f>
        <v>4.78</v>
      </c>
      <c r="BY60" s="221">
        <v>6.65</v>
      </c>
      <c r="BZ60" s="221"/>
      <c r="CA60" s="221"/>
      <c r="CB60" s="221"/>
      <c r="CC60" s="221"/>
      <c r="CD60" s="247" t="s">
        <v>221</v>
      </c>
      <c r="CE60" s="249">
        <f t="shared" ref="CE60:CE70" si="0">SUM(C60:CD60)</f>
        <v>362.33</v>
      </c>
    </row>
    <row r="61" spans="1:84" ht="12.6" customHeight="1" x14ac:dyDescent="0.25">
      <c r="A61" s="171" t="s">
        <v>235</v>
      </c>
      <c r="B61" s="175"/>
      <c r="C61" s="184">
        <v>1128237</v>
      </c>
      <c r="D61" s="184"/>
      <c r="E61" s="184">
        <f>830363+1743680</f>
        <v>2574043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1845557</v>
      </c>
      <c r="P61" s="185">
        <f>1611406+2078227</f>
        <v>3689633</v>
      </c>
      <c r="Q61" s="185"/>
      <c r="R61" s="185"/>
      <c r="S61" s="185"/>
      <c r="T61" s="185"/>
      <c r="U61" s="185">
        <v>936329</v>
      </c>
      <c r="V61" s="185"/>
      <c r="W61" s="185">
        <v>313454</v>
      </c>
      <c r="X61" s="185">
        <v>68583</v>
      </c>
      <c r="Y61" s="185">
        <f>997085+494049</f>
        <v>1491134</v>
      </c>
      <c r="Z61" s="185"/>
      <c r="AA61" s="185">
        <v>148544</v>
      </c>
      <c r="AB61" s="185">
        <v>650255</v>
      </c>
      <c r="AC61" s="185">
        <f>567098+91668+102180</f>
        <v>760946</v>
      </c>
      <c r="AD61" s="185"/>
      <c r="AE61" s="185">
        <f>2328725+310000+102803</f>
        <v>2741528</v>
      </c>
      <c r="AF61" s="185"/>
      <c r="AG61" s="185">
        <f>2024206+49591+2337571</f>
        <v>4411368</v>
      </c>
      <c r="AH61" s="185"/>
      <c r="AI61" s="185"/>
      <c r="AJ61" s="185">
        <v>49567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62766+94598</f>
        <v>157364</v>
      </c>
      <c r="AW61" s="185"/>
      <c r="AX61" s="185"/>
      <c r="AY61" s="185">
        <f>600735+184208</f>
        <v>784943</v>
      </c>
      <c r="AZ61" s="185"/>
      <c r="BA61" s="185">
        <v>20817</v>
      </c>
      <c r="BB61" s="185">
        <v>445301</v>
      </c>
      <c r="BC61" s="185"/>
      <c r="BD61" s="185">
        <v>421046</v>
      </c>
      <c r="BE61" s="185">
        <v>542298</v>
      </c>
      <c r="BF61" s="185">
        <v>450960</v>
      </c>
      <c r="BG61" s="185"/>
      <c r="BH61" s="185">
        <f>328466+201880</f>
        <v>530346</v>
      </c>
      <c r="BI61" s="185">
        <v>414373</v>
      </c>
      <c r="BJ61" s="185"/>
      <c r="BK61" s="185">
        <f>400965+137192</f>
        <v>538157</v>
      </c>
      <c r="BL61" s="185">
        <v>520399</v>
      </c>
      <c r="BM61" s="185">
        <v>211147</v>
      </c>
      <c r="BN61" s="185">
        <v>555473</v>
      </c>
      <c r="BO61" s="185">
        <v>107184</v>
      </c>
      <c r="BP61" s="185">
        <v>296718</v>
      </c>
      <c r="BQ61" s="185"/>
      <c r="BR61" s="185">
        <f>431499+19047</f>
        <v>450546</v>
      </c>
      <c r="BS61" s="185"/>
      <c r="BT61" s="185"/>
      <c r="BU61" s="185"/>
      <c r="BV61" s="185">
        <v>285530</v>
      </c>
      <c r="BW61" s="185">
        <f>90882+317340</f>
        <v>408222</v>
      </c>
      <c r="BX61" s="185">
        <f>335035+73054</f>
        <v>408089</v>
      </c>
      <c r="BY61" s="185">
        <v>823271</v>
      </c>
      <c r="BZ61" s="185"/>
      <c r="CA61" s="185"/>
      <c r="CB61" s="185"/>
      <c r="CC61" s="185"/>
      <c r="CD61" s="247" t="s">
        <v>221</v>
      </c>
      <c r="CE61" s="195">
        <f t="shared" si="0"/>
        <v>29181362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240282</v>
      </c>
      <c r="D62" s="195">
        <f t="shared" si="1"/>
        <v>0</v>
      </c>
      <c r="E62" s="195">
        <f t="shared" si="1"/>
        <v>548197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393051</v>
      </c>
      <c r="P62" s="195">
        <f t="shared" si="1"/>
        <v>785786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199411</v>
      </c>
      <c r="V62" s="195">
        <f t="shared" si="1"/>
        <v>0</v>
      </c>
      <c r="W62" s="195">
        <f t="shared" si="1"/>
        <v>66757</v>
      </c>
      <c r="X62" s="195">
        <f t="shared" si="1"/>
        <v>14606</v>
      </c>
      <c r="Y62" s="195">
        <f t="shared" si="1"/>
        <v>317569</v>
      </c>
      <c r="Z62" s="195">
        <f t="shared" si="1"/>
        <v>0</v>
      </c>
      <c r="AA62" s="195">
        <f t="shared" si="1"/>
        <v>31636</v>
      </c>
      <c r="AB62" s="195">
        <f t="shared" si="1"/>
        <v>138486</v>
      </c>
      <c r="AC62" s="195">
        <f t="shared" si="1"/>
        <v>162060</v>
      </c>
      <c r="AD62" s="195">
        <f t="shared" si="1"/>
        <v>0</v>
      </c>
      <c r="AE62" s="195">
        <f t="shared" si="1"/>
        <v>583867</v>
      </c>
      <c r="AF62" s="195">
        <f t="shared" si="1"/>
        <v>0</v>
      </c>
      <c r="AG62" s="195">
        <f t="shared" si="1"/>
        <v>939495</v>
      </c>
      <c r="AH62" s="195">
        <f t="shared" si="1"/>
        <v>0</v>
      </c>
      <c r="AI62" s="195">
        <f t="shared" si="1"/>
        <v>0</v>
      </c>
      <c r="AJ62" s="195">
        <f t="shared" si="1"/>
        <v>10556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33514</v>
      </c>
      <c r="AW62" s="195">
        <f t="shared" si="1"/>
        <v>0</v>
      </c>
      <c r="AX62" s="195">
        <f t="shared" si="1"/>
        <v>0</v>
      </c>
      <c r="AY62" s="195">
        <f>ROUND(AY47+AY48,0)</f>
        <v>167170</v>
      </c>
      <c r="AZ62" s="195">
        <f>ROUND(AZ47+AZ48,0)</f>
        <v>0</v>
      </c>
      <c r="BA62" s="195">
        <f>ROUND(BA47+BA48,0)</f>
        <v>4433</v>
      </c>
      <c r="BB62" s="195">
        <f t="shared" si="1"/>
        <v>94836</v>
      </c>
      <c r="BC62" s="195">
        <f t="shared" si="1"/>
        <v>0</v>
      </c>
      <c r="BD62" s="195">
        <f t="shared" si="1"/>
        <v>89671</v>
      </c>
      <c r="BE62" s="195">
        <f t="shared" si="1"/>
        <v>115494</v>
      </c>
      <c r="BF62" s="195">
        <f t="shared" si="1"/>
        <v>96042</v>
      </c>
      <c r="BG62" s="195">
        <f t="shared" si="1"/>
        <v>0</v>
      </c>
      <c r="BH62" s="195">
        <f t="shared" si="1"/>
        <v>112949</v>
      </c>
      <c r="BI62" s="195">
        <f t="shared" si="1"/>
        <v>88250</v>
      </c>
      <c r="BJ62" s="195">
        <f t="shared" si="1"/>
        <v>0</v>
      </c>
      <c r="BK62" s="195">
        <f t="shared" si="1"/>
        <v>114612</v>
      </c>
      <c r="BL62" s="195">
        <f t="shared" si="1"/>
        <v>110830</v>
      </c>
      <c r="BM62" s="195">
        <f t="shared" si="1"/>
        <v>44968</v>
      </c>
      <c r="BN62" s="195">
        <f t="shared" si="1"/>
        <v>118300</v>
      </c>
      <c r="BO62" s="195">
        <f t="shared" ref="BO62:CC62" si="2">ROUND(BO47+BO48,0)</f>
        <v>22827</v>
      </c>
      <c r="BP62" s="195">
        <f t="shared" si="2"/>
        <v>63192</v>
      </c>
      <c r="BQ62" s="195">
        <f t="shared" si="2"/>
        <v>0</v>
      </c>
      <c r="BR62" s="195">
        <f t="shared" si="2"/>
        <v>95953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60810</v>
      </c>
      <c r="BW62" s="195">
        <f t="shared" si="2"/>
        <v>86940</v>
      </c>
      <c r="BX62" s="195">
        <f t="shared" si="2"/>
        <v>86911</v>
      </c>
      <c r="BY62" s="195">
        <f t="shared" si="2"/>
        <v>175333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7" t="s">
        <v>221</v>
      </c>
      <c r="CE62" s="195">
        <f t="shared" si="0"/>
        <v>6214794</v>
      </c>
      <c r="CF62" s="250"/>
    </row>
    <row r="63" spans="1:84" ht="12.6" customHeight="1" x14ac:dyDescent="0.25">
      <c r="A63" s="171" t="s">
        <v>236</v>
      </c>
      <c r="B63" s="175"/>
      <c r="C63" s="184">
        <v>37625</v>
      </c>
      <c r="D63" s="184"/>
      <c r="E63" s="184">
        <f>386598+146</f>
        <v>386744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25521</v>
      </c>
      <c r="P63" s="185">
        <f>48607+862</f>
        <v>49469</v>
      </c>
      <c r="Q63" s="185"/>
      <c r="R63" s="185">
        <v>345445</v>
      </c>
      <c r="S63" s="185">
        <v>4602</v>
      </c>
      <c r="T63" s="185"/>
      <c r="U63" s="185">
        <v>584740</v>
      </c>
      <c r="V63" s="185"/>
      <c r="W63" s="185">
        <v>17590</v>
      </c>
      <c r="X63" s="185"/>
      <c r="Y63" s="185">
        <v>255203</v>
      </c>
      <c r="Z63" s="185"/>
      <c r="AA63" s="185">
        <v>108293</v>
      </c>
      <c r="AB63" s="185">
        <f>85828+403506</f>
        <v>489334</v>
      </c>
      <c r="AC63" s="185">
        <f>747+113770</f>
        <v>114517</v>
      </c>
      <c r="AD63" s="185"/>
      <c r="AE63" s="185">
        <v>16561</v>
      </c>
      <c r="AF63" s="185"/>
      <c r="AG63" s="185">
        <f>13099+38216</f>
        <v>51315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22277</v>
      </c>
      <c r="AW63" s="185"/>
      <c r="AX63" s="185"/>
      <c r="AY63" s="185">
        <f>1321+380</f>
        <v>1701</v>
      </c>
      <c r="AZ63" s="185"/>
      <c r="BA63" s="185"/>
      <c r="BB63" s="185">
        <v>2000</v>
      </c>
      <c r="BC63" s="185"/>
      <c r="BD63" s="185">
        <v>966</v>
      </c>
      <c r="BE63" s="185">
        <v>42919</v>
      </c>
      <c r="BF63" s="185">
        <v>3661</v>
      </c>
      <c r="BG63" s="185"/>
      <c r="BH63" s="185">
        <v>740</v>
      </c>
      <c r="BI63" s="185">
        <v>52034</v>
      </c>
      <c r="BJ63" s="185"/>
      <c r="BK63" s="185">
        <f>307820+148791</f>
        <v>456611</v>
      </c>
      <c r="BL63" s="185"/>
      <c r="BM63" s="185">
        <v>83516</v>
      </c>
      <c r="BN63" s="185">
        <f>158343+373359+37597</f>
        <v>569299</v>
      </c>
      <c r="BO63" s="185">
        <v>141</v>
      </c>
      <c r="BP63" s="185">
        <v>305296</v>
      </c>
      <c r="BQ63" s="185"/>
      <c r="BR63" s="185">
        <v>95752</v>
      </c>
      <c r="BS63" s="185"/>
      <c r="BT63" s="185"/>
      <c r="BU63" s="185"/>
      <c r="BV63" s="185">
        <v>219464</v>
      </c>
      <c r="BW63" s="185">
        <f>2725+1010387</f>
        <v>1013112</v>
      </c>
      <c r="BX63" s="185">
        <f>90783+2580</f>
        <v>93363</v>
      </c>
      <c r="BY63" s="185">
        <v>81</v>
      </c>
      <c r="BZ63" s="185"/>
      <c r="CA63" s="185"/>
      <c r="CB63" s="185"/>
      <c r="CC63" s="185"/>
      <c r="CD63" s="247" t="s">
        <v>221</v>
      </c>
      <c r="CE63" s="195">
        <f t="shared" si="0"/>
        <v>5449892</v>
      </c>
      <c r="CF63" s="250"/>
    </row>
    <row r="64" spans="1:84" ht="12.6" customHeight="1" x14ac:dyDescent="0.25">
      <c r="A64" s="171" t="s">
        <v>237</v>
      </c>
      <c r="B64" s="175"/>
      <c r="C64" s="184">
        <v>47761</v>
      </c>
      <c r="D64" s="184"/>
      <c r="E64" s="185">
        <f>6354+91254</f>
        <v>97608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110269</v>
      </c>
      <c r="P64" s="185">
        <f>956811+190532</f>
        <v>1147343</v>
      </c>
      <c r="Q64" s="185">
        <v>18399</v>
      </c>
      <c r="R64" s="185">
        <v>115726</v>
      </c>
      <c r="S64" s="185">
        <f>4507161+9621</f>
        <v>4516782</v>
      </c>
      <c r="T64" s="185"/>
      <c r="U64" s="185">
        <f>531886+86084</f>
        <v>617970</v>
      </c>
      <c r="V64" s="185">
        <v>221</v>
      </c>
      <c r="W64" s="185">
        <v>2059</v>
      </c>
      <c r="X64" s="185">
        <v>20991</v>
      </c>
      <c r="Y64" s="185">
        <f>144830+3051</f>
        <v>147881</v>
      </c>
      <c r="Z64" s="185"/>
      <c r="AA64" s="185">
        <v>122755</v>
      </c>
      <c r="AB64" s="185">
        <f>3327242+243207</f>
        <v>3570449</v>
      </c>
      <c r="AC64" s="185">
        <f>37881+2457+135</f>
        <v>40473</v>
      </c>
      <c r="AD64" s="185"/>
      <c r="AE64" s="185">
        <f>72193+312+2593</f>
        <v>75098</v>
      </c>
      <c r="AF64" s="185"/>
      <c r="AG64" s="185">
        <f>152106+33+676</f>
        <v>152815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447+13561</f>
        <v>14008</v>
      </c>
      <c r="AW64" s="185"/>
      <c r="AX64" s="185"/>
      <c r="AY64" s="185">
        <f>474490+4562</f>
        <v>479052</v>
      </c>
      <c r="AZ64" s="185"/>
      <c r="BA64" s="185">
        <v>8</v>
      </c>
      <c r="BB64" s="185">
        <v>2109</v>
      </c>
      <c r="BC64" s="185"/>
      <c r="BD64" s="185">
        <v>6998</v>
      </c>
      <c r="BE64" s="185">
        <v>9664</v>
      </c>
      <c r="BF64" s="185">
        <v>52284</v>
      </c>
      <c r="BG64" s="185"/>
      <c r="BH64" s="185">
        <f>8401+357</f>
        <v>8758</v>
      </c>
      <c r="BI64" s="185">
        <v>5734</v>
      </c>
      <c r="BJ64" s="185"/>
      <c r="BK64" s="185">
        <f>23734+1802</f>
        <v>25536</v>
      </c>
      <c r="BL64" s="185">
        <v>10465</v>
      </c>
      <c r="BM64" s="185">
        <v>6759</v>
      </c>
      <c r="BN64" s="185">
        <f>21873+99+269</f>
        <v>22241</v>
      </c>
      <c r="BO64" s="185">
        <f>1198+3278</f>
        <v>4476</v>
      </c>
      <c r="BP64" s="185">
        <v>16530</v>
      </c>
      <c r="BQ64" s="185"/>
      <c r="BR64" s="185">
        <v>14877</v>
      </c>
      <c r="BS64" s="185"/>
      <c r="BT64" s="185"/>
      <c r="BU64" s="185"/>
      <c r="BV64" s="185">
        <v>4216</v>
      </c>
      <c r="BW64" s="185">
        <f>18209+425</f>
        <v>18634</v>
      </c>
      <c r="BX64" s="185">
        <v>4163</v>
      </c>
      <c r="BY64" s="185">
        <v>2536</v>
      </c>
      <c r="BZ64" s="185"/>
      <c r="CA64" s="185"/>
      <c r="CB64" s="185"/>
      <c r="CC64" s="185"/>
      <c r="CD64" s="247" t="s">
        <v>221</v>
      </c>
      <c r="CE64" s="195">
        <f t="shared" si="0"/>
        <v>11513648</v>
      </c>
      <c r="CF64" s="250"/>
    </row>
    <row r="65" spans="1:84" ht="12.6" customHeight="1" x14ac:dyDescent="0.25">
      <c r="A65" s="171" t="s">
        <v>238</v>
      </c>
      <c r="B65" s="175"/>
      <c r="C65" s="184">
        <v>468</v>
      </c>
      <c r="D65" s="184"/>
      <c r="E65" s="184">
        <v>468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78</v>
      </c>
      <c r="P65" s="185">
        <f>936+468</f>
        <v>1404</v>
      </c>
      <c r="Q65" s="185"/>
      <c r="R65" s="185"/>
      <c r="S65" s="185"/>
      <c r="T65" s="185"/>
      <c r="U65" s="185">
        <v>468</v>
      </c>
      <c r="V65" s="185"/>
      <c r="W65" s="185"/>
      <c r="X65" s="185"/>
      <c r="Y65" s="185">
        <v>1240</v>
      </c>
      <c r="Z65" s="185"/>
      <c r="AA65" s="185"/>
      <c r="AB65" s="185">
        <v>4709</v>
      </c>
      <c r="AC65" s="185">
        <v>468</v>
      </c>
      <c r="AD65" s="185"/>
      <c r="AE65" s="185">
        <v>31784</v>
      </c>
      <c r="AF65" s="185"/>
      <c r="AG65" s="185">
        <f>468+385+468</f>
        <v>1321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468</v>
      </c>
      <c r="AW65" s="185"/>
      <c r="AX65" s="185"/>
      <c r="AY65" s="185"/>
      <c r="AZ65" s="185"/>
      <c r="BA65" s="185"/>
      <c r="BB65" s="185">
        <v>2457</v>
      </c>
      <c r="BC65" s="185"/>
      <c r="BD65" s="185">
        <v>853</v>
      </c>
      <c r="BE65" s="185">
        <v>496005</v>
      </c>
      <c r="BF65" s="185">
        <v>46846</v>
      </c>
      <c r="BG65" s="185"/>
      <c r="BH65" s="185">
        <f>136120+468</f>
        <v>136588</v>
      </c>
      <c r="BI65" s="185">
        <v>4556</v>
      </c>
      <c r="BJ65" s="185"/>
      <c r="BK65" s="185">
        <v>2999</v>
      </c>
      <c r="BL65" s="185"/>
      <c r="BM65" s="185">
        <v>51</v>
      </c>
      <c r="BN65" s="185">
        <v>936</v>
      </c>
      <c r="BO65" s="185">
        <v>468</v>
      </c>
      <c r="BP65" s="185">
        <v>468</v>
      </c>
      <c r="BQ65" s="185"/>
      <c r="BR65" s="185"/>
      <c r="BS65" s="185"/>
      <c r="BT65" s="185"/>
      <c r="BU65" s="185"/>
      <c r="BV65" s="185"/>
      <c r="BW65" s="185">
        <f>468+468</f>
        <v>936</v>
      </c>
      <c r="BX65" s="185">
        <v>156</v>
      </c>
      <c r="BY65" s="185">
        <v>468</v>
      </c>
      <c r="BZ65" s="185"/>
      <c r="CA65" s="185"/>
      <c r="CB65" s="185"/>
      <c r="CC65" s="185"/>
      <c r="CD65" s="247" t="s">
        <v>221</v>
      </c>
      <c r="CE65" s="195">
        <f t="shared" si="0"/>
        <v>736663</v>
      </c>
      <c r="CF65" s="250"/>
    </row>
    <row r="66" spans="1:84" ht="12.6" customHeight="1" x14ac:dyDescent="0.25">
      <c r="A66" s="171" t="s">
        <v>239</v>
      </c>
      <c r="B66" s="175"/>
      <c r="C66" s="184">
        <v>6270</v>
      </c>
      <c r="D66" s="184"/>
      <c r="E66" s="184">
        <v>7020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56542</v>
      </c>
      <c r="P66" s="185">
        <f>391358+33354</f>
        <v>424712</v>
      </c>
      <c r="Q66" s="185">
        <v>1831</v>
      </c>
      <c r="R66" s="185">
        <v>3908</v>
      </c>
      <c r="S66" s="184"/>
      <c r="T66" s="184"/>
      <c r="U66" s="185">
        <v>106682</v>
      </c>
      <c r="V66" s="185"/>
      <c r="W66" s="185">
        <v>141806</v>
      </c>
      <c r="X66" s="185">
        <v>149941</v>
      </c>
      <c r="Y66" s="185">
        <f>210349+41171</f>
        <v>251520</v>
      </c>
      <c r="Z66" s="185"/>
      <c r="AA66" s="185">
        <v>125650</v>
      </c>
      <c r="AB66" s="185">
        <v>4504</v>
      </c>
      <c r="AC66" s="185">
        <v>13670</v>
      </c>
      <c r="AD66" s="185"/>
      <c r="AE66" s="185">
        <v>39436</v>
      </c>
      <c r="AF66" s="185"/>
      <c r="AG66" s="185">
        <f>25466+1461</f>
        <v>26927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12727</v>
      </c>
      <c r="AZ66" s="185"/>
      <c r="BA66" s="185">
        <v>213910</v>
      </c>
      <c r="BB66" s="185"/>
      <c r="BC66" s="185"/>
      <c r="BD66" s="185">
        <v>1233</v>
      </c>
      <c r="BE66" s="185">
        <v>187450</v>
      </c>
      <c r="BF66" s="185">
        <v>4469</v>
      </c>
      <c r="BG66" s="185"/>
      <c r="BH66" s="185">
        <f>181900+770855</f>
        <v>952755</v>
      </c>
      <c r="BI66" s="185">
        <v>43807</v>
      </c>
      <c r="BJ66" s="185"/>
      <c r="BK66" s="185">
        <v>91987</v>
      </c>
      <c r="BL66" s="185">
        <v>2472</v>
      </c>
      <c r="BM66" s="185">
        <v>91892</v>
      </c>
      <c r="BN66" s="185">
        <v>11516</v>
      </c>
      <c r="BO66" s="185"/>
      <c r="BP66" s="185">
        <v>32450</v>
      </c>
      <c r="BQ66" s="185"/>
      <c r="BR66" s="185">
        <v>45060</v>
      </c>
      <c r="BS66" s="185"/>
      <c r="BT66" s="185"/>
      <c r="BU66" s="185"/>
      <c r="BV66" s="185">
        <v>32176</v>
      </c>
      <c r="BW66" s="185">
        <v>7092</v>
      </c>
      <c r="BX66" s="185">
        <v>13475</v>
      </c>
      <c r="BY66" s="185">
        <v>276</v>
      </c>
      <c r="BZ66" s="185"/>
      <c r="CA66" s="185"/>
      <c r="CB66" s="185"/>
      <c r="CC66" s="185"/>
      <c r="CD66" s="247" t="s">
        <v>221</v>
      </c>
      <c r="CE66" s="195">
        <f t="shared" si="0"/>
        <v>3105166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45208</v>
      </c>
      <c r="D67" s="195">
        <f>ROUND(D51+D52,0)</f>
        <v>0</v>
      </c>
      <c r="E67" s="195">
        <f t="shared" ref="E67:BP67" si="3">ROUND(E51+E52,0)</f>
        <v>243406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207520</v>
      </c>
      <c r="P67" s="195">
        <f t="shared" si="3"/>
        <v>278490</v>
      </c>
      <c r="Q67" s="195">
        <f t="shared" si="3"/>
        <v>0</v>
      </c>
      <c r="R67" s="195">
        <f t="shared" si="3"/>
        <v>0</v>
      </c>
      <c r="S67" s="195">
        <f t="shared" si="3"/>
        <v>36061</v>
      </c>
      <c r="T67" s="195">
        <f t="shared" si="3"/>
        <v>0</v>
      </c>
      <c r="U67" s="195">
        <f t="shared" si="3"/>
        <v>49117</v>
      </c>
      <c r="V67" s="195">
        <f t="shared" si="3"/>
        <v>7743</v>
      </c>
      <c r="W67" s="195">
        <f t="shared" si="3"/>
        <v>12630</v>
      </c>
      <c r="X67" s="195">
        <f t="shared" si="3"/>
        <v>13081</v>
      </c>
      <c r="Y67" s="195">
        <f t="shared" si="3"/>
        <v>113621</v>
      </c>
      <c r="Z67" s="195">
        <f t="shared" si="3"/>
        <v>0</v>
      </c>
      <c r="AA67" s="195">
        <f t="shared" si="3"/>
        <v>7643</v>
      </c>
      <c r="AB67" s="195">
        <f t="shared" si="3"/>
        <v>19647</v>
      </c>
      <c r="AC67" s="195">
        <f t="shared" si="3"/>
        <v>30999</v>
      </c>
      <c r="AD67" s="195">
        <f t="shared" si="3"/>
        <v>0</v>
      </c>
      <c r="AE67" s="195">
        <f t="shared" si="3"/>
        <v>218922</v>
      </c>
      <c r="AF67" s="195">
        <f t="shared" si="3"/>
        <v>0</v>
      </c>
      <c r="AG67" s="195">
        <f t="shared" si="3"/>
        <v>160709</v>
      </c>
      <c r="AH67" s="195">
        <f t="shared" si="3"/>
        <v>0</v>
      </c>
      <c r="AI67" s="195">
        <f t="shared" si="3"/>
        <v>0</v>
      </c>
      <c r="AJ67" s="195">
        <f t="shared" si="3"/>
        <v>25060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119435</v>
      </c>
      <c r="AZ67" s="195">
        <f>ROUND(AZ51+AZ52,0)</f>
        <v>0</v>
      </c>
      <c r="BA67" s="195">
        <f>ROUND(BA51+BA52,0)</f>
        <v>32427</v>
      </c>
      <c r="BB67" s="195">
        <f t="shared" si="3"/>
        <v>3759</v>
      </c>
      <c r="BC67" s="195">
        <f t="shared" si="3"/>
        <v>0</v>
      </c>
      <c r="BD67" s="195">
        <f t="shared" si="3"/>
        <v>70644</v>
      </c>
      <c r="BE67" s="195">
        <f t="shared" si="3"/>
        <v>329562</v>
      </c>
      <c r="BF67" s="195">
        <f t="shared" si="3"/>
        <v>9397</v>
      </c>
      <c r="BG67" s="195">
        <f t="shared" si="3"/>
        <v>0</v>
      </c>
      <c r="BH67" s="195">
        <f t="shared" si="3"/>
        <v>46787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21702</v>
      </c>
      <c r="BM67" s="195">
        <f t="shared" si="3"/>
        <v>6891</v>
      </c>
      <c r="BN67" s="195">
        <f t="shared" si="3"/>
        <v>89338</v>
      </c>
      <c r="BO67" s="195">
        <f t="shared" si="3"/>
        <v>0</v>
      </c>
      <c r="BP67" s="195">
        <f t="shared" si="3"/>
        <v>6891</v>
      </c>
      <c r="BQ67" s="195">
        <f t="shared" ref="BQ67:CC67" si="4">ROUND(BQ51+BQ52,0)</f>
        <v>0</v>
      </c>
      <c r="BR67" s="195">
        <f t="shared" si="4"/>
        <v>6891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33906</v>
      </c>
      <c r="BW67" s="195">
        <f t="shared" si="4"/>
        <v>3759</v>
      </c>
      <c r="BX67" s="195">
        <f t="shared" si="4"/>
        <v>3759</v>
      </c>
      <c r="BY67" s="195">
        <f t="shared" si="4"/>
        <v>3759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507511</v>
      </c>
      <c r="CD67" s="247" t="s">
        <v>221</v>
      </c>
      <c r="CE67" s="195">
        <f t="shared" si="0"/>
        <v>2766275</v>
      </c>
      <c r="CF67" s="250"/>
    </row>
    <row r="68" spans="1:84" ht="12.6" customHeight="1" x14ac:dyDescent="0.25">
      <c r="A68" s="171" t="s">
        <v>240</v>
      </c>
      <c r="B68" s="175"/>
      <c r="C68" s="184">
        <v>4016</v>
      </c>
      <c r="D68" s="184"/>
      <c r="E68" s="184">
        <v>2238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3473</v>
      </c>
      <c r="P68" s="185">
        <f>89597+631</f>
        <v>90228</v>
      </c>
      <c r="Q68" s="185"/>
      <c r="R68" s="185"/>
      <c r="S68" s="185">
        <v>54280</v>
      </c>
      <c r="T68" s="185"/>
      <c r="U68" s="185">
        <v>378</v>
      </c>
      <c r="V68" s="185"/>
      <c r="W68" s="185">
        <v>158521</v>
      </c>
      <c r="X68" s="185">
        <v>78707</v>
      </c>
      <c r="Y68" s="185">
        <v>31481</v>
      </c>
      <c r="Z68" s="185"/>
      <c r="AA68" s="185"/>
      <c r="AB68" s="185">
        <v>82032</v>
      </c>
      <c r="AC68" s="185"/>
      <c r="AD68" s="185"/>
      <c r="AE68" s="185">
        <v>30929</v>
      </c>
      <c r="AF68" s="185"/>
      <c r="AG68" s="185">
        <v>4787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11</v>
      </c>
      <c r="AZ68" s="185"/>
      <c r="BA68" s="185"/>
      <c r="BB68" s="185">
        <v>2589</v>
      </c>
      <c r="BC68" s="185"/>
      <c r="BD68" s="185">
        <v>7466</v>
      </c>
      <c r="BE68" s="185">
        <v>10211</v>
      </c>
      <c r="BF68" s="185">
        <v>312</v>
      </c>
      <c r="BG68" s="185"/>
      <c r="BH68" s="185"/>
      <c r="BI68" s="185">
        <v>42407</v>
      </c>
      <c r="BJ68" s="185"/>
      <c r="BK68" s="185">
        <v>52268</v>
      </c>
      <c r="BL68" s="185"/>
      <c r="BM68" s="185"/>
      <c r="BN68" s="185">
        <v>15327</v>
      </c>
      <c r="BO68" s="185"/>
      <c r="BP68" s="185">
        <v>2299</v>
      </c>
      <c r="BQ68" s="185"/>
      <c r="BR68" s="185"/>
      <c r="BS68" s="185"/>
      <c r="BT68" s="185"/>
      <c r="BU68" s="185"/>
      <c r="BV68" s="185">
        <v>8306</v>
      </c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5">
        <f t="shared" si="0"/>
        <v>682266</v>
      </c>
      <c r="CF68" s="250"/>
    </row>
    <row r="69" spans="1:84" ht="12.6" customHeight="1" x14ac:dyDescent="0.25">
      <c r="A69" s="171" t="s">
        <v>241</v>
      </c>
      <c r="B69" s="175"/>
      <c r="C69" s="184">
        <v>5127</v>
      </c>
      <c r="D69" s="184"/>
      <c r="E69" s="185">
        <f>18666+2982</f>
        <v>21648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22933</v>
      </c>
      <c r="P69" s="185">
        <f>30416+2653</f>
        <v>33069</v>
      </c>
      <c r="Q69" s="185"/>
      <c r="R69" s="224">
        <v>226</v>
      </c>
      <c r="S69" s="185">
        <v>73849</v>
      </c>
      <c r="T69" s="184"/>
      <c r="U69" s="185">
        <v>20958</v>
      </c>
      <c r="V69" s="185"/>
      <c r="W69" s="184">
        <v>3260</v>
      </c>
      <c r="X69" s="185"/>
      <c r="Y69" s="185">
        <f>14276+8601</f>
        <v>22877</v>
      </c>
      <c r="Z69" s="185"/>
      <c r="AA69" s="185">
        <v>7703</v>
      </c>
      <c r="AB69" s="185">
        <v>15206</v>
      </c>
      <c r="AC69" s="185">
        <f>1361+2503</f>
        <v>3864</v>
      </c>
      <c r="AD69" s="185"/>
      <c r="AE69" s="185">
        <f>76125+1247+1609</f>
        <v>78981</v>
      </c>
      <c r="AF69" s="185"/>
      <c r="AG69" s="185">
        <f>9130+975+80568+2530</f>
        <v>93203</v>
      </c>
      <c r="AH69" s="185"/>
      <c r="AI69" s="185"/>
      <c r="AJ69" s="185">
        <v>1850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197+48299</f>
        <v>48496</v>
      </c>
      <c r="AW69" s="185"/>
      <c r="AX69" s="185"/>
      <c r="AY69" s="185">
        <f>1655+2764</f>
        <v>4419</v>
      </c>
      <c r="AZ69" s="185"/>
      <c r="BA69" s="185"/>
      <c r="BB69" s="185">
        <v>12291</v>
      </c>
      <c r="BC69" s="185"/>
      <c r="BD69" s="185">
        <v>15062</v>
      </c>
      <c r="BE69" s="185">
        <v>4226</v>
      </c>
      <c r="BF69" s="185">
        <v>884</v>
      </c>
      <c r="BG69" s="185"/>
      <c r="BH69" s="224">
        <f>20704+12027</f>
        <v>32731</v>
      </c>
      <c r="BI69" s="185">
        <v>139982</v>
      </c>
      <c r="BJ69" s="185"/>
      <c r="BK69" s="185">
        <f>2165+55483</f>
        <v>57648</v>
      </c>
      <c r="BL69" s="185">
        <v>29</v>
      </c>
      <c r="BM69" s="185">
        <v>45522</v>
      </c>
      <c r="BN69" s="185">
        <f>282291+187+21301</f>
        <v>303779</v>
      </c>
      <c r="BO69" s="185">
        <f>299+3114</f>
        <v>3413</v>
      </c>
      <c r="BP69" s="185">
        <v>56966</v>
      </c>
      <c r="BQ69" s="185"/>
      <c r="BR69" s="185">
        <v>68071</v>
      </c>
      <c r="BS69" s="185"/>
      <c r="BT69" s="185"/>
      <c r="BU69" s="185"/>
      <c r="BV69" s="185">
        <v>5768</v>
      </c>
      <c r="BW69" s="185">
        <f>44484+6715</f>
        <v>51199</v>
      </c>
      <c r="BX69" s="185">
        <f>65327+12952</f>
        <v>78279</v>
      </c>
      <c r="BY69" s="185">
        <v>22573</v>
      </c>
      <c r="BZ69" s="185"/>
      <c r="CA69" s="185"/>
      <c r="CB69" s="185"/>
      <c r="CC69" s="185"/>
      <c r="CD69" s="188">
        <v>1393574</v>
      </c>
      <c r="CE69" s="195">
        <f t="shared" si="0"/>
        <v>2749666</v>
      </c>
      <c r="CF69" s="250"/>
    </row>
    <row r="70" spans="1:84" ht="12.6" customHeight="1" x14ac:dyDescent="0.25">
      <c r="A70" s="171" t="s">
        <v>242</v>
      </c>
      <c r="B70" s="175"/>
      <c r="C70" s="184"/>
      <c r="D70" s="184"/>
      <c r="E70" s="184">
        <v>7080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17597</v>
      </c>
      <c r="P70" s="184"/>
      <c r="Q70" s="184"/>
      <c r="R70" s="184"/>
      <c r="S70" s="184">
        <v>4890</v>
      </c>
      <c r="T70" s="184"/>
      <c r="U70" s="185"/>
      <c r="V70" s="184"/>
      <c r="W70" s="184"/>
      <c r="X70" s="185"/>
      <c r="Y70" s="185">
        <v>60</v>
      </c>
      <c r="Z70" s="185"/>
      <c r="AA70" s="185"/>
      <c r="AB70" s="185">
        <f>8629+947788</f>
        <v>956417</v>
      </c>
      <c r="AC70" s="185"/>
      <c r="AD70" s="185"/>
      <c r="AE70" s="185">
        <f>27248+1755</f>
        <v>29003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531</v>
      </c>
      <c r="AW70" s="185"/>
      <c r="AX70" s="185"/>
      <c r="AY70" s="185">
        <v>1487</v>
      </c>
      <c r="AZ70" s="185">
        <v>506040</v>
      </c>
      <c r="BA70" s="185"/>
      <c r="BB70" s="185">
        <v>27150</v>
      </c>
      <c r="BC70" s="185"/>
      <c r="BD70" s="185"/>
      <c r="BE70" s="185"/>
      <c r="BF70" s="185"/>
      <c r="BG70" s="185"/>
      <c r="BH70" s="185">
        <f>93412+18360</f>
        <v>111772</v>
      </c>
      <c r="BI70" s="185"/>
      <c r="BJ70" s="185"/>
      <c r="BK70" s="185">
        <v>180</v>
      </c>
      <c r="BL70" s="185"/>
      <c r="BM70" s="185">
        <v>521127</v>
      </c>
      <c r="BN70" s="185">
        <v>162</v>
      </c>
      <c r="BO70" s="185"/>
      <c r="BP70" s="185">
        <v>180</v>
      </c>
      <c r="BQ70" s="185"/>
      <c r="BR70" s="185">
        <v>2410</v>
      </c>
      <c r="BS70" s="185"/>
      <c r="BT70" s="185"/>
      <c r="BU70" s="185"/>
      <c r="BV70" s="185">
        <v>12076</v>
      </c>
      <c r="BW70" s="185">
        <v>8375</v>
      </c>
      <c r="BX70" s="185">
        <v>6600</v>
      </c>
      <c r="BY70" s="185"/>
      <c r="BZ70" s="185"/>
      <c r="CA70" s="185"/>
      <c r="CB70" s="185"/>
      <c r="CC70" s="185"/>
      <c r="CD70" s="188">
        <f>2335544-2213137</f>
        <v>122407</v>
      </c>
      <c r="CE70" s="195">
        <f t="shared" si="0"/>
        <v>2335544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1514994</v>
      </c>
      <c r="D71" s="195">
        <f t="shared" ref="D71:AI71" si="5">SUM(D61:D69)-D70</f>
        <v>0</v>
      </c>
      <c r="E71" s="195">
        <f t="shared" si="5"/>
        <v>3874292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2647347</v>
      </c>
      <c r="P71" s="195">
        <f t="shared" si="5"/>
        <v>6500134</v>
      </c>
      <c r="Q71" s="195">
        <f t="shared" si="5"/>
        <v>20230</v>
      </c>
      <c r="R71" s="195">
        <f t="shared" si="5"/>
        <v>465305</v>
      </c>
      <c r="S71" s="195">
        <f t="shared" si="5"/>
        <v>4680684</v>
      </c>
      <c r="T71" s="195">
        <f t="shared" si="5"/>
        <v>0</v>
      </c>
      <c r="U71" s="195">
        <f t="shared" si="5"/>
        <v>2516053</v>
      </c>
      <c r="V71" s="195">
        <f t="shared" si="5"/>
        <v>7964</v>
      </c>
      <c r="W71" s="195">
        <f t="shared" si="5"/>
        <v>716077</v>
      </c>
      <c r="X71" s="195">
        <f t="shared" si="5"/>
        <v>345909</v>
      </c>
      <c r="Y71" s="195">
        <f t="shared" si="5"/>
        <v>2632466</v>
      </c>
      <c r="Z71" s="195">
        <f t="shared" si="5"/>
        <v>0</v>
      </c>
      <c r="AA71" s="195">
        <f t="shared" si="5"/>
        <v>552224</v>
      </c>
      <c r="AB71" s="195">
        <f t="shared" si="5"/>
        <v>4018205</v>
      </c>
      <c r="AC71" s="195">
        <f t="shared" si="5"/>
        <v>1126997</v>
      </c>
      <c r="AD71" s="195">
        <f t="shared" si="5"/>
        <v>0</v>
      </c>
      <c r="AE71" s="195">
        <f t="shared" si="5"/>
        <v>3788103</v>
      </c>
      <c r="AF71" s="195">
        <f t="shared" si="5"/>
        <v>0</v>
      </c>
      <c r="AG71" s="195">
        <f t="shared" si="5"/>
        <v>5841940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87033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275596</v>
      </c>
      <c r="AW71" s="195">
        <f t="shared" si="6"/>
        <v>0</v>
      </c>
      <c r="AX71" s="195">
        <f t="shared" si="6"/>
        <v>0</v>
      </c>
      <c r="AY71" s="195">
        <f t="shared" si="6"/>
        <v>1567971</v>
      </c>
      <c r="AZ71" s="195">
        <f t="shared" si="6"/>
        <v>-506040</v>
      </c>
      <c r="BA71" s="195">
        <f t="shared" si="6"/>
        <v>271595</v>
      </c>
      <c r="BB71" s="195">
        <f t="shared" si="6"/>
        <v>538192</v>
      </c>
      <c r="BC71" s="195">
        <f t="shared" si="6"/>
        <v>0</v>
      </c>
      <c r="BD71" s="195">
        <f t="shared" si="6"/>
        <v>613939</v>
      </c>
      <c r="BE71" s="195">
        <f t="shared" si="6"/>
        <v>1737829</v>
      </c>
      <c r="BF71" s="195">
        <f t="shared" si="6"/>
        <v>664855</v>
      </c>
      <c r="BG71" s="195">
        <f t="shared" si="6"/>
        <v>0</v>
      </c>
      <c r="BH71" s="195">
        <f t="shared" si="6"/>
        <v>1709882</v>
      </c>
      <c r="BI71" s="195">
        <f t="shared" si="6"/>
        <v>791143</v>
      </c>
      <c r="BJ71" s="195">
        <f t="shared" si="6"/>
        <v>0</v>
      </c>
      <c r="BK71" s="195">
        <f t="shared" si="6"/>
        <v>1339638</v>
      </c>
      <c r="BL71" s="195">
        <f t="shared" si="6"/>
        <v>665897</v>
      </c>
      <c r="BM71" s="195">
        <f t="shared" si="6"/>
        <v>-30381</v>
      </c>
      <c r="BN71" s="195">
        <f t="shared" si="6"/>
        <v>1686047</v>
      </c>
      <c r="BO71" s="195">
        <f t="shared" si="6"/>
        <v>138509</v>
      </c>
      <c r="BP71" s="195">
        <f t="shared" ref="BP71:CC71" si="7">SUM(BP61:BP69)-BP70</f>
        <v>780630</v>
      </c>
      <c r="BQ71" s="195">
        <f t="shared" si="7"/>
        <v>0</v>
      </c>
      <c r="BR71" s="195">
        <f t="shared" si="7"/>
        <v>774740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638100</v>
      </c>
      <c r="BW71" s="195">
        <f t="shared" si="7"/>
        <v>1581519</v>
      </c>
      <c r="BX71" s="195">
        <f t="shared" si="7"/>
        <v>681595</v>
      </c>
      <c r="BY71" s="195">
        <f t="shared" si="7"/>
        <v>1028297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507511</v>
      </c>
      <c r="CD71" s="243">
        <f>CD69-CD70</f>
        <v>1271167</v>
      </c>
      <c r="CE71" s="195">
        <f>SUM(CE61:CE69)-CE70</f>
        <v>60064188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1206907</v>
      </c>
      <c r="CF72" s="250"/>
    </row>
    <row r="73" spans="1:84" ht="12.6" customHeight="1" x14ac:dyDescent="0.25">
      <c r="A73" s="171" t="s">
        <v>245</v>
      </c>
      <c r="B73" s="175"/>
      <c r="C73" s="184">
        <v>829370</v>
      </c>
      <c r="D73" s="184"/>
      <c r="E73" s="185">
        <f>663949+2685688+32673+150</f>
        <v>3382460</v>
      </c>
      <c r="F73" s="185"/>
      <c r="G73" s="184"/>
      <c r="H73" s="184"/>
      <c r="I73" s="185"/>
      <c r="J73" s="185">
        <v>483606</v>
      </c>
      <c r="K73" s="185"/>
      <c r="L73" s="185">
        <v>135821</v>
      </c>
      <c r="M73" s="184"/>
      <c r="N73" s="184"/>
      <c r="O73" s="184">
        <v>2138660</v>
      </c>
      <c r="P73" s="185">
        <f>5028586+41475</f>
        <v>5070061</v>
      </c>
      <c r="Q73" s="185">
        <v>461036</v>
      </c>
      <c r="R73" s="185">
        <v>1242759</v>
      </c>
      <c r="S73" s="185">
        <f>7795444+1177753</f>
        <v>8973197</v>
      </c>
      <c r="T73" s="185"/>
      <c r="U73" s="185">
        <f>1351203+81857</f>
        <v>1433060</v>
      </c>
      <c r="V73" s="185">
        <v>48757</v>
      </c>
      <c r="W73" s="185">
        <v>92607</v>
      </c>
      <c r="X73" s="185">
        <v>399676</v>
      </c>
      <c r="Y73" s="185">
        <f>275941+119645</f>
        <v>395586</v>
      </c>
      <c r="Z73" s="185"/>
      <c r="AA73" s="185">
        <v>25018</v>
      </c>
      <c r="AB73" s="185">
        <v>3333255</v>
      </c>
      <c r="AC73" s="185">
        <f>1003579+434+198</f>
        <v>1004211</v>
      </c>
      <c r="AD73" s="185"/>
      <c r="AE73" s="185">
        <v>669803</v>
      </c>
      <c r="AF73" s="185"/>
      <c r="AG73" s="185">
        <f>147534+136999</f>
        <v>284533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30403476</v>
      </c>
      <c r="CF73" s="250"/>
    </row>
    <row r="74" spans="1:84" ht="12.6" customHeight="1" x14ac:dyDescent="0.25">
      <c r="A74" s="171" t="s">
        <v>246</v>
      </c>
      <c r="B74" s="175"/>
      <c r="C74" s="184">
        <v>725078</v>
      </c>
      <c r="D74" s="184"/>
      <c r="E74" s="185">
        <f>826400+1141508+128328+218501</f>
        <v>2314737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408186</v>
      </c>
      <c r="P74" s="185">
        <f>6553077+2141532</f>
        <v>8694609</v>
      </c>
      <c r="Q74" s="185">
        <v>772722</v>
      </c>
      <c r="R74" s="185">
        <v>2142289</v>
      </c>
      <c r="S74" s="185">
        <f>7125256+238284</f>
        <v>7363540</v>
      </c>
      <c r="T74" s="185"/>
      <c r="U74" s="185">
        <f>6898628+93340</f>
        <v>6991968</v>
      </c>
      <c r="V74" s="185">
        <v>461062</v>
      </c>
      <c r="W74" s="185">
        <v>5903680</v>
      </c>
      <c r="X74" s="185">
        <v>7662247</v>
      </c>
      <c r="Y74" s="185">
        <f>4799346+3406135</f>
        <v>8205481</v>
      </c>
      <c r="Z74" s="185"/>
      <c r="AA74" s="185">
        <v>1490603</v>
      </c>
      <c r="AB74" s="185">
        <v>12711857</v>
      </c>
      <c r="AC74" s="185">
        <f>578838+729369+322459</f>
        <v>1630666</v>
      </c>
      <c r="AD74" s="185"/>
      <c r="AE74" s="185">
        <f>4127792+313538+304753</f>
        <v>4746083</v>
      </c>
      <c r="AF74" s="185"/>
      <c r="AG74" s="185">
        <f>7199768+47277+4958748</f>
        <v>12205793</v>
      </c>
      <c r="AH74" s="185"/>
      <c r="AI74" s="185"/>
      <c r="AJ74" s="185">
        <v>49449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84480050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1554448</v>
      </c>
      <c r="D75" s="195">
        <f t="shared" si="9"/>
        <v>0</v>
      </c>
      <c r="E75" s="195">
        <f t="shared" si="9"/>
        <v>5697197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483606</v>
      </c>
      <c r="K75" s="195">
        <f t="shared" si="9"/>
        <v>0</v>
      </c>
      <c r="L75" s="195">
        <f t="shared" si="9"/>
        <v>135821</v>
      </c>
      <c r="M75" s="195">
        <f t="shared" si="9"/>
        <v>0</v>
      </c>
      <c r="N75" s="195">
        <f t="shared" si="9"/>
        <v>0</v>
      </c>
      <c r="O75" s="195">
        <f t="shared" si="9"/>
        <v>2546846</v>
      </c>
      <c r="P75" s="195">
        <f t="shared" si="9"/>
        <v>13764670</v>
      </c>
      <c r="Q75" s="195">
        <f t="shared" si="9"/>
        <v>1233758</v>
      </c>
      <c r="R75" s="195">
        <f t="shared" si="9"/>
        <v>3385048</v>
      </c>
      <c r="S75" s="195">
        <f t="shared" si="9"/>
        <v>16336737</v>
      </c>
      <c r="T75" s="195">
        <f t="shared" si="9"/>
        <v>0</v>
      </c>
      <c r="U75" s="195">
        <f t="shared" si="9"/>
        <v>8425028</v>
      </c>
      <c r="V75" s="195">
        <f t="shared" si="9"/>
        <v>509819</v>
      </c>
      <c r="W75" s="195">
        <f t="shared" si="9"/>
        <v>5996287</v>
      </c>
      <c r="X75" s="195">
        <f t="shared" si="9"/>
        <v>8061923</v>
      </c>
      <c r="Y75" s="195">
        <f t="shared" si="9"/>
        <v>8601067</v>
      </c>
      <c r="Z75" s="195">
        <f t="shared" si="9"/>
        <v>0</v>
      </c>
      <c r="AA75" s="195">
        <f t="shared" si="9"/>
        <v>1515621</v>
      </c>
      <c r="AB75" s="195">
        <f t="shared" si="9"/>
        <v>16045112</v>
      </c>
      <c r="AC75" s="195">
        <f t="shared" si="9"/>
        <v>2634877</v>
      </c>
      <c r="AD75" s="195">
        <f t="shared" si="9"/>
        <v>0</v>
      </c>
      <c r="AE75" s="195">
        <f t="shared" si="9"/>
        <v>5415886</v>
      </c>
      <c r="AF75" s="195">
        <f t="shared" si="9"/>
        <v>0</v>
      </c>
      <c r="AG75" s="195">
        <f t="shared" si="9"/>
        <v>12490326</v>
      </c>
      <c r="AH75" s="195">
        <f t="shared" si="9"/>
        <v>0</v>
      </c>
      <c r="AI75" s="195">
        <f t="shared" si="9"/>
        <v>0</v>
      </c>
      <c r="AJ75" s="195">
        <f t="shared" si="9"/>
        <v>49449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114883526</v>
      </c>
      <c r="CF75" s="250"/>
    </row>
    <row r="76" spans="1:84" ht="12.6" customHeight="1" x14ac:dyDescent="0.25">
      <c r="A76" s="171" t="s">
        <v>248</v>
      </c>
      <c r="B76" s="175"/>
      <c r="C76" s="184">
        <v>1804</v>
      </c>
      <c r="D76" s="184"/>
      <c r="E76" s="185">
        <v>9713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8281</v>
      </c>
      <c r="P76" s="185">
        <v>11113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185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v>20252</v>
      </c>
      <c r="CD76" s="247" t="s">
        <v>221</v>
      </c>
      <c r="CE76" s="195">
        <f t="shared" si="8"/>
        <v>110387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1072+2236</f>
        <v>3308</v>
      </c>
      <c r="D77" s="184"/>
      <c r="E77" s="184">
        <f>2001+5920+1785+3083</f>
        <v>12789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2620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1048+21</f>
        <v>1069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19786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798</v>
      </c>
      <c r="D78" s="184"/>
      <c r="E78" s="184">
        <v>3192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2394</v>
      </c>
      <c r="P78" s="184"/>
      <c r="Q78" s="184"/>
      <c r="R78" s="184"/>
      <c r="S78" s="184"/>
      <c r="T78" s="184"/>
      <c r="U78" s="184">
        <v>798</v>
      </c>
      <c r="V78" s="184">
        <v>74</v>
      </c>
      <c r="W78" s="184">
        <v>121</v>
      </c>
      <c r="X78" s="184">
        <v>126</v>
      </c>
      <c r="Y78" s="184">
        <v>1330</v>
      </c>
      <c r="Z78" s="184"/>
      <c r="AA78" s="184">
        <v>74</v>
      </c>
      <c r="AB78" s="184">
        <v>189</v>
      </c>
      <c r="AC78" s="184">
        <v>298</v>
      </c>
      <c r="AD78" s="184"/>
      <c r="AE78" s="184">
        <v>2394</v>
      </c>
      <c r="AF78" s="184"/>
      <c r="AG78" s="184">
        <v>2394</v>
      </c>
      <c r="AH78" s="184"/>
      <c r="AI78" s="184"/>
      <c r="AJ78" s="184">
        <v>241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7" t="s">
        <v>221</v>
      </c>
      <c r="AY78" s="247" t="s">
        <v>221</v>
      </c>
      <c r="AZ78" s="247" t="s">
        <v>221</v>
      </c>
      <c r="BA78" s="184">
        <v>312</v>
      </c>
      <c r="BB78" s="184">
        <v>36</v>
      </c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266</v>
      </c>
      <c r="BI78" s="184"/>
      <c r="BJ78" s="247" t="s">
        <v>221</v>
      </c>
      <c r="BK78" s="184"/>
      <c r="BL78" s="184">
        <v>209</v>
      </c>
      <c r="BM78" s="184">
        <v>66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>
        <v>326</v>
      </c>
      <c r="BW78" s="184">
        <v>36</v>
      </c>
      <c r="BX78" s="184">
        <v>36</v>
      </c>
      <c r="BY78" s="184">
        <v>36</v>
      </c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15746</v>
      </c>
      <c r="CF78" s="195"/>
    </row>
    <row r="79" spans="1:84" ht="12.6" customHeight="1" x14ac:dyDescent="0.25">
      <c r="A79" s="171" t="s">
        <v>251</v>
      </c>
      <c r="B79" s="175"/>
      <c r="C79" s="225">
        <v>10918</v>
      </c>
      <c r="D79" s="225"/>
      <c r="E79" s="184">
        <f>54592</f>
        <v>54592</v>
      </c>
      <c r="F79" s="184"/>
      <c r="G79" s="184"/>
      <c r="H79" s="184"/>
      <c r="I79" s="184"/>
      <c r="J79" s="184">
        <v>21837</v>
      </c>
      <c r="K79" s="184"/>
      <c r="L79" s="184"/>
      <c r="M79" s="184"/>
      <c r="N79" s="184"/>
      <c r="O79" s="184">
        <v>35485</v>
      </c>
      <c r="P79" s="184">
        <v>40944</v>
      </c>
      <c r="Q79" s="184"/>
      <c r="R79" s="184"/>
      <c r="S79" s="184"/>
      <c r="T79" s="184"/>
      <c r="U79" s="184">
        <v>5459</v>
      </c>
      <c r="V79" s="184"/>
      <c r="W79" s="184"/>
      <c r="X79" s="184"/>
      <c r="Y79" s="184">
        <v>19107</v>
      </c>
      <c r="Z79" s="184"/>
      <c r="AA79" s="184"/>
      <c r="AB79" s="184"/>
      <c r="AC79" s="184"/>
      <c r="AD79" s="184"/>
      <c r="AE79" s="184">
        <v>49240</v>
      </c>
      <c r="AF79" s="184"/>
      <c r="AG79" s="184">
        <v>54592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292174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20446.2/2080</f>
        <v>9.8299038461538473</v>
      </c>
      <c r="D80" s="187"/>
      <c r="E80" s="187">
        <v>12.81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34842.54/2080</f>
        <v>16.751221153846153</v>
      </c>
      <c r="P80" s="187">
        <f>52182.52/2080</f>
        <v>25.08775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15.78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80.258875000000003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8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1363</v>
      </c>
      <c r="D111" s="174">
        <v>3648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9</v>
      </c>
      <c r="D112" s="174">
        <v>119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429</v>
      </c>
      <c r="D114" s="174">
        <v>833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2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135821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512-9+17+13</f>
        <v>533</v>
      </c>
      <c r="C138" s="189">
        <v>315</v>
      </c>
      <c r="D138" s="174">
        <f>1363-848</f>
        <v>515</v>
      </c>
      <c r="E138" s="175">
        <f>SUM(B138:D138)</f>
        <v>1363</v>
      </c>
    </row>
    <row r="139" spans="1:6" ht="12.6" customHeight="1" x14ac:dyDescent="0.25">
      <c r="A139" s="173" t="s">
        <v>215</v>
      </c>
      <c r="B139" s="174">
        <f>1662-119+53+53</f>
        <v>1649</v>
      </c>
      <c r="C139" s="189">
        <v>745</v>
      </c>
      <c r="D139" s="174">
        <f>3648-1649-745</f>
        <v>1254</v>
      </c>
      <c r="E139" s="175">
        <f>SUM(B139:D139)</f>
        <v>3648</v>
      </c>
    </row>
    <row r="140" spans="1:6" ht="12.6" customHeight="1" x14ac:dyDescent="0.25">
      <c r="A140" s="173" t="s">
        <v>298</v>
      </c>
      <c r="B140" s="174"/>
      <c r="C140" s="174"/>
      <c r="D140" s="174">
        <v>80300</v>
      </c>
      <c r="E140" s="175">
        <f>SUM(B140:D140)</f>
        <v>80300</v>
      </c>
    </row>
    <row r="141" spans="1:6" ht="12.6" customHeight="1" x14ac:dyDescent="0.25">
      <c r="A141" s="173" t="s">
        <v>245</v>
      </c>
      <c r="B141" s="174">
        <f>646128+14455375-135821</f>
        <v>14965682</v>
      </c>
      <c r="C141" s="189">
        <f>335643+205871+2017451+912414</f>
        <v>3471379</v>
      </c>
      <c r="D141" s="174">
        <f>30403476-18437061-135821</f>
        <v>11830594</v>
      </c>
      <c r="E141" s="175">
        <f>SUM(B141:D141)</f>
        <v>30267655</v>
      </c>
      <c r="F141" s="199"/>
    </row>
    <row r="142" spans="1:6" ht="12.6" customHeight="1" x14ac:dyDescent="0.25">
      <c r="A142" s="173" t="s">
        <v>246</v>
      </c>
      <c r="B142" s="174">
        <f>2262287+21628222</f>
        <v>23890509</v>
      </c>
      <c r="C142" s="189">
        <f>841789+505937+6980783+2697925</f>
        <v>11026434</v>
      </c>
      <c r="D142" s="174">
        <f>84480050-34916943</f>
        <v>49563107</v>
      </c>
      <c r="E142" s="175">
        <f>SUM(B142:D142)</f>
        <v>84480050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9</v>
      </c>
      <c r="C144" s="189">
        <v>0</v>
      </c>
      <c r="D144" s="174">
        <v>0</v>
      </c>
      <c r="E144" s="175">
        <f>SUM(B144:D144)</f>
        <v>9</v>
      </c>
    </row>
    <row r="145" spans="1:5" ht="12.6" customHeight="1" x14ac:dyDescent="0.25">
      <c r="A145" s="173" t="s">
        <v>215</v>
      </c>
      <c r="B145" s="174">
        <v>119</v>
      </c>
      <c r="C145" s="189">
        <v>0</v>
      </c>
      <c r="D145" s="174">
        <v>0</v>
      </c>
      <c r="E145" s="175">
        <f>SUM(B145:D145)</f>
        <v>119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135821</v>
      </c>
      <c r="C147" s="189">
        <v>0</v>
      </c>
      <c r="D147" s="174">
        <v>0</v>
      </c>
      <c r="E147" s="175">
        <f>SUM(B147:D147)</f>
        <v>135821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6586096</v>
      </c>
      <c r="C157" s="174">
        <f>1287233+2573020</f>
        <v>3860253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2030126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45281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70822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2236626+255918+4601+240939</f>
        <v>2738084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21620</f>
        <v>21620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875752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120000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28034+54505+21496+2892+206183</f>
        <v>313110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6214795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128486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682266-128486</f>
        <v>553780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682266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f>181882</f>
        <v>181882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73591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255473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582764+267+47433</f>
        <v>630464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f>657725-630464</f>
        <v>27261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657725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23318+4431+311908</f>
        <v>339657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480376-339657</f>
        <v>140719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480376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" customHeight="1" x14ac:dyDescent="0.25">
      <c r="A196" s="173" t="s">
        <v>333</v>
      </c>
      <c r="B196" s="174">
        <v>3160470</v>
      </c>
      <c r="C196" s="189">
        <v>536075</v>
      </c>
      <c r="D196" s="174"/>
      <c r="E196" s="175">
        <f t="shared" si="10"/>
        <v>3696545</v>
      </c>
    </row>
    <row r="197" spans="1:8" ht="12.6" customHeight="1" x14ac:dyDescent="0.25">
      <c r="A197" s="173" t="s">
        <v>334</v>
      </c>
      <c r="B197" s="174">
        <v>14160432</v>
      </c>
      <c r="C197" s="189">
        <v>856963</v>
      </c>
      <c r="D197" s="174">
        <v>88289</v>
      </c>
      <c r="E197" s="175">
        <f t="shared" si="10"/>
        <v>14929106</v>
      </c>
    </row>
    <row r="198" spans="1:8" ht="12.6" customHeight="1" x14ac:dyDescent="0.25">
      <c r="A198" s="173" t="s">
        <v>335</v>
      </c>
      <c r="B198" s="174">
        <v>14016855</v>
      </c>
      <c r="C198" s="189">
        <v>614605</v>
      </c>
      <c r="D198" s="174">
        <v>231297</v>
      </c>
      <c r="E198" s="175">
        <f t="shared" si="10"/>
        <v>14400163</v>
      </c>
    </row>
    <row r="199" spans="1:8" ht="12.6" customHeight="1" x14ac:dyDescent="0.25">
      <c r="A199" s="173" t="s">
        <v>336</v>
      </c>
      <c r="B199" s="174">
        <v>986204</v>
      </c>
      <c r="C199" s="189">
        <v>21612</v>
      </c>
      <c r="D199" s="174"/>
      <c r="E199" s="175">
        <f t="shared" si="10"/>
        <v>1007816</v>
      </c>
    </row>
    <row r="200" spans="1:8" ht="12.6" customHeight="1" x14ac:dyDescent="0.25">
      <c r="A200" s="173" t="s">
        <v>337</v>
      </c>
      <c r="B200" s="174">
        <v>13877461</v>
      </c>
      <c r="C200" s="189">
        <v>3325707</v>
      </c>
      <c r="D200" s="174">
        <v>1558949</v>
      </c>
      <c r="E200" s="175">
        <f t="shared" si="10"/>
        <v>15644219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1294589</v>
      </c>
      <c r="C203" s="189">
        <v>2482963</v>
      </c>
      <c r="D203" s="174">
        <v>3412072</v>
      </c>
      <c r="E203" s="175">
        <f t="shared" si="10"/>
        <v>365480</v>
      </c>
    </row>
    <row r="204" spans="1:8" ht="12.6" customHeight="1" x14ac:dyDescent="0.25">
      <c r="A204" s="173" t="s">
        <v>203</v>
      </c>
      <c r="B204" s="175">
        <f>SUM(B195:B203)</f>
        <v>49309316</v>
      </c>
      <c r="C204" s="191">
        <f>SUM(C195:C203)</f>
        <v>7837925</v>
      </c>
      <c r="D204" s="175">
        <f>SUM(D195:D203)</f>
        <v>5290607</v>
      </c>
      <c r="E204" s="175">
        <f>SUM(E195:E203)</f>
        <v>51856634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1568505</v>
      </c>
      <c r="C209" s="189">
        <v>83174</v>
      </c>
      <c r="D209" s="174"/>
      <c r="E209" s="175">
        <f t="shared" ref="E209:E216" si="11">SUM(B209:C209)-D209</f>
        <v>1651679</v>
      </c>
      <c r="H209" s="257"/>
    </row>
    <row r="210" spans="1:8" ht="12.6" customHeight="1" x14ac:dyDescent="0.25">
      <c r="A210" s="173" t="s">
        <v>334</v>
      </c>
      <c r="B210" s="174">
        <v>3944398</v>
      </c>
      <c r="C210" s="189">
        <f>644317-399283</f>
        <v>245034</v>
      </c>
      <c r="D210" s="174">
        <v>88289</v>
      </c>
      <c r="E210" s="175">
        <f t="shared" si="11"/>
        <v>4101143</v>
      </c>
      <c r="H210" s="257"/>
    </row>
    <row r="211" spans="1:8" ht="12.6" customHeight="1" x14ac:dyDescent="0.25">
      <c r="A211" s="173" t="s">
        <v>335</v>
      </c>
      <c r="B211" s="174">
        <v>9852859</v>
      </c>
      <c r="C211" s="189">
        <v>740601</v>
      </c>
      <c r="D211" s="174">
        <v>231297</v>
      </c>
      <c r="E211" s="175">
        <f t="shared" si="11"/>
        <v>10362163</v>
      </c>
      <c r="H211" s="257"/>
    </row>
    <row r="212" spans="1:8" ht="12.6" customHeight="1" x14ac:dyDescent="0.25">
      <c r="A212" s="173" t="s">
        <v>336</v>
      </c>
      <c r="B212" s="174">
        <v>864133</v>
      </c>
      <c r="C212" s="189">
        <v>31999</v>
      </c>
      <c r="D212" s="174"/>
      <c r="E212" s="175">
        <f t="shared" si="11"/>
        <v>896132</v>
      </c>
      <c r="H212" s="257"/>
    </row>
    <row r="213" spans="1:8" ht="12.6" customHeight="1" x14ac:dyDescent="0.25">
      <c r="A213" s="173" t="s">
        <v>337</v>
      </c>
      <c r="B213" s="174">
        <v>9659069</v>
      </c>
      <c r="C213" s="189">
        <f>1319988+124623+123626+97230</f>
        <v>1665467</v>
      </c>
      <c r="D213" s="174">
        <f>1097136+114122+267589</f>
        <v>1478847</v>
      </c>
      <c r="E213" s="175">
        <f t="shared" si="11"/>
        <v>9845689</v>
      </c>
      <c r="H213" s="257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25888964</v>
      </c>
      <c r="C217" s="191">
        <f>SUM(C208:C216)</f>
        <v>2766275</v>
      </c>
      <c r="D217" s="175">
        <f>SUM(D208:D216)</f>
        <v>1798433</v>
      </c>
      <c r="E217" s="175">
        <f>SUM(E208:E216)</f>
        <v>26856806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1104908</v>
      </c>
      <c r="D221" s="172">
        <f>C221</f>
        <v>1104908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18350116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6919331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761786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569411+9039</f>
        <v>578450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22529622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49139305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418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174617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670926+24459</f>
        <v>695385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870002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v>210925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298324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509249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51623464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4549783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14975987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2334038+5361330</f>
        <v>7695368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439892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695017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1786696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879192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15631199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7445337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7445337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3696545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14929106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14400163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1007816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15644219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365480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51856634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26856806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24999828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950045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-297050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652995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48729359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2570779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2444099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221539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5236417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2515270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11702639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14217909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14217909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29275033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48729359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48729359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30403476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84480050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114883526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1104908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f>51623463-2484158</f>
        <v>49139305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870002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210925+298324</f>
        <v>509249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51623464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63260062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2335544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1206907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3542451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66802513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29181362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6214795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5449892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11513648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736663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3105166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2766277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682266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255473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657725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480376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1356092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62399735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4402778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-1778180-1206907</f>
        <v>-2985087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1417691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1417691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Public Hospital District #1-A of Whitman County   H-0     FYE 12/31/2017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1363</v>
      </c>
      <c r="C414" s="194">
        <f>E138</f>
        <v>1363</v>
      </c>
      <c r="D414" s="179"/>
    </row>
    <row r="415" spans="1:5" ht="12.6" customHeight="1" x14ac:dyDescent="0.25">
      <c r="A415" s="179" t="s">
        <v>464</v>
      </c>
      <c r="B415" s="179">
        <f>D111</f>
        <v>3648</v>
      </c>
      <c r="C415" s="179">
        <f>E139</f>
        <v>3648</v>
      </c>
      <c r="D415" s="194">
        <f>SUM(C59:H59)+N59</f>
        <v>3648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9</v>
      </c>
      <c r="C417" s="194">
        <f>E144</f>
        <v>9</v>
      </c>
      <c r="D417" s="179"/>
    </row>
    <row r="418" spans="1:7" ht="12.6" customHeight="1" x14ac:dyDescent="0.25">
      <c r="A418" s="179" t="s">
        <v>466</v>
      </c>
      <c r="B418" s="179">
        <f>D112</f>
        <v>119</v>
      </c>
      <c r="C418" s="179">
        <f>E145</f>
        <v>119</v>
      </c>
      <c r="D418" s="179">
        <f>K59+L59</f>
        <v>119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429</v>
      </c>
    </row>
    <row r="424" spans="1:7" ht="12.6" customHeight="1" x14ac:dyDescent="0.25">
      <c r="A424" s="179" t="s">
        <v>1244</v>
      </c>
      <c r="B424" s="179">
        <f>D114</f>
        <v>833</v>
      </c>
      <c r="D424" s="179">
        <f>J59</f>
        <v>833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29181362</v>
      </c>
      <c r="C427" s="179">
        <f t="shared" ref="C427:C434" si="13">CE61</f>
        <v>29181362</v>
      </c>
      <c r="D427" s="179"/>
    </row>
    <row r="428" spans="1:7" ht="12.6" customHeight="1" x14ac:dyDescent="0.25">
      <c r="A428" s="179" t="s">
        <v>3</v>
      </c>
      <c r="B428" s="179">
        <f t="shared" si="12"/>
        <v>6214795</v>
      </c>
      <c r="C428" s="179">
        <f t="shared" si="13"/>
        <v>6214794</v>
      </c>
      <c r="D428" s="179">
        <f>D173</f>
        <v>6214795</v>
      </c>
    </row>
    <row r="429" spans="1:7" ht="12.6" customHeight="1" x14ac:dyDescent="0.25">
      <c r="A429" s="179" t="s">
        <v>236</v>
      </c>
      <c r="B429" s="179">
        <f t="shared" si="12"/>
        <v>5449892</v>
      </c>
      <c r="C429" s="179">
        <f t="shared" si="13"/>
        <v>5449892</v>
      </c>
      <c r="D429" s="179"/>
    </row>
    <row r="430" spans="1:7" ht="12.6" customHeight="1" x14ac:dyDescent="0.25">
      <c r="A430" s="179" t="s">
        <v>237</v>
      </c>
      <c r="B430" s="179">
        <f t="shared" si="12"/>
        <v>11513648</v>
      </c>
      <c r="C430" s="179">
        <f t="shared" si="13"/>
        <v>11513648</v>
      </c>
      <c r="D430" s="179"/>
    </row>
    <row r="431" spans="1:7" ht="12.6" customHeight="1" x14ac:dyDescent="0.25">
      <c r="A431" s="179" t="s">
        <v>444</v>
      </c>
      <c r="B431" s="179">
        <f t="shared" si="12"/>
        <v>736663</v>
      </c>
      <c r="C431" s="179">
        <f t="shared" si="13"/>
        <v>736663</v>
      </c>
      <c r="D431" s="179"/>
    </row>
    <row r="432" spans="1:7" ht="12.6" customHeight="1" x14ac:dyDescent="0.25">
      <c r="A432" s="179" t="s">
        <v>445</v>
      </c>
      <c r="B432" s="179">
        <f t="shared" si="12"/>
        <v>3105166</v>
      </c>
      <c r="C432" s="179">
        <f t="shared" si="13"/>
        <v>3105166</v>
      </c>
      <c r="D432" s="179"/>
    </row>
    <row r="433" spans="1:7" ht="12.6" customHeight="1" x14ac:dyDescent="0.25">
      <c r="A433" s="179" t="s">
        <v>6</v>
      </c>
      <c r="B433" s="179">
        <f t="shared" si="12"/>
        <v>2766277</v>
      </c>
      <c r="C433" s="179">
        <f t="shared" si="13"/>
        <v>2766275</v>
      </c>
      <c r="D433" s="179">
        <f>C217</f>
        <v>2766275</v>
      </c>
    </row>
    <row r="434" spans="1:7" ht="12.6" customHeight="1" x14ac:dyDescent="0.25">
      <c r="A434" s="179" t="s">
        <v>474</v>
      </c>
      <c r="B434" s="179">
        <f t="shared" si="12"/>
        <v>682266</v>
      </c>
      <c r="C434" s="179">
        <f t="shared" si="13"/>
        <v>682266</v>
      </c>
      <c r="D434" s="179">
        <f>D177</f>
        <v>682266</v>
      </c>
    </row>
    <row r="435" spans="1:7" ht="12.6" customHeight="1" x14ac:dyDescent="0.25">
      <c r="A435" s="179" t="s">
        <v>447</v>
      </c>
      <c r="B435" s="179">
        <f t="shared" si="12"/>
        <v>255473</v>
      </c>
      <c r="C435" s="179"/>
      <c r="D435" s="179">
        <f>D181</f>
        <v>255473</v>
      </c>
    </row>
    <row r="436" spans="1:7" ht="12.6" customHeight="1" x14ac:dyDescent="0.25">
      <c r="A436" s="179" t="s">
        <v>475</v>
      </c>
      <c r="B436" s="179">
        <f t="shared" si="12"/>
        <v>657725</v>
      </c>
      <c r="C436" s="179"/>
      <c r="D436" s="179">
        <f>D186</f>
        <v>657725</v>
      </c>
    </row>
    <row r="437" spans="1:7" ht="12.6" customHeight="1" x14ac:dyDescent="0.25">
      <c r="A437" s="194" t="s">
        <v>449</v>
      </c>
      <c r="B437" s="194">
        <f t="shared" si="12"/>
        <v>480376</v>
      </c>
      <c r="C437" s="194"/>
      <c r="D437" s="194">
        <f>D190</f>
        <v>480376</v>
      </c>
    </row>
    <row r="438" spans="1:7" ht="12.6" customHeight="1" x14ac:dyDescent="0.25">
      <c r="A438" s="194" t="s">
        <v>476</v>
      </c>
      <c r="B438" s="194">
        <f>C386+C387+C388</f>
        <v>1393574</v>
      </c>
      <c r="C438" s="194">
        <f>CD69</f>
        <v>1393574</v>
      </c>
      <c r="D438" s="194">
        <f>D181+D186+D190</f>
        <v>1393574</v>
      </c>
    </row>
    <row r="439" spans="1:7" ht="12.6" customHeight="1" x14ac:dyDescent="0.25">
      <c r="A439" s="179" t="s">
        <v>451</v>
      </c>
      <c r="B439" s="194">
        <f>C389</f>
        <v>1356092</v>
      </c>
      <c r="C439" s="194">
        <f>SUM(C69:CC69)</f>
        <v>1356092</v>
      </c>
      <c r="D439" s="179"/>
    </row>
    <row r="440" spans="1:7" ht="12.6" customHeight="1" x14ac:dyDescent="0.25">
      <c r="A440" s="179" t="s">
        <v>477</v>
      </c>
      <c r="B440" s="194">
        <f>B438+B439</f>
        <v>2749666</v>
      </c>
      <c r="C440" s="194">
        <f>CE69</f>
        <v>2749666</v>
      </c>
      <c r="D440" s="179"/>
    </row>
    <row r="441" spans="1:7" ht="12.6" customHeight="1" x14ac:dyDescent="0.25">
      <c r="A441" s="179" t="s">
        <v>478</v>
      </c>
      <c r="B441" s="179">
        <f>D390</f>
        <v>62399735</v>
      </c>
      <c r="C441" s="179">
        <f>SUM(C427:C437)+C440</f>
        <v>62399732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1104908</v>
      </c>
      <c r="C444" s="179">
        <f>C363</f>
        <v>1104908</v>
      </c>
      <c r="D444" s="179"/>
    </row>
    <row r="445" spans="1:7" ht="12.6" customHeight="1" x14ac:dyDescent="0.25">
      <c r="A445" s="179" t="s">
        <v>343</v>
      </c>
      <c r="B445" s="179">
        <f>D229</f>
        <v>49139305</v>
      </c>
      <c r="C445" s="179">
        <f>C364</f>
        <v>49139305</v>
      </c>
      <c r="D445" s="179"/>
    </row>
    <row r="446" spans="1:7" ht="12.6" customHeight="1" x14ac:dyDescent="0.25">
      <c r="A446" s="179" t="s">
        <v>351</v>
      </c>
      <c r="B446" s="179">
        <f>D236</f>
        <v>870002</v>
      </c>
      <c r="C446" s="179">
        <f>C365</f>
        <v>870002</v>
      </c>
      <c r="D446" s="179"/>
    </row>
    <row r="447" spans="1:7" ht="12.6" customHeight="1" x14ac:dyDescent="0.25">
      <c r="A447" s="179" t="s">
        <v>356</v>
      </c>
      <c r="B447" s="179">
        <f>D240</f>
        <v>509249</v>
      </c>
      <c r="C447" s="179">
        <f>C366</f>
        <v>509249</v>
      </c>
      <c r="D447" s="179"/>
    </row>
    <row r="448" spans="1:7" ht="12.6" customHeight="1" x14ac:dyDescent="0.25">
      <c r="A448" s="179" t="s">
        <v>358</v>
      </c>
      <c r="B448" s="179">
        <f>D242</f>
        <v>51623464</v>
      </c>
      <c r="C448" s="179">
        <f>D367</f>
        <v>51623464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418</v>
      </c>
    </row>
    <row r="454" spans="1:7" ht="12.6" customHeight="1" x14ac:dyDescent="0.25">
      <c r="A454" s="179" t="s">
        <v>168</v>
      </c>
      <c r="B454" s="179">
        <f>C233</f>
        <v>174617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695385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2335544</v>
      </c>
      <c r="C458" s="194">
        <f>CE70</f>
        <v>2335544</v>
      </c>
      <c r="D458" s="194"/>
    </row>
    <row r="459" spans="1:7" ht="12.6" customHeight="1" x14ac:dyDescent="0.25">
      <c r="A459" s="179" t="s">
        <v>244</v>
      </c>
      <c r="B459" s="194">
        <f>C371</f>
        <v>1206907</v>
      </c>
      <c r="C459" s="194">
        <f>CE72</f>
        <v>1206907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30403476</v>
      </c>
      <c r="C463" s="194">
        <f>CE73</f>
        <v>30403476</v>
      </c>
      <c r="D463" s="194">
        <f>E141+E147+E153</f>
        <v>30403476</v>
      </c>
    </row>
    <row r="464" spans="1:7" ht="12.6" customHeight="1" x14ac:dyDescent="0.25">
      <c r="A464" s="179" t="s">
        <v>246</v>
      </c>
      <c r="B464" s="194">
        <f>C360</f>
        <v>84480050</v>
      </c>
      <c r="C464" s="194">
        <f>CE74</f>
        <v>84480050</v>
      </c>
      <c r="D464" s="194">
        <f>E142+E148+E154</f>
        <v>84480050</v>
      </c>
    </row>
    <row r="465" spans="1:7" ht="12.6" customHeight="1" x14ac:dyDescent="0.25">
      <c r="A465" s="179" t="s">
        <v>247</v>
      </c>
      <c r="B465" s="194">
        <f>D361</f>
        <v>114883526</v>
      </c>
      <c r="C465" s="194">
        <f>CE75</f>
        <v>114883526</v>
      </c>
      <c r="D465" s="194">
        <f>D463+D464</f>
        <v>114883526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" customHeight="1" x14ac:dyDescent="0.25">
      <c r="A469" s="179" t="s">
        <v>333</v>
      </c>
      <c r="B469" s="179">
        <f t="shared" si="14"/>
        <v>3696545</v>
      </c>
      <c r="C469" s="179">
        <f>E196</f>
        <v>3696545</v>
      </c>
      <c r="D469" s="179"/>
    </row>
    <row r="470" spans="1:7" ht="12.6" customHeight="1" x14ac:dyDescent="0.25">
      <c r="A470" s="179" t="s">
        <v>334</v>
      </c>
      <c r="B470" s="179">
        <f t="shared" si="14"/>
        <v>14929106</v>
      </c>
      <c r="C470" s="179">
        <f>E197</f>
        <v>14929106</v>
      </c>
      <c r="D470" s="179"/>
    </row>
    <row r="471" spans="1:7" ht="12.6" customHeight="1" x14ac:dyDescent="0.25">
      <c r="A471" s="179" t="s">
        <v>494</v>
      </c>
      <c r="B471" s="179">
        <f t="shared" si="14"/>
        <v>14400163</v>
      </c>
      <c r="C471" s="179">
        <f>E198</f>
        <v>14400163</v>
      </c>
      <c r="D471" s="179"/>
    </row>
    <row r="472" spans="1:7" ht="12.6" customHeight="1" x14ac:dyDescent="0.25">
      <c r="A472" s="179" t="s">
        <v>377</v>
      </c>
      <c r="B472" s="179">
        <f t="shared" si="14"/>
        <v>1007816</v>
      </c>
      <c r="C472" s="179">
        <f>E199</f>
        <v>1007816</v>
      </c>
      <c r="D472" s="179"/>
    </row>
    <row r="473" spans="1:7" ht="12.6" customHeight="1" x14ac:dyDescent="0.25">
      <c r="A473" s="179" t="s">
        <v>495</v>
      </c>
      <c r="B473" s="179">
        <f t="shared" si="14"/>
        <v>15644219</v>
      </c>
      <c r="C473" s="179">
        <f>SUM(E200:E201)</f>
        <v>15644219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365480</v>
      </c>
      <c r="C475" s="179">
        <f>E203</f>
        <v>365480</v>
      </c>
      <c r="D475" s="179"/>
    </row>
    <row r="476" spans="1:7" ht="12.6" customHeight="1" x14ac:dyDescent="0.25">
      <c r="A476" s="179" t="s">
        <v>203</v>
      </c>
      <c r="B476" s="179">
        <f>D275</f>
        <v>51856634</v>
      </c>
      <c r="C476" s="179">
        <f>E204</f>
        <v>51856634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26856806</v>
      </c>
      <c r="C478" s="179">
        <f>E217</f>
        <v>26856806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48729359</v>
      </c>
    </row>
    <row r="482" spans="1:12" ht="12.6" customHeight="1" x14ac:dyDescent="0.25">
      <c r="A482" s="180" t="s">
        <v>499</v>
      </c>
      <c r="C482" s="180">
        <f>D339</f>
        <v>48729359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Public Hospital District #1-A of Whitman County   H-0     FYE 12/31/2017</v>
      </c>
      <c r="B493" s="259" t="s">
        <v>1266</v>
      </c>
      <c r="C493" s="259" t="str">
        <f>RIGHT(C82,4)</f>
        <v>2017</v>
      </c>
      <c r="D493" s="259" t="s">
        <v>1266</v>
      </c>
      <c r="E493" s="259" t="str">
        <f>RIGHT(C82,4)</f>
        <v>2017</v>
      </c>
      <c r="F493" s="259" t="s">
        <v>1266</v>
      </c>
      <c r="G493" s="259" t="str">
        <f>RIGHT(C82,4)</f>
        <v>2017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v>1526461</v>
      </c>
      <c r="C496" s="238">
        <f>C71</f>
        <v>1514994</v>
      </c>
      <c r="D496" s="238">
        <v>414</v>
      </c>
      <c r="E496" s="180">
        <f>C59</f>
        <v>419</v>
      </c>
      <c r="F496" s="261">
        <f t="shared" ref="F496:G511" si="15">IF(B496=0,"",IF(D496=0,"",B496/D496))</f>
        <v>3687.1038647342993</v>
      </c>
      <c r="G496" s="262">
        <f t="shared" si="15"/>
        <v>3615.7374701670647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v>0</v>
      </c>
      <c r="C497" s="238">
        <f>D71</f>
        <v>0</v>
      </c>
      <c r="D497" s="238"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v>3658946</v>
      </c>
      <c r="C498" s="238">
        <f>E71</f>
        <v>3874292</v>
      </c>
      <c r="D498" s="238">
        <v>3102</v>
      </c>
      <c r="E498" s="180">
        <f>E59</f>
        <v>3229</v>
      </c>
      <c r="F498" s="261">
        <f t="shared" si="15"/>
        <v>1179.5441650548034</v>
      </c>
      <c r="G498" s="261">
        <f t="shared" si="15"/>
        <v>1199.8426757510065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v>0</v>
      </c>
      <c r="C499" s="238">
        <f>F71</f>
        <v>0</v>
      </c>
      <c r="D499" s="238"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v>0</v>
      </c>
      <c r="C500" s="238">
        <f>G71</f>
        <v>0</v>
      </c>
      <c r="D500" s="238"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v>0</v>
      </c>
      <c r="C501" s="238">
        <f>H71</f>
        <v>0</v>
      </c>
      <c r="D501" s="238"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v>0</v>
      </c>
      <c r="C502" s="238">
        <f>I71</f>
        <v>0</v>
      </c>
      <c r="D502" s="238"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v>0</v>
      </c>
      <c r="C503" s="238">
        <f>J71</f>
        <v>0</v>
      </c>
      <c r="D503" s="238">
        <v>818</v>
      </c>
      <c r="E503" s="180">
        <f>J59</f>
        <v>833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v>0</v>
      </c>
      <c r="C504" s="238">
        <f>K71</f>
        <v>0</v>
      </c>
      <c r="D504" s="238"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v>0</v>
      </c>
      <c r="C505" s="238">
        <f>L71</f>
        <v>0</v>
      </c>
      <c r="D505" s="238">
        <v>118</v>
      </c>
      <c r="E505" s="180">
        <f>L59</f>
        <v>119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v>0</v>
      </c>
      <c r="C506" s="238">
        <f>M71</f>
        <v>0</v>
      </c>
      <c r="D506" s="238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v>0</v>
      </c>
      <c r="C507" s="238">
        <f>N71</f>
        <v>0</v>
      </c>
      <c r="D507" s="238"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v>2709157</v>
      </c>
      <c r="C508" s="238">
        <f>O71</f>
        <v>2647347</v>
      </c>
      <c r="D508" s="238">
        <v>434</v>
      </c>
      <c r="E508" s="180">
        <f>O59</f>
        <v>429</v>
      </c>
      <c r="F508" s="261">
        <f t="shared" si="15"/>
        <v>6242.2972350230411</v>
      </c>
      <c r="G508" s="261">
        <f t="shared" si="15"/>
        <v>6170.9720279720277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v>6409945</v>
      </c>
      <c r="C509" s="238">
        <f>P71</f>
        <v>6500134</v>
      </c>
      <c r="D509" s="238">
        <v>208263</v>
      </c>
      <c r="E509" s="180">
        <f>P59</f>
        <v>213657</v>
      </c>
      <c r="F509" s="261">
        <f t="shared" si="15"/>
        <v>30.778126695572425</v>
      </c>
      <c r="G509" s="261">
        <f t="shared" si="15"/>
        <v>30.423220395306497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v>18874</v>
      </c>
      <c r="C510" s="238">
        <f>Q71</f>
        <v>20230</v>
      </c>
      <c r="D510" s="238">
        <v>111368</v>
      </c>
      <c r="E510" s="180">
        <f>Q59</f>
        <v>110824</v>
      </c>
      <c r="F510" s="261">
        <f t="shared" si="15"/>
        <v>0.16947417570576825</v>
      </c>
      <c r="G510" s="261">
        <f t="shared" si="15"/>
        <v>0.18254168772107124</v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v>112737</v>
      </c>
      <c r="C511" s="238">
        <f>R71</f>
        <v>465305</v>
      </c>
      <c r="D511" s="238">
        <v>153900</v>
      </c>
      <c r="E511" s="180">
        <f>R59</f>
        <v>157140</v>
      </c>
      <c r="F511" s="261">
        <f t="shared" si="15"/>
        <v>0.73253411306042882</v>
      </c>
      <c r="G511" s="261">
        <f t="shared" si="15"/>
        <v>2.961085656102838</v>
      </c>
      <c r="H511" s="263">
        <f t="shared" si="16"/>
        <v>3.0422495052576064</v>
      </c>
      <c r="I511" s="265" t="s">
        <v>1278</v>
      </c>
      <c r="K511" s="259"/>
      <c r="L511" s="259"/>
    </row>
    <row r="512" spans="1:12" ht="12.6" customHeight="1" x14ac:dyDescent="0.25">
      <c r="A512" s="180" t="s">
        <v>528</v>
      </c>
      <c r="B512" s="238">
        <v>4495416</v>
      </c>
      <c r="C512" s="238">
        <f>S71</f>
        <v>4680684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v>2238679</v>
      </c>
      <c r="C514" s="238">
        <f>U71</f>
        <v>2516053</v>
      </c>
      <c r="D514" s="238">
        <v>96636</v>
      </c>
      <c r="E514" s="180">
        <f>U59</f>
        <v>99570</v>
      </c>
      <c r="F514" s="261">
        <f t="shared" si="17"/>
        <v>23.166097520592739</v>
      </c>
      <c r="G514" s="261">
        <f t="shared" si="17"/>
        <v>25.269187506276992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v>8556</v>
      </c>
      <c r="C515" s="238">
        <f>V71</f>
        <v>7964</v>
      </c>
      <c r="D515" s="238">
        <v>3361</v>
      </c>
      <c r="E515" s="180">
        <f>V59</f>
        <v>3772</v>
      </c>
      <c r="F515" s="261">
        <f t="shared" si="17"/>
        <v>2.5456709312704553</v>
      </c>
      <c r="G515" s="261">
        <f t="shared" si="17"/>
        <v>2.1113467656415694</v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v>921604</v>
      </c>
      <c r="C516" s="238">
        <f>W71</f>
        <v>716077</v>
      </c>
      <c r="D516" s="238">
        <v>2627</v>
      </c>
      <c r="E516" s="180">
        <f>W59</f>
        <v>2677</v>
      </c>
      <c r="F516" s="261">
        <f t="shared" si="17"/>
        <v>350.81994670727067</v>
      </c>
      <c r="G516" s="261">
        <f t="shared" si="17"/>
        <v>267.49234217407547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v>406926</v>
      </c>
      <c r="C517" s="238">
        <f>X71</f>
        <v>345909</v>
      </c>
      <c r="D517" s="238">
        <v>4233</v>
      </c>
      <c r="E517" s="180">
        <f>X59</f>
        <v>4574</v>
      </c>
      <c r="F517" s="261">
        <f t="shared" si="17"/>
        <v>96.131821403260105</v>
      </c>
      <c r="G517" s="261">
        <f t="shared" si="17"/>
        <v>75.62505465675558</v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v>2606387</v>
      </c>
      <c r="C518" s="238">
        <f>Y71</f>
        <v>2632466</v>
      </c>
      <c r="D518" s="238">
        <v>22684</v>
      </c>
      <c r="E518" s="180">
        <f>Y59</f>
        <v>24611</v>
      </c>
      <c r="F518" s="261">
        <f t="shared" si="17"/>
        <v>114.89979721389525</v>
      </c>
      <c r="G518" s="261">
        <f t="shared" si="17"/>
        <v>106.96298403153061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v>0</v>
      </c>
      <c r="C519" s="238">
        <f>Z71</f>
        <v>0</v>
      </c>
      <c r="D519" s="238"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v>579272</v>
      </c>
      <c r="C520" s="238">
        <f>AA71</f>
        <v>552224</v>
      </c>
      <c r="D520" s="238">
        <v>676</v>
      </c>
      <c r="E520" s="180">
        <f>AA59</f>
        <v>790</v>
      </c>
      <c r="F520" s="261">
        <f t="shared" si="17"/>
        <v>856.91124260355025</v>
      </c>
      <c r="G520" s="261">
        <f t="shared" si="17"/>
        <v>699.01772151898729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v>4618893</v>
      </c>
      <c r="C521" s="238">
        <f>AB71</f>
        <v>4018205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v>1127919</v>
      </c>
      <c r="C522" s="238">
        <f>AC71</f>
        <v>1126997</v>
      </c>
      <c r="D522" s="238">
        <v>23695</v>
      </c>
      <c r="E522" s="180">
        <f>AC59</f>
        <v>21269</v>
      </c>
      <c r="F522" s="261">
        <f t="shared" si="17"/>
        <v>47.60156151086727</v>
      </c>
      <c r="G522" s="261">
        <f t="shared" si="17"/>
        <v>52.987775635902018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v>0</v>
      </c>
      <c r="C523" s="238">
        <f>AD71</f>
        <v>0</v>
      </c>
      <c r="D523" s="238"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v>3513774</v>
      </c>
      <c r="C524" s="238">
        <f>AE71</f>
        <v>3788103</v>
      </c>
      <c r="D524" s="238">
        <v>36305</v>
      </c>
      <c r="E524" s="180">
        <f>AE59</f>
        <v>37359</v>
      </c>
      <c r="F524" s="261">
        <f t="shared" si="17"/>
        <v>96.784850571546613</v>
      </c>
      <c r="G524" s="261">
        <f t="shared" si="17"/>
        <v>101.39733397574882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v>0</v>
      </c>
      <c r="C525" s="238">
        <f>AF71</f>
        <v>0</v>
      </c>
      <c r="D525" s="238"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v>5379876</v>
      </c>
      <c r="C526" s="238">
        <f>AG71</f>
        <v>5841940</v>
      </c>
      <c r="D526" s="238">
        <v>12028</v>
      </c>
      <c r="E526" s="180">
        <f>AG59</f>
        <v>12188</v>
      </c>
      <c r="F526" s="261">
        <f t="shared" si="17"/>
        <v>447.27934818756233</v>
      </c>
      <c r="G526" s="261">
        <f t="shared" si="17"/>
        <v>479.31900229734163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v>0</v>
      </c>
      <c r="C527" s="238">
        <f>AH71</f>
        <v>0</v>
      </c>
      <c r="D527" s="238"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v>0</v>
      </c>
      <c r="C528" s="238">
        <f>AI71</f>
        <v>0</v>
      </c>
      <c r="D528" s="238">
        <v>0</v>
      </c>
      <c r="E528" s="180">
        <f>AI59</f>
        <v>0</v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v>72362</v>
      </c>
      <c r="C529" s="238">
        <f>AJ71</f>
        <v>87033</v>
      </c>
      <c r="D529" s="238">
        <v>671</v>
      </c>
      <c r="E529" s="180">
        <f>AJ59</f>
        <v>231</v>
      </c>
      <c r="F529" s="261">
        <f t="shared" si="18"/>
        <v>107.84202682563338</v>
      </c>
      <c r="G529" s="261">
        <f t="shared" si="18"/>
        <v>376.76623376623377</v>
      </c>
      <c r="H529" s="263">
        <f t="shared" si="16"/>
        <v>2.4936865047558507</v>
      </c>
      <c r="I529" s="265" t="s">
        <v>1279</v>
      </c>
      <c r="K529" s="259"/>
      <c r="L529" s="259"/>
    </row>
    <row r="530" spans="1:12" ht="12.6" customHeight="1" x14ac:dyDescent="0.25">
      <c r="A530" s="180" t="s">
        <v>546</v>
      </c>
      <c r="B530" s="238">
        <v>0</v>
      </c>
      <c r="C530" s="238">
        <f>AK71</f>
        <v>0</v>
      </c>
      <c r="D530" s="238"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v>0</v>
      </c>
      <c r="C531" s="238">
        <f>AL71</f>
        <v>0</v>
      </c>
      <c r="D531" s="238"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v>0</v>
      </c>
      <c r="C532" s="238">
        <f>AM71</f>
        <v>0</v>
      </c>
      <c r="D532" s="238"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v>0</v>
      </c>
      <c r="C533" s="238">
        <f>AN71</f>
        <v>0</v>
      </c>
      <c r="D533" s="238"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v>0</v>
      </c>
      <c r="C534" s="238">
        <f>AO71</f>
        <v>0</v>
      </c>
      <c r="D534" s="238"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v>0</v>
      </c>
      <c r="C535" s="238">
        <f>AP71</f>
        <v>0</v>
      </c>
      <c r="D535" s="238"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v>0</v>
      </c>
      <c r="C536" s="238">
        <f>AQ71</f>
        <v>0</v>
      </c>
      <c r="D536" s="238"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v>0</v>
      </c>
      <c r="C537" s="238">
        <f>AR71</f>
        <v>0</v>
      </c>
      <c r="D537" s="238"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v>0</v>
      </c>
      <c r="C538" s="238">
        <f>AS71</f>
        <v>0</v>
      </c>
      <c r="D538" s="238"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v>0</v>
      </c>
      <c r="C539" s="238">
        <f>AT71</f>
        <v>0</v>
      </c>
      <c r="D539" s="238"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v>0</v>
      </c>
      <c r="C540" s="238">
        <f>AU71</f>
        <v>0</v>
      </c>
      <c r="D540" s="238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v>107872</v>
      </c>
      <c r="C541" s="238">
        <f>AV71</f>
        <v>275596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v>1405319</v>
      </c>
      <c r="C544" s="238">
        <f>AY71</f>
        <v>1567971</v>
      </c>
      <c r="D544" s="238">
        <v>18859</v>
      </c>
      <c r="E544" s="180">
        <f>AY59</f>
        <v>19786</v>
      </c>
      <c r="F544" s="261">
        <f t="shared" ref="F544:G550" si="19">IF(B544=0,"",IF(D544=0,"",B544/D544))</f>
        <v>74.517153613659261</v>
      </c>
      <c r="G544" s="261">
        <f t="shared" si="19"/>
        <v>79.246487415344177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v>-478149</v>
      </c>
      <c r="C545" s="238">
        <f>AZ71</f>
        <v>-506040</v>
      </c>
      <c r="D545" s="238">
        <v>94585</v>
      </c>
      <c r="E545" s="180">
        <f>AZ59</f>
        <v>111832</v>
      </c>
      <c r="F545" s="261">
        <f t="shared" si="19"/>
        <v>-5.0552307448326905</v>
      </c>
      <c r="G545" s="261">
        <f t="shared" si="19"/>
        <v>-4.5250017883968807</v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v>268733</v>
      </c>
      <c r="C546" s="238">
        <f>BA71</f>
        <v>271595</v>
      </c>
      <c r="D546" s="238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v>504774</v>
      </c>
      <c r="C547" s="238">
        <f>BB71</f>
        <v>538192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v>552064</v>
      </c>
      <c r="C549" s="238">
        <f>BD71</f>
        <v>613939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v>1607721</v>
      </c>
      <c r="C550" s="238">
        <f>BE71</f>
        <v>1737829</v>
      </c>
      <c r="D550" s="238">
        <v>110387</v>
      </c>
      <c r="E550" s="180">
        <f>BE59</f>
        <v>110387</v>
      </c>
      <c r="F550" s="261">
        <f t="shared" si="19"/>
        <v>14.56440522887659</v>
      </c>
      <c r="G550" s="261">
        <f t="shared" si="19"/>
        <v>15.74305851232482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v>647562</v>
      </c>
      <c r="C551" s="238">
        <f>BF71</f>
        <v>664855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v>1567610</v>
      </c>
      <c r="C553" s="238">
        <f>BH71</f>
        <v>1709882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v>833224</v>
      </c>
      <c r="C554" s="238">
        <f>BI71</f>
        <v>791143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v>0</v>
      </c>
      <c r="C555" s="238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v>1298875</v>
      </c>
      <c r="C556" s="238">
        <f>BK71</f>
        <v>1339638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v>813649</v>
      </c>
      <c r="C557" s="238">
        <f>BL71</f>
        <v>665897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v>68620</v>
      </c>
      <c r="C558" s="238">
        <f>BM71</f>
        <v>-30381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v>1443412</v>
      </c>
      <c r="C559" s="238">
        <f>BN71</f>
        <v>1686047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v>126814</v>
      </c>
      <c r="C560" s="238">
        <f>BO71</f>
        <v>138509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v>729931</v>
      </c>
      <c r="C561" s="238">
        <f>BP71</f>
        <v>780630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v>712481</v>
      </c>
      <c r="C563" s="238">
        <f>BR71</f>
        <v>774740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v>0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v>617274</v>
      </c>
      <c r="C567" s="238">
        <f>BV71</f>
        <v>638100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v>1395927</v>
      </c>
      <c r="C568" s="238">
        <f>BW71</f>
        <v>1581519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v>475585</v>
      </c>
      <c r="C569" s="238">
        <f>BX71</f>
        <v>681595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v>1000343</v>
      </c>
      <c r="C570" s="238">
        <f>BY71</f>
        <v>1028297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v>477341</v>
      </c>
      <c r="C574" s="238">
        <f>CC71</f>
        <v>507511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v>1193230</v>
      </c>
      <c r="C575" s="238">
        <f>CD71</f>
        <v>1271167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97236</v>
      </c>
      <c r="E612" s="180">
        <f>SUM(C624:D647)+SUM(C668:D713)</f>
        <v>56344466.127442524</v>
      </c>
      <c r="F612" s="180">
        <f>CE64-(AX64+BD64+BE64+BG64+BJ64+BN64+BP64+BQ64+CB64+CC64+CD64)</f>
        <v>11458215</v>
      </c>
      <c r="G612" s="180">
        <f>CE77-(AX77+AY77+BD77+BE77+BG77+BJ77+BN77+BP77+BQ77+CB77+CC77+CD77)</f>
        <v>19786</v>
      </c>
      <c r="H612" s="197">
        <f>CE60-(AX60+AY60+AZ60+BD60+BE60+BG60+BJ60+BN60+BO60+BP60+BQ60+BR60+CB60+CC60+CD60)</f>
        <v>315.06</v>
      </c>
      <c r="I612" s="180">
        <f>CE78-(AX78+AY78+AZ78+BD78+BE78+BF78+BG78+BJ78+BN78+BO78+BP78+BQ78+BR78+CB78+CC78+CD78)</f>
        <v>15746</v>
      </c>
      <c r="J612" s="180">
        <f>CE79-(AX79+AY79+AZ79+BA79+BD79+BE79+BF79+BG79+BJ79+BN79+BO79+BP79+BQ79+BR79+CB79+CC79+CD79)</f>
        <v>292174</v>
      </c>
      <c r="K612" s="180">
        <f>CE75-(AW75+AX75+AY75+AZ75+BA75+BB75+BC75+BD75+BE75+BF75+BG75+BH75+BI75+BJ75+BK75+BL75+BM75+BN75+BO75+BP75+BQ75+BR75+BS75+BT75+BU75+BV75+BW75+BX75+CB75+CC75+CD75)</f>
        <v>114883526</v>
      </c>
      <c r="L612" s="197">
        <f>CE80-(AW80+AX80+AY80+AZ80+BA80+BB80+BC80+BD80+BE80+BF80+BG80+BH80+BI80+BJ80+BK80+BL80+BM80+BN80+BO80+BP80+BQ80+BR80+BS80+BT80+BU80+BV80+BW80+BX80+BY80+BZ80+CA80+CB80+CC80+CD80)</f>
        <v>80.258875000000003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1737829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1271167</v>
      </c>
      <c r="D615" s="264">
        <f>SUM(C614:C615)</f>
        <v>3008996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1686047</v>
      </c>
      <c r="D619" s="180">
        <f>(D615/D612)*BN76</f>
        <v>110319.95084125221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507511</v>
      </c>
      <c r="D620" s="180">
        <f>(D615/D612)*CC76</f>
        <v>626703.96758402244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780630</v>
      </c>
      <c r="D621" s="180">
        <f>(D615/D612)*BP76</f>
        <v>8509.9541322144069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3719721.8725574887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613939</v>
      </c>
      <c r="D624" s="180">
        <f>(D615/D612)*BD76</f>
        <v>87234.766177136044</v>
      </c>
      <c r="E624" s="180">
        <f>(E623/E612)*SUM(C624:D624)</f>
        <v>46289.7525484281</v>
      </c>
      <c r="F624" s="180">
        <f>SUM(C624:E624)</f>
        <v>747463.51872556412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1567971</v>
      </c>
      <c r="D625" s="180">
        <f>(D615/D612)*AY76</f>
        <v>147485.24143321405</v>
      </c>
      <c r="E625" s="180">
        <f>(E623/E612)*SUM(C625:D625)</f>
        <v>113250.16530002253</v>
      </c>
      <c r="F625" s="180">
        <f>(F624/F612)*AY64</f>
        <v>31250.407988724157</v>
      </c>
      <c r="G625" s="180">
        <f>SUM(C625:F625)</f>
        <v>1859956.8147219606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774740</v>
      </c>
      <c r="D626" s="180">
        <f>(D615/D612)*BR76</f>
        <v>8509.9541322144069</v>
      </c>
      <c r="E626" s="180">
        <f>(E623/E612)*SUM(C626:D626)</f>
        <v>51708.218859957284</v>
      </c>
      <c r="F626" s="180">
        <f>(F624/F612)*BR64</f>
        <v>970.48403857670826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138509</v>
      </c>
      <c r="D627" s="180">
        <f>(D615/D612)*BO76</f>
        <v>0</v>
      </c>
      <c r="E627" s="180">
        <f>(E623/E612)*SUM(C627:D627)</f>
        <v>9144.0205623872298</v>
      </c>
      <c r="F627" s="180">
        <f>(F624/F612)*BO64</f>
        <v>291.98672828321207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-506040</v>
      </c>
      <c r="D628" s="180">
        <f>(D615/D612)*AZ76</f>
        <v>0</v>
      </c>
      <c r="E628" s="180">
        <f>(E623/E612)*SUM(C628:D628)</f>
        <v>-33407.505399580055</v>
      </c>
      <c r="F628" s="180">
        <f>(F624/F612)*AZ64</f>
        <v>0</v>
      </c>
      <c r="G628" s="180">
        <f>(G625/G612)*AZ77</f>
        <v>0</v>
      </c>
      <c r="H628" s="180">
        <f>SUM(C626:G628)</f>
        <v>444426.1589218388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664855</v>
      </c>
      <c r="D629" s="180">
        <f>(D615/D612)*BF76</f>
        <v>11604.4829075651</v>
      </c>
      <c r="E629" s="180">
        <f>(E623/E612)*SUM(C629:D629)</f>
        <v>44658.176878965329</v>
      </c>
      <c r="F629" s="180">
        <f>(F624/F612)*BF64</f>
        <v>3410.6867965950537</v>
      </c>
      <c r="G629" s="180">
        <f>(G625/G612)*BF77</f>
        <v>0</v>
      </c>
      <c r="H629" s="180">
        <f>(H628/H612)*BF60</f>
        <v>18041.676419127525</v>
      </c>
      <c r="I629" s="180">
        <f>SUM(C629:H629)</f>
        <v>742570.02300225303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271595</v>
      </c>
      <c r="D630" s="180">
        <f>(D615/D612)*BA76</f>
        <v>40043.202353037967</v>
      </c>
      <c r="E630" s="180">
        <f>(E623/E612)*SUM(C630:D630)</f>
        <v>20573.580997202866</v>
      </c>
      <c r="F630" s="180">
        <f>(F624/F612)*BA64</f>
        <v>0.52187082803076335</v>
      </c>
      <c r="G630" s="180">
        <f>(G625/G612)*BA77</f>
        <v>0</v>
      </c>
      <c r="H630" s="180">
        <f>(H628/H612)*BA60</f>
        <v>733.51616403020432</v>
      </c>
      <c r="I630" s="180">
        <f>(I629/I612)*BA78</f>
        <v>14713.69536242239</v>
      </c>
      <c r="J630" s="180">
        <f>SUM(C630:I630)</f>
        <v>347659.51674752141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538192</v>
      </c>
      <c r="D632" s="180">
        <f>(D615/D612)*BB76</f>
        <v>4641.79316302604</v>
      </c>
      <c r="E632" s="180">
        <f>(E623/E612)*SUM(C632:D632)</f>
        <v>35836.540344969399</v>
      </c>
      <c r="F632" s="180">
        <f>(F624/F612)*BB64</f>
        <v>137.57819703960999</v>
      </c>
      <c r="G632" s="180">
        <f>(G625/G612)*BB77</f>
        <v>0</v>
      </c>
      <c r="H632" s="180">
        <f>(H628/H612)*BB60</f>
        <v>8872.7243687499722</v>
      </c>
      <c r="I632" s="180">
        <f>(I629/I612)*BB78</f>
        <v>1697.7340802795065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791143</v>
      </c>
      <c r="D634" s="180">
        <f>(D615/D612)*BI76</f>
        <v>0</v>
      </c>
      <c r="E634" s="180">
        <f>(E623/E612)*SUM(C634:D634)</f>
        <v>52229.298166824687</v>
      </c>
      <c r="F634" s="180">
        <f>(F624/F612)*BI64</f>
        <v>374.05091599104964</v>
      </c>
      <c r="G634" s="180">
        <f>(G625/G612)*BI77</f>
        <v>0</v>
      </c>
      <c r="H634" s="180">
        <f>(H628/H612)*BI60</f>
        <v>5656.5381110790759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1339638</v>
      </c>
      <c r="D635" s="180">
        <f>(D615/D612)*BK76</f>
        <v>0</v>
      </c>
      <c r="E635" s="180">
        <f>(E623/E612)*SUM(C635:D635)</f>
        <v>88439.577342665856</v>
      </c>
      <c r="F635" s="180">
        <f>(F624/F612)*BK64</f>
        <v>1665.8116830741967</v>
      </c>
      <c r="G635" s="180">
        <f>(G625/G612)*BK77</f>
        <v>0</v>
      </c>
      <c r="H635" s="180">
        <f>(H628/H612)*BK60</f>
        <v>16066.825208276976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1709882</v>
      </c>
      <c r="D636" s="180">
        <f>(D615/D612)*BH76</f>
        <v>57774.852235797443</v>
      </c>
      <c r="E636" s="180">
        <f>(E623/E612)*SUM(C636:D636)</f>
        <v>116696.32012424331</v>
      </c>
      <c r="F636" s="180">
        <f>(F624/F612)*BH64</f>
        <v>571.31808898667816</v>
      </c>
      <c r="G636" s="180">
        <f>(G625/G612)*BH77</f>
        <v>0</v>
      </c>
      <c r="H636" s="180">
        <f>(H628/H612)*BH60</f>
        <v>8209.7386051072863</v>
      </c>
      <c r="I636" s="180">
        <f>(I629/I612)*BH78</f>
        <v>12544.368482065242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665897</v>
      </c>
      <c r="D637" s="180">
        <f>(D615/D612)*BL76</f>
        <v>26798.619194537005</v>
      </c>
      <c r="E637" s="180">
        <f>(E623/E612)*SUM(C637:D637)</f>
        <v>45730.046317498513</v>
      </c>
      <c r="F637" s="180">
        <f>(F624/F612)*BL64</f>
        <v>682.67227691774235</v>
      </c>
      <c r="G637" s="180">
        <f>(G625/G612)*BL77</f>
        <v>0</v>
      </c>
      <c r="H637" s="180">
        <f>(H628/H612)*BL60</f>
        <v>17731.34265742244</v>
      </c>
      <c r="I637" s="180">
        <f>(I629/I612)*BL78</f>
        <v>9856.2895216226898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-30381</v>
      </c>
      <c r="D638" s="180">
        <f>(D615/D612)*BM76</f>
        <v>8509.9541322144069</v>
      </c>
      <c r="E638" s="180">
        <f>(E623/E612)*SUM(C638:D638)</f>
        <v>-1443.8721897923292</v>
      </c>
      <c r="F638" s="180">
        <f>(F624/F612)*BM64</f>
        <v>440.9156158324912</v>
      </c>
      <c r="G638" s="180">
        <f>(G625/G612)*BM77</f>
        <v>0</v>
      </c>
      <c r="H638" s="180">
        <f>(H628/H612)*BM60</f>
        <v>4443.4152244137376</v>
      </c>
      <c r="I638" s="180">
        <f>(I629/I612)*BM78</f>
        <v>3112.5124805124283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638100</v>
      </c>
      <c r="D642" s="180">
        <f>(D615/D612)*BV76</f>
        <v>41868.974330494879</v>
      </c>
      <c r="E642" s="180">
        <f>(E623/E612)*SUM(C642:D642)</f>
        <v>44889.864796247173</v>
      </c>
      <c r="F642" s="180">
        <f>(F624/F612)*BV64</f>
        <v>275.02592637221227</v>
      </c>
      <c r="G642" s="180">
        <f>(G625/G612)*BV77</f>
        <v>0</v>
      </c>
      <c r="H642" s="180">
        <f>(H628/H612)*BV60</f>
        <v>7038.9339586744609</v>
      </c>
      <c r="I642" s="180">
        <f>(I629/I612)*BV78</f>
        <v>15373.925282531087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1581519</v>
      </c>
      <c r="D643" s="180">
        <f>(D615/D612)*BW76</f>
        <v>4641.79316302604</v>
      </c>
      <c r="E643" s="180">
        <f>(E623/E612)*SUM(C643:D643)</f>
        <v>104714.40056555999</v>
      </c>
      <c r="F643" s="180">
        <f>(F624/F612)*BW64</f>
        <v>1215.5676261906556</v>
      </c>
      <c r="G643" s="180">
        <f>(G625/G612)*BW77</f>
        <v>0</v>
      </c>
      <c r="H643" s="180">
        <f>(H628/H612)*BW60</f>
        <v>3865.0659412360769</v>
      </c>
      <c r="I643" s="180">
        <f>(I629/I612)*BW78</f>
        <v>1697.7340802795065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681595</v>
      </c>
      <c r="D644" s="180">
        <f>(D615/D612)*BX76</f>
        <v>4641.79316302604</v>
      </c>
      <c r="E644" s="180">
        <f>(E623/E612)*SUM(C644:D644)</f>
        <v>45303.65064616294</v>
      </c>
      <c r="F644" s="180">
        <f>(F624/F612)*BX64</f>
        <v>271.56853213650845</v>
      </c>
      <c r="G644" s="180">
        <f>(G625/G612)*BX77</f>
        <v>0</v>
      </c>
      <c r="H644" s="180">
        <f>(H628/H612)*BX60</f>
        <v>6742.7062770468783</v>
      </c>
      <c r="I644" s="180">
        <f>(I629/I612)*BX78</f>
        <v>1697.7340802795065</v>
      </c>
      <c r="J644" s="180">
        <f>(J630/J612)*BX79</f>
        <v>0</v>
      </c>
      <c r="K644" s="180">
        <f>SUM(C631:J644)</f>
        <v>8727100.7027186193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1028297</v>
      </c>
      <c r="D645" s="180">
        <f>(D615/D612)*BY76</f>
        <v>4641.79316302604</v>
      </c>
      <c r="E645" s="180">
        <f>(E623/E612)*SUM(C645:D645)</f>
        <v>68192.056576613511</v>
      </c>
      <c r="F645" s="180">
        <f>(F624/F612)*BY64</f>
        <v>165.43305248575197</v>
      </c>
      <c r="G645" s="180">
        <f>(G625/G612)*BY77</f>
        <v>0</v>
      </c>
      <c r="H645" s="180">
        <f>(H628/H612)*BY60</f>
        <v>9380.5432515401135</v>
      </c>
      <c r="I645" s="180">
        <f>(I629/I612)*BY78</f>
        <v>1697.7340802795065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1112374.5601239449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18452635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1514994</v>
      </c>
      <c r="D668" s="180">
        <f>(D615/D612)*C76</f>
        <v>55825.299107326508</v>
      </c>
      <c r="E668" s="180">
        <f>(E623/E612)*SUM(C668:D668)</f>
        <v>103701.59318767798</v>
      </c>
      <c r="F668" s="180">
        <f>(F624/F612)*C64</f>
        <v>3115.6340771971609</v>
      </c>
      <c r="G668" s="180">
        <f>(G625/G612)*C77</f>
        <v>310964.17381483095</v>
      </c>
      <c r="H668" s="180">
        <f>(H628/H612)*C60</f>
        <v>19381.754026490398</v>
      </c>
      <c r="I668" s="180">
        <f>(I629/I612)*C78</f>
        <v>37633.105446195725</v>
      </c>
      <c r="J668" s="180">
        <f>(J630/J612)*C79</f>
        <v>12991.390759785056</v>
      </c>
      <c r="K668" s="180">
        <f>(K644/K612)*C75</f>
        <v>118083.28578929194</v>
      </c>
      <c r="L668" s="180">
        <f>(L647/L612)*C80</f>
        <v>136240.8203071132</v>
      </c>
      <c r="M668" s="180">
        <f t="shared" ref="M668:M713" si="20">ROUND(SUM(D668:L668),0)</f>
        <v>797937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3874292</v>
      </c>
      <c r="D670" s="180">
        <f>(D615/D612)*E76</f>
        <v>300571.57994981285</v>
      </c>
      <c r="E670" s="180">
        <f>(E623/E612)*SUM(C670:D670)</f>
        <v>275614.13641151588</v>
      </c>
      <c r="F670" s="180">
        <f>(F624/F612)*E64</f>
        <v>6367.345972803344</v>
      </c>
      <c r="G670" s="180">
        <f>(G625/G612)*E77</f>
        <v>1202213.0649691273</v>
      </c>
      <c r="H670" s="180">
        <f>(H628/H612)*E60</f>
        <v>40498.555902513785</v>
      </c>
      <c r="I670" s="180">
        <f>(I629/I612)*E78</f>
        <v>150532.4217847829</v>
      </c>
      <c r="J670" s="180">
        <f>(J630/J612)*E79</f>
        <v>64959.333610385213</v>
      </c>
      <c r="K670" s="180">
        <f>(K644/K612)*E75</f>
        <v>432786.26338667923</v>
      </c>
      <c r="L670" s="180">
        <f>(L647/L612)*E80</f>
        <v>177544.45368425277</v>
      </c>
      <c r="M670" s="180">
        <f t="shared" si="20"/>
        <v>2651087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25983.971425300078</v>
      </c>
      <c r="K675" s="180">
        <f>(K644/K612)*J75</f>
        <v>36737.018869345469</v>
      </c>
      <c r="L675" s="180">
        <f>(L647/L612)*J80</f>
        <v>0</v>
      </c>
      <c r="M675" s="180">
        <f t="shared" si="20"/>
        <v>62721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10317.611112875709</v>
      </c>
      <c r="L677" s="180">
        <f>(L647/L612)*L80</f>
        <v>0</v>
      </c>
      <c r="M677" s="180">
        <f t="shared" si="20"/>
        <v>10318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2647347</v>
      </c>
      <c r="D680" s="180">
        <f>(D615/D612)*O76</f>
        <v>256257.92788679092</v>
      </c>
      <c r="E680" s="180">
        <f>(E623/E612)*SUM(C680:D680)</f>
        <v>191688.79398194852</v>
      </c>
      <c r="F680" s="180">
        <f>(F624/F612)*O64</f>
        <v>7193.2717920155301</v>
      </c>
      <c r="G680" s="180">
        <f>(G625/G612)*O77</f>
        <v>0</v>
      </c>
      <c r="H680" s="180">
        <f>(H628/H612)*O60</f>
        <v>32429.878098181533</v>
      </c>
      <c r="I680" s="180">
        <f>(I629/I612)*O78</f>
        <v>112899.31633858717</v>
      </c>
      <c r="J680" s="180">
        <f>(J630/J612)*O79</f>
        <v>42223.804827896383</v>
      </c>
      <c r="K680" s="180">
        <f>(K644/K612)*O75</f>
        <v>193470.57224128119</v>
      </c>
      <c r="L680" s="180">
        <f>(L647/L612)*O80</f>
        <v>232169.11852488006</v>
      </c>
      <c r="M680" s="180">
        <f t="shared" si="20"/>
        <v>1068333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6500134</v>
      </c>
      <c r="D681" s="180">
        <f>(D615/D612)*P76</f>
        <v>343894.98280472256</v>
      </c>
      <c r="E681" s="180">
        <f>(E623/E612)*SUM(C681:D681)</f>
        <v>451825.81455602555</v>
      </c>
      <c r="F681" s="180">
        <f>(F624/F612)*P64</f>
        <v>74845.605180662518</v>
      </c>
      <c r="G681" s="180">
        <f>(G625/G612)*P77</f>
        <v>246289.64189687339</v>
      </c>
      <c r="H681" s="180">
        <f>(H628/H612)*P60</f>
        <v>65776.651401400813</v>
      </c>
      <c r="I681" s="180">
        <f>(I629/I612)*P78</f>
        <v>0</v>
      </c>
      <c r="J681" s="180">
        <f>(J630/J612)*P79</f>
        <v>48719.500207788908</v>
      </c>
      <c r="K681" s="180">
        <f>(K644/K612)*P75</f>
        <v>1045629.9994630205</v>
      </c>
      <c r="L681" s="180">
        <f>(L647/L612)*P80</f>
        <v>347712.01154700329</v>
      </c>
      <c r="M681" s="180">
        <f t="shared" si="20"/>
        <v>2624694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20230</v>
      </c>
      <c r="D682" s="180">
        <f>(D615/D612)*Q76</f>
        <v>0</v>
      </c>
      <c r="E682" s="180">
        <f>(E623/E612)*SUM(C682:D682)</f>
        <v>1335.534412760858</v>
      </c>
      <c r="F682" s="180">
        <f>(F624/F612)*Q64</f>
        <v>1200.2376706172518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93722.143493269163</v>
      </c>
      <c r="L682" s="180">
        <f>(L647/L612)*Q80</f>
        <v>0</v>
      </c>
      <c r="M682" s="180">
        <f t="shared" si="20"/>
        <v>96258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465305</v>
      </c>
      <c r="D683" s="180">
        <f>(D615/D612)*R76</f>
        <v>0</v>
      </c>
      <c r="E683" s="180">
        <f>(E623/E612)*SUM(C683:D683)</f>
        <v>30718.281756287248</v>
      </c>
      <c r="F683" s="180">
        <f>(F624/F612)*R64</f>
        <v>7549.2529305860153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257144.39491991443</v>
      </c>
      <c r="L683" s="180">
        <f>(L647/L612)*R80</f>
        <v>0</v>
      </c>
      <c r="M683" s="180">
        <f t="shared" si="20"/>
        <v>295412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4680684</v>
      </c>
      <c r="D684" s="180">
        <f>(D615/D612)*S76</f>
        <v>44530.269077296478</v>
      </c>
      <c r="E684" s="180">
        <f>(E623/E612)*SUM(C684:D684)</f>
        <v>311946.92357989983</v>
      </c>
      <c r="F684" s="180">
        <f>(F624/F612)*S64</f>
        <v>294647.0952968059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1241016.4791845724</v>
      </c>
      <c r="L684" s="180">
        <f>(L647/L612)*S80</f>
        <v>0</v>
      </c>
      <c r="M684" s="180">
        <f t="shared" si="20"/>
        <v>1892141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2516053</v>
      </c>
      <c r="D686" s="180">
        <f>(D615/D612)*U76</f>
        <v>60652.763996873589</v>
      </c>
      <c r="E686" s="180">
        <f>(E623/E612)*SUM(C686:D686)</f>
        <v>170107.72216396849</v>
      </c>
      <c r="F686" s="180">
        <f>(F624/F612)*U64</f>
        <v>40312.564449771351</v>
      </c>
      <c r="G686" s="180">
        <f>(G625/G612)*U77</f>
        <v>0</v>
      </c>
      <c r="H686" s="180">
        <f>(H628/H612)*U60</f>
        <v>20891.104594783319</v>
      </c>
      <c r="I686" s="180">
        <f>(I629/I612)*U78</f>
        <v>37633.105446195725</v>
      </c>
      <c r="J686" s="180">
        <f>(J630/J612)*U79</f>
        <v>6495.6953798925279</v>
      </c>
      <c r="K686" s="180">
        <f>(K644/K612)*U75</f>
        <v>640005.31964194798</v>
      </c>
      <c r="L686" s="180">
        <f>(L647/L612)*U80</f>
        <v>0</v>
      </c>
      <c r="M686" s="180">
        <f t="shared" si="20"/>
        <v>976098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7964</v>
      </c>
      <c r="D687" s="180">
        <f>(D615/D612)*V76</f>
        <v>9562.0939158336423</v>
      </c>
      <c r="E687" s="180">
        <f>(E623/E612)*SUM(C687:D687)</f>
        <v>1157.0292410219736</v>
      </c>
      <c r="F687" s="180">
        <f>(F624/F612)*V64</f>
        <v>14.416681624349838</v>
      </c>
      <c r="G687" s="180">
        <f>(G625/G612)*V77</f>
        <v>0</v>
      </c>
      <c r="H687" s="180">
        <f>(H628/H612)*V60</f>
        <v>0</v>
      </c>
      <c r="I687" s="180">
        <f>(I629/I612)*V78</f>
        <v>3489.7867205745411</v>
      </c>
      <c r="J687" s="180">
        <f>(J630/J612)*V79</f>
        <v>0</v>
      </c>
      <c r="K687" s="180">
        <f>(K644/K612)*V75</f>
        <v>38728.283402089379</v>
      </c>
      <c r="L687" s="180">
        <f>(L647/L612)*V80</f>
        <v>0</v>
      </c>
      <c r="M687" s="180">
        <f t="shared" si="20"/>
        <v>52952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716077</v>
      </c>
      <c r="D688" s="180">
        <f>(D615/D612)*W76</f>
        <v>15596.425027767495</v>
      </c>
      <c r="E688" s="180">
        <f>(E623/E612)*SUM(C688:D688)</f>
        <v>48303.264361205394</v>
      </c>
      <c r="F688" s="180">
        <f>(F624/F612)*W64</f>
        <v>134.31650436441771</v>
      </c>
      <c r="G688" s="180">
        <f>(G625/G612)*W77</f>
        <v>0</v>
      </c>
      <c r="H688" s="180">
        <f>(H628/H612)*W60</f>
        <v>4626.7942654212884</v>
      </c>
      <c r="I688" s="180">
        <f>(I629/I612)*W78</f>
        <v>5706.2728809394521</v>
      </c>
      <c r="J688" s="180">
        <f>(J630/J612)*W79</f>
        <v>0</v>
      </c>
      <c r="K688" s="180">
        <f>(K644/K612)*W75</f>
        <v>455506.56663691293</v>
      </c>
      <c r="L688" s="180">
        <f>(L647/L612)*W80</f>
        <v>0</v>
      </c>
      <c r="M688" s="180">
        <f t="shared" si="20"/>
        <v>529874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345909</v>
      </c>
      <c r="D689" s="180">
        <f>(D615/D612)*X76</f>
        <v>16153.440207330619</v>
      </c>
      <c r="E689" s="180">
        <f>(E623/E612)*SUM(C689:D689)</f>
        <v>23902.464086261025</v>
      </c>
      <c r="F689" s="180">
        <f>(F624/F612)*X64</f>
        <v>1369.3238188992191</v>
      </c>
      <c r="G689" s="180">
        <f>(G625/G612)*X77</f>
        <v>0</v>
      </c>
      <c r="H689" s="180">
        <f>(H628/H612)*X60</f>
        <v>1354.1836874403773</v>
      </c>
      <c r="I689" s="180">
        <f>(I629/I612)*X78</f>
        <v>5942.0692809782722</v>
      </c>
      <c r="J689" s="180">
        <f>(J630/J612)*X79</f>
        <v>0</v>
      </c>
      <c r="K689" s="180">
        <f>(K644/K612)*X75</f>
        <v>612422.13159929821</v>
      </c>
      <c r="L689" s="180">
        <f>(L647/L612)*X80</f>
        <v>0</v>
      </c>
      <c r="M689" s="180">
        <f t="shared" si="20"/>
        <v>661144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2632466</v>
      </c>
      <c r="D690" s="180">
        <f>(D615/D612)*Y76</f>
        <v>140305.93467440043</v>
      </c>
      <c r="E690" s="180">
        <f>(E623/E612)*SUM(C690:D690)</f>
        <v>183051.52434479306</v>
      </c>
      <c r="F690" s="180">
        <f>(F624/F612)*Y64</f>
        <v>9646.8474900021647</v>
      </c>
      <c r="G690" s="180">
        <f>(G625/G612)*Y77</f>
        <v>0</v>
      </c>
      <c r="H690" s="180">
        <f>(H628/H612)*Y60</f>
        <v>27408.113590590136</v>
      </c>
      <c r="I690" s="180">
        <f>(I629/I612)*Y78</f>
        <v>62721.842410326208</v>
      </c>
      <c r="J690" s="180">
        <f>(J630/J612)*Y79</f>
        <v>22735.528782488833</v>
      </c>
      <c r="K690" s="180">
        <f>(K644/K612)*Y75</f>
        <v>653378.0819003582</v>
      </c>
      <c r="L690" s="180">
        <f>(L647/L612)*Y80</f>
        <v>0</v>
      </c>
      <c r="M690" s="180">
        <f t="shared" si="20"/>
        <v>1099248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552224</v>
      </c>
      <c r="D692" s="180">
        <f>(D615/D612)*AA76</f>
        <v>9438.312764819615</v>
      </c>
      <c r="E692" s="180">
        <f>(E623/E612)*SUM(C692:D692)</f>
        <v>37079.552498678626</v>
      </c>
      <c r="F692" s="180">
        <f>(F624/F612)*AA64</f>
        <v>8007.7816868645441</v>
      </c>
      <c r="G692" s="180">
        <f>(G625/G612)*AA77</f>
        <v>0</v>
      </c>
      <c r="H692" s="180">
        <f>(H628/H612)*AA60</f>
        <v>1988.9572909280539</v>
      </c>
      <c r="I692" s="180">
        <f>(I629/I612)*AA78</f>
        <v>3489.7867205745411</v>
      </c>
      <c r="J692" s="180">
        <f>(J630/J612)*AA79</f>
        <v>0</v>
      </c>
      <c r="K692" s="180">
        <f>(K644/K612)*AA75</f>
        <v>115133.80163971549</v>
      </c>
      <c r="L692" s="180">
        <f>(L647/L612)*AA80</f>
        <v>0</v>
      </c>
      <c r="M692" s="180">
        <f t="shared" si="20"/>
        <v>175138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4018205</v>
      </c>
      <c r="D693" s="180">
        <f>(D615/D612)*AB76</f>
        <v>24261.105598749433</v>
      </c>
      <c r="E693" s="180">
        <f>(E623/E612)*SUM(C693:D693)</f>
        <v>266873.58361080074</v>
      </c>
      <c r="F693" s="180">
        <f>(F624/F612)*AB64</f>
        <v>232914.14700895138</v>
      </c>
      <c r="G693" s="180">
        <f>(G625/G612)*AB77</f>
        <v>0</v>
      </c>
      <c r="H693" s="180">
        <f>(H628/H612)*AB60</f>
        <v>8125.1021246422633</v>
      </c>
      <c r="I693" s="180">
        <f>(I629/I612)*AB78</f>
        <v>8913.1039214674092</v>
      </c>
      <c r="J693" s="180">
        <f>(J630/J612)*AB79</f>
        <v>0</v>
      </c>
      <c r="K693" s="180">
        <f>(K644/K612)*AB75</f>
        <v>1218863.252947154</v>
      </c>
      <c r="L693" s="180">
        <f>(L647/L612)*AB80</f>
        <v>0</v>
      </c>
      <c r="M693" s="180">
        <f t="shared" si="20"/>
        <v>1759950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1126997</v>
      </c>
      <c r="D694" s="180">
        <f>(D615/D612)*AC76</f>
        <v>38279.320951088077</v>
      </c>
      <c r="E694" s="180">
        <f>(E623/E612)*SUM(C694:D694)</f>
        <v>76928.651853956719</v>
      </c>
      <c r="F694" s="180">
        <f>(F624/F612)*AC64</f>
        <v>2640.2097528611357</v>
      </c>
      <c r="G694" s="180">
        <f>(G625/G612)*AC77</f>
        <v>0</v>
      </c>
      <c r="H694" s="180">
        <f>(H628/H612)*AC60</f>
        <v>13570.049034558779</v>
      </c>
      <c r="I694" s="180">
        <f>(I629/I612)*AC78</f>
        <v>14053.465442313693</v>
      </c>
      <c r="J694" s="180">
        <f>(J630/J612)*AC79</f>
        <v>0</v>
      </c>
      <c r="K694" s="180">
        <f>(K644/K612)*AC75</f>
        <v>200157.82696534859</v>
      </c>
      <c r="L694" s="180">
        <f>(L647/L612)*AC80</f>
        <v>0</v>
      </c>
      <c r="M694" s="180">
        <f t="shared" si="20"/>
        <v>345630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3788103</v>
      </c>
      <c r="D696" s="180">
        <f>(D615/D612)*AE76</f>
        <v>270338.03381463658</v>
      </c>
      <c r="E696" s="180">
        <f>(E623/E612)*SUM(C696:D696)</f>
        <v>267928.20874049433</v>
      </c>
      <c r="F696" s="180">
        <f>(F624/F612)*AE64</f>
        <v>4898.9319304317833</v>
      </c>
      <c r="G696" s="180">
        <f>(G625/G612)*AE77</f>
        <v>0</v>
      </c>
      <c r="H696" s="180">
        <f>(H628/H612)*AE60</f>
        <v>55324.046063970418</v>
      </c>
      <c r="I696" s="180">
        <f>(I629/I612)*AE78</f>
        <v>112899.31633858717</v>
      </c>
      <c r="J696" s="180">
        <f>(J630/J612)*AE79</f>
        <v>58590.958143599208</v>
      </c>
      <c r="K696" s="180">
        <f>(K644/K612)*AE75</f>
        <v>411416.53779362526</v>
      </c>
      <c r="L696" s="180">
        <f>(L647/L612)*AE80</f>
        <v>0</v>
      </c>
      <c r="M696" s="180">
        <f t="shared" si="20"/>
        <v>1181396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5841940</v>
      </c>
      <c r="D698" s="180">
        <f>(D615/D612)*AG76</f>
        <v>198452.13036323996</v>
      </c>
      <c r="E698" s="180">
        <f>(E623/E612)*SUM(C698:D698)</f>
        <v>398771.70324616792</v>
      </c>
      <c r="F698" s="180">
        <f>(F624/F612)*AG64</f>
        <v>9968.7113231901367</v>
      </c>
      <c r="G698" s="180">
        <f>(G625/G612)*AG77</f>
        <v>100489.93404112887</v>
      </c>
      <c r="H698" s="180">
        <f>(H628/H612)*AG60</f>
        <v>42543.937513751858</v>
      </c>
      <c r="I698" s="180">
        <f>(I629/I612)*AG78</f>
        <v>112899.31633858717</v>
      </c>
      <c r="J698" s="180">
        <f>(J630/J612)*AG79</f>
        <v>64959.333610385213</v>
      </c>
      <c r="K698" s="180">
        <f>(K644/K612)*AG75</f>
        <v>948824.74978862191</v>
      </c>
      <c r="L698" s="180">
        <f>(L647/L612)*AG80</f>
        <v>218708.15606069544</v>
      </c>
      <c r="M698" s="180">
        <f t="shared" si="20"/>
        <v>2095618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87033</v>
      </c>
      <c r="D701" s="180">
        <f>(D615/D612)*AJ76</f>
        <v>30945.287753506931</v>
      </c>
      <c r="E701" s="180">
        <f>(E623/E612)*SUM(C701:D701)</f>
        <v>7788.6338731295791</v>
      </c>
      <c r="F701" s="180">
        <f>(F624/F612)*AJ64</f>
        <v>0</v>
      </c>
      <c r="G701" s="180">
        <f>(G625/G612)*AJ77</f>
        <v>0</v>
      </c>
      <c r="H701" s="180">
        <f>(H628/H612)*AJ60</f>
        <v>874.57696480524362</v>
      </c>
      <c r="I701" s="180">
        <f>(I629/I612)*AJ78</f>
        <v>11365.386481871141</v>
      </c>
      <c r="J701" s="180">
        <f>(J630/J612)*AJ79</f>
        <v>0</v>
      </c>
      <c r="K701" s="180">
        <f>(K644/K612)*AJ75</f>
        <v>3756.3819432973619</v>
      </c>
      <c r="L701" s="180">
        <f>(L647/L612)*AJ80</f>
        <v>0</v>
      </c>
      <c r="M701" s="180">
        <f t="shared" si="20"/>
        <v>54730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275596</v>
      </c>
      <c r="D713" s="180">
        <f>(D615/D612)*AV76</f>
        <v>0</v>
      </c>
      <c r="E713" s="180">
        <f>(E623/E612)*SUM(C713:D713)</f>
        <v>18194.164212518113</v>
      </c>
      <c r="F713" s="180">
        <f>(F624/F612)*AV64</f>
        <v>913.79581988186658</v>
      </c>
      <c r="G713" s="180">
        <f>(G625/G612)*AV77</f>
        <v>0</v>
      </c>
      <c r="H713" s="180">
        <f>(H628/H612)*AV60</f>
        <v>2849.4281756557939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21957</v>
      </c>
      <c r="N713" s="199" t="s">
        <v>741</v>
      </c>
    </row>
    <row r="715" spans="1:83" ht="12.6" customHeight="1" x14ac:dyDescent="0.25">
      <c r="C715" s="180">
        <f>SUM(C614:C647)+SUM(C668:C713)</f>
        <v>60064188</v>
      </c>
      <c r="D715" s="180">
        <f>SUM(D616:D647)+SUM(D668:D713)</f>
        <v>3008996</v>
      </c>
      <c r="E715" s="180">
        <f>SUM(E624:E647)+SUM(E668:E713)</f>
        <v>3719721.8725574878</v>
      </c>
      <c r="F715" s="180">
        <f>SUM(F625:F648)+SUM(F668:F713)</f>
        <v>747463.51872556424</v>
      </c>
      <c r="G715" s="180">
        <f>SUM(G626:G647)+SUM(G668:G713)</f>
        <v>1859956.8147219608</v>
      </c>
      <c r="H715" s="180">
        <f>SUM(H629:H647)+SUM(H668:H713)</f>
        <v>444426.1589218388</v>
      </c>
      <c r="I715" s="180">
        <f>SUM(I630:I647)+SUM(I668:I713)</f>
        <v>742570.02300225303</v>
      </c>
      <c r="J715" s="180">
        <f>SUM(J631:J647)+SUM(J668:J713)</f>
        <v>347659.51674752141</v>
      </c>
      <c r="K715" s="180">
        <f>SUM(K668:K713)</f>
        <v>8727100.7027186174</v>
      </c>
      <c r="L715" s="180">
        <f>SUM(L668:L713)</f>
        <v>1112374.5601239449</v>
      </c>
      <c r="M715" s="180">
        <f>SUM(M668:M713)</f>
        <v>18452636</v>
      </c>
      <c r="N715" s="198" t="s">
        <v>742</v>
      </c>
    </row>
    <row r="716" spans="1:83" ht="12.6" customHeight="1" x14ac:dyDescent="0.25">
      <c r="C716" s="180">
        <f>CE71</f>
        <v>60064188</v>
      </c>
      <c r="D716" s="180">
        <f>D615</f>
        <v>3008996</v>
      </c>
      <c r="E716" s="180">
        <f>E623</f>
        <v>3719721.8725574887</v>
      </c>
      <c r="F716" s="180">
        <f>F624</f>
        <v>747463.51872556412</v>
      </c>
      <c r="G716" s="180">
        <f>G625</f>
        <v>1859956.8147219606</v>
      </c>
      <c r="H716" s="180">
        <f>H628</f>
        <v>444426.1589218388</v>
      </c>
      <c r="I716" s="180">
        <f>I629</f>
        <v>742570.02300225303</v>
      </c>
      <c r="J716" s="180">
        <f>J630</f>
        <v>347659.51674752141</v>
      </c>
      <c r="K716" s="180">
        <f>K644</f>
        <v>8727100.7027186193</v>
      </c>
      <c r="L716" s="180">
        <f>L647</f>
        <v>1112374.5601239449</v>
      </c>
      <c r="M716" s="180">
        <f>C648</f>
        <v>18452635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172*2017*A</v>
      </c>
      <c r="B722" s="274">
        <f>ROUND(C165,0)</f>
        <v>2030126</v>
      </c>
      <c r="C722" s="274">
        <f>ROUND(C166,0)</f>
        <v>45281</v>
      </c>
      <c r="D722" s="274">
        <f>ROUND(C167,0)</f>
        <v>70822</v>
      </c>
      <c r="E722" s="274">
        <f>ROUND(C168,0)</f>
        <v>2738084</v>
      </c>
      <c r="F722" s="274">
        <f>ROUND(C169,0)</f>
        <v>21620</v>
      </c>
      <c r="G722" s="274">
        <f>ROUND(C170,0)</f>
        <v>875752</v>
      </c>
      <c r="H722" s="274">
        <f>ROUND(C171+C172,0)</f>
        <v>433110</v>
      </c>
      <c r="I722" s="274">
        <f>ROUND(C175,0)</f>
        <v>128486</v>
      </c>
      <c r="J722" s="274">
        <f>ROUND(C176,0)</f>
        <v>553780</v>
      </c>
      <c r="K722" s="274">
        <f>ROUND(C179,0)</f>
        <v>181882</v>
      </c>
      <c r="L722" s="274">
        <f>ROUND(C180,0)</f>
        <v>73591</v>
      </c>
      <c r="M722" s="274">
        <f>ROUND(C183,0)</f>
        <v>0</v>
      </c>
      <c r="N722" s="274">
        <f>ROUND(C184,0)</f>
        <v>630464</v>
      </c>
      <c r="O722" s="274">
        <f>ROUND(C185,0)</f>
        <v>27261</v>
      </c>
      <c r="P722" s="274">
        <f>ROUND(C188,0)</f>
        <v>339657</v>
      </c>
      <c r="Q722" s="274">
        <f>ROUND(C189,0)</f>
        <v>140719</v>
      </c>
      <c r="R722" s="274">
        <f>ROUND(B195,0)</f>
        <v>1813305</v>
      </c>
      <c r="S722" s="274">
        <f>ROUND(C195,0)</f>
        <v>0</v>
      </c>
      <c r="T722" s="274">
        <f>ROUND(D195,0)</f>
        <v>0</v>
      </c>
      <c r="U722" s="274">
        <f>ROUND(B196,0)</f>
        <v>3160470</v>
      </c>
      <c r="V722" s="274">
        <f>ROUND(C196,0)</f>
        <v>536075</v>
      </c>
      <c r="W722" s="274">
        <f>ROUND(D196,0)</f>
        <v>0</v>
      </c>
      <c r="X722" s="274">
        <f>ROUND(B197,0)</f>
        <v>14160432</v>
      </c>
      <c r="Y722" s="274">
        <f>ROUND(C197,0)</f>
        <v>856963</v>
      </c>
      <c r="Z722" s="274">
        <f>ROUND(D197,0)</f>
        <v>88289</v>
      </c>
      <c r="AA722" s="274">
        <f>ROUND(B198,0)</f>
        <v>14016855</v>
      </c>
      <c r="AB722" s="274">
        <f>ROUND(C198,0)</f>
        <v>614605</v>
      </c>
      <c r="AC722" s="274">
        <f>ROUND(D198,0)</f>
        <v>231297</v>
      </c>
      <c r="AD722" s="274">
        <f>ROUND(B199,0)</f>
        <v>986204</v>
      </c>
      <c r="AE722" s="274">
        <f>ROUND(C199,0)</f>
        <v>21612</v>
      </c>
      <c r="AF722" s="274">
        <f>ROUND(D199,0)</f>
        <v>0</v>
      </c>
      <c r="AG722" s="274">
        <f>ROUND(B200,0)</f>
        <v>13877461</v>
      </c>
      <c r="AH722" s="274">
        <f>ROUND(C200,0)</f>
        <v>3325707</v>
      </c>
      <c r="AI722" s="274">
        <f>ROUND(D200,0)</f>
        <v>1558949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1294589</v>
      </c>
      <c r="AQ722" s="274">
        <f>ROUND(C203,0)</f>
        <v>2482963</v>
      </c>
      <c r="AR722" s="274">
        <f>ROUND(D203,0)</f>
        <v>3412072</v>
      </c>
      <c r="AS722" s="274"/>
      <c r="AT722" s="274"/>
      <c r="AU722" s="274"/>
      <c r="AV722" s="274">
        <f>ROUND(B209,0)</f>
        <v>1568505</v>
      </c>
      <c r="AW722" s="274">
        <f>ROUND(C209,0)</f>
        <v>83174</v>
      </c>
      <c r="AX722" s="274">
        <f>ROUND(D209,0)</f>
        <v>0</v>
      </c>
      <c r="AY722" s="274">
        <f>ROUND(B210,0)</f>
        <v>3944398</v>
      </c>
      <c r="AZ722" s="274">
        <f>ROUND(C210,0)</f>
        <v>245034</v>
      </c>
      <c r="BA722" s="274">
        <f>ROUND(D210,0)</f>
        <v>88289</v>
      </c>
      <c r="BB722" s="274">
        <f>ROUND(B211,0)</f>
        <v>9852859</v>
      </c>
      <c r="BC722" s="274">
        <f>ROUND(C211,0)</f>
        <v>740601</v>
      </c>
      <c r="BD722" s="274">
        <f>ROUND(D211,0)</f>
        <v>231297</v>
      </c>
      <c r="BE722" s="274">
        <f>ROUND(B212,0)</f>
        <v>864133</v>
      </c>
      <c r="BF722" s="274">
        <f>ROUND(C212,0)</f>
        <v>31999</v>
      </c>
      <c r="BG722" s="274">
        <f>ROUND(D212,0)</f>
        <v>0</v>
      </c>
      <c r="BH722" s="274">
        <f>ROUND(B213,0)</f>
        <v>9659069</v>
      </c>
      <c r="BI722" s="274">
        <f>ROUND(C213,0)</f>
        <v>1665467</v>
      </c>
      <c r="BJ722" s="274">
        <f>ROUND(D213,0)</f>
        <v>1478847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18350116</v>
      </c>
      <c r="BU722" s="274">
        <f>ROUND(C224,0)</f>
        <v>6919331</v>
      </c>
      <c r="BV722" s="274">
        <f>ROUND(C225,0)</f>
        <v>761786</v>
      </c>
      <c r="BW722" s="274">
        <f>ROUND(C226,0)</f>
        <v>578450</v>
      </c>
      <c r="BX722" s="274">
        <f>ROUND(C227,0)</f>
        <v>0</v>
      </c>
      <c r="BY722" s="274">
        <f>ROUND(C228,0)</f>
        <v>22529622</v>
      </c>
      <c r="BZ722" s="274">
        <f>ROUND(C231,0)</f>
        <v>418</v>
      </c>
      <c r="CA722" s="274">
        <f>ROUND(C233,0)</f>
        <v>174617</v>
      </c>
      <c r="CB722" s="274">
        <f>ROUND(C234,0)</f>
        <v>695385</v>
      </c>
      <c r="CC722" s="274">
        <f>ROUND(C238+C239,0)</f>
        <v>509249</v>
      </c>
      <c r="CD722" s="274">
        <f>D221</f>
        <v>1104908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172*2017*A</v>
      </c>
      <c r="B726" s="274">
        <f>ROUND(C111,0)</f>
        <v>1363</v>
      </c>
      <c r="C726" s="274">
        <f>ROUND(C112,0)</f>
        <v>9</v>
      </c>
      <c r="D726" s="274">
        <f>ROUND(C113,0)</f>
        <v>0</v>
      </c>
      <c r="E726" s="274">
        <f>ROUND(C114,0)</f>
        <v>429</v>
      </c>
      <c r="F726" s="274">
        <f>ROUND(D111,0)</f>
        <v>3648</v>
      </c>
      <c r="G726" s="274">
        <f>ROUND(D112,0)</f>
        <v>119</v>
      </c>
      <c r="H726" s="274">
        <f>ROUND(D113,0)</f>
        <v>0</v>
      </c>
      <c r="I726" s="274">
        <f>ROUND(D114,0)</f>
        <v>833</v>
      </c>
      <c r="J726" s="274">
        <f>ROUND(C116,0)</f>
        <v>2</v>
      </c>
      <c r="K726" s="274">
        <f>ROUND(C117,0)</f>
        <v>0</v>
      </c>
      <c r="L726" s="274">
        <f>ROUND(C118,0)</f>
        <v>13</v>
      </c>
      <c r="M726" s="274">
        <f>ROUND(C119,0)</f>
        <v>0</v>
      </c>
      <c r="N726" s="274">
        <f>ROUND(C120,0)</f>
        <v>8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2</v>
      </c>
      <c r="S726" s="274">
        <f>ROUND(C125,0)</f>
        <v>0</v>
      </c>
      <c r="T726" s="274"/>
      <c r="U726" s="274">
        <f>ROUND(C126,0)</f>
        <v>0</v>
      </c>
      <c r="V726" s="274">
        <f>ROUND(C128,0)</f>
        <v>42</v>
      </c>
      <c r="W726" s="274">
        <f>ROUND(C129,0)</f>
        <v>8</v>
      </c>
      <c r="X726" s="274">
        <f>ROUND(B138,0)</f>
        <v>533</v>
      </c>
      <c r="Y726" s="274">
        <f>ROUND(B139,0)</f>
        <v>1649</v>
      </c>
      <c r="Z726" s="274">
        <f>ROUND(B140,0)</f>
        <v>0</v>
      </c>
      <c r="AA726" s="274">
        <f>ROUND(B141,0)</f>
        <v>14965682</v>
      </c>
      <c r="AB726" s="274">
        <f>ROUND(B142,0)</f>
        <v>23890509</v>
      </c>
      <c r="AC726" s="274">
        <f>ROUND(C138,0)</f>
        <v>315</v>
      </c>
      <c r="AD726" s="274">
        <f>ROUND(C139,0)</f>
        <v>745</v>
      </c>
      <c r="AE726" s="274">
        <f>ROUND(C140,0)</f>
        <v>0</v>
      </c>
      <c r="AF726" s="274">
        <f>ROUND(C141,0)</f>
        <v>3471379</v>
      </c>
      <c r="AG726" s="274">
        <f>ROUND(C142,0)</f>
        <v>11026434</v>
      </c>
      <c r="AH726" s="274">
        <f>ROUND(D138,0)</f>
        <v>515</v>
      </c>
      <c r="AI726" s="274">
        <f>ROUND(D139,0)</f>
        <v>1254</v>
      </c>
      <c r="AJ726" s="274">
        <f>ROUND(D140,0)</f>
        <v>80300</v>
      </c>
      <c r="AK726" s="274">
        <f>ROUND(D141,0)</f>
        <v>11830594</v>
      </c>
      <c r="AL726" s="274">
        <f>ROUND(D142,0)</f>
        <v>49563107</v>
      </c>
      <c r="AM726" s="274">
        <f>ROUND(B144,0)</f>
        <v>9</v>
      </c>
      <c r="AN726" s="274">
        <f>ROUND(B145,0)</f>
        <v>119</v>
      </c>
      <c r="AO726" s="274">
        <f>ROUND(B146,0)</f>
        <v>0</v>
      </c>
      <c r="AP726" s="274">
        <f>ROUND(B147,0)</f>
        <v>135821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6586096</v>
      </c>
      <c r="BR726" s="274">
        <f>ROUND(C157,0)</f>
        <v>3860253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172*2017*A</v>
      </c>
      <c r="B730" s="274">
        <f>ROUND(C250,0)</f>
        <v>4549783</v>
      </c>
      <c r="C730" s="274">
        <f>ROUND(C251,0)</f>
        <v>0</v>
      </c>
      <c r="D730" s="274">
        <f>ROUND(C252,0)</f>
        <v>14975987</v>
      </c>
      <c r="E730" s="274">
        <f>ROUND(C253,0)</f>
        <v>7695368</v>
      </c>
      <c r="F730" s="274">
        <f>ROUND(C254,0)</f>
        <v>439892</v>
      </c>
      <c r="G730" s="274">
        <f>ROUND(C255,0)</f>
        <v>695017</v>
      </c>
      <c r="H730" s="274">
        <f>ROUND(C256,0)</f>
        <v>0</v>
      </c>
      <c r="I730" s="274">
        <f>ROUND(C257,0)</f>
        <v>1786696</v>
      </c>
      <c r="J730" s="274">
        <f>ROUND(C258,0)</f>
        <v>879192</v>
      </c>
      <c r="K730" s="274">
        <f>ROUND(C259,0)</f>
        <v>0</v>
      </c>
      <c r="L730" s="274">
        <f>ROUND(C262,0)</f>
        <v>7445337</v>
      </c>
      <c r="M730" s="274">
        <f>ROUND(C263,0)</f>
        <v>0</v>
      </c>
      <c r="N730" s="274">
        <f>ROUND(C264,0)</f>
        <v>0</v>
      </c>
      <c r="O730" s="274">
        <f>ROUND(C267,0)</f>
        <v>1813305</v>
      </c>
      <c r="P730" s="274">
        <f>ROUND(C268,0)</f>
        <v>3696545</v>
      </c>
      <c r="Q730" s="274">
        <f>ROUND(C269,0)</f>
        <v>14929106</v>
      </c>
      <c r="R730" s="274">
        <f>ROUND(C270,0)</f>
        <v>14400163</v>
      </c>
      <c r="S730" s="274">
        <f>ROUND(C271,0)</f>
        <v>1007816</v>
      </c>
      <c r="T730" s="274">
        <f>ROUND(C272,0)</f>
        <v>15644219</v>
      </c>
      <c r="U730" s="274">
        <f>ROUND(C273,0)</f>
        <v>0</v>
      </c>
      <c r="V730" s="274">
        <f>ROUND(C274,0)</f>
        <v>365480</v>
      </c>
      <c r="W730" s="274">
        <f>ROUND(C275,0)</f>
        <v>0</v>
      </c>
      <c r="X730" s="274">
        <f>ROUND(C276,0)</f>
        <v>26856806</v>
      </c>
      <c r="Y730" s="274">
        <f>ROUND(C279,0)</f>
        <v>0</v>
      </c>
      <c r="Z730" s="274">
        <f>ROUND(C280,0)</f>
        <v>0</v>
      </c>
      <c r="AA730" s="274">
        <f>ROUND(C281,0)</f>
        <v>950045</v>
      </c>
      <c r="AB730" s="274">
        <f>ROUND(C282,0)</f>
        <v>-297050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2570779</v>
      </c>
      <c r="AI730" s="274">
        <f>ROUND(C306,0)</f>
        <v>2444099</v>
      </c>
      <c r="AJ730" s="274">
        <f>ROUND(C307,0)</f>
        <v>221539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2515270</v>
      </c>
      <c r="AX730" s="274">
        <f>ROUND(C325,0)</f>
        <v>11702639</v>
      </c>
      <c r="AY730" s="274">
        <f>ROUND(C326,0)</f>
        <v>0</v>
      </c>
      <c r="AZ730" s="274">
        <f>ROUND(C327,0)</f>
        <v>0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29275033</v>
      </c>
      <c r="BF730" s="274">
        <f>ROUND(C336,0)</f>
        <v>0</v>
      </c>
      <c r="BG730" s="274"/>
      <c r="BH730" s="274"/>
      <c r="BI730" s="274">
        <f>ROUND(CE60,2)</f>
        <v>362.33</v>
      </c>
      <c r="BJ730" s="274">
        <f>ROUND(C359,0)</f>
        <v>30403476</v>
      </c>
      <c r="BK730" s="274">
        <f>ROUND(C360,0)</f>
        <v>84480050</v>
      </c>
      <c r="BL730" s="274">
        <f>ROUND(C364,0)</f>
        <v>49139305</v>
      </c>
      <c r="BM730" s="274">
        <f>ROUND(C365,0)</f>
        <v>870002</v>
      </c>
      <c r="BN730" s="274">
        <f>ROUND(C366,0)</f>
        <v>509249</v>
      </c>
      <c r="BO730" s="274">
        <f>ROUND(C370,0)</f>
        <v>2335544</v>
      </c>
      <c r="BP730" s="274">
        <f>ROUND(C371,0)</f>
        <v>1206907</v>
      </c>
      <c r="BQ730" s="274">
        <f>ROUND(C378,0)</f>
        <v>29181362</v>
      </c>
      <c r="BR730" s="274">
        <f>ROUND(C379,0)</f>
        <v>6214795</v>
      </c>
      <c r="BS730" s="274">
        <f>ROUND(C380,0)</f>
        <v>5449892</v>
      </c>
      <c r="BT730" s="274">
        <f>ROUND(C381,0)</f>
        <v>11513648</v>
      </c>
      <c r="BU730" s="274">
        <f>ROUND(C382,0)</f>
        <v>736663</v>
      </c>
      <c r="BV730" s="274">
        <f>ROUND(C383,0)</f>
        <v>3105166</v>
      </c>
      <c r="BW730" s="274">
        <f>ROUND(C384,0)</f>
        <v>2766277</v>
      </c>
      <c r="BX730" s="274">
        <f>ROUND(C385,0)</f>
        <v>682266</v>
      </c>
      <c r="BY730" s="274">
        <f>ROUND(C386,0)</f>
        <v>255473</v>
      </c>
      <c r="BZ730" s="274">
        <f>ROUND(C387,0)</f>
        <v>657725</v>
      </c>
      <c r="CA730" s="274">
        <f>ROUND(C388,0)</f>
        <v>480376</v>
      </c>
      <c r="CB730" s="274">
        <f>C363</f>
        <v>1104908</v>
      </c>
      <c r="CC730" s="274">
        <f>ROUND(C389,0)</f>
        <v>1356092</v>
      </c>
      <c r="CD730" s="274">
        <f>ROUND(C392,0)</f>
        <v>-2985087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172*2017*6010*A</v>
      </c>
      <c r="B734" s="274">
        <f>ROUND(C59,0)</f>
        <v>419</v>
      </c>
      <c r="C734" s="274">
        <f>ROUND(C60,2)</f>
        <v>13.74</v>
      </c>
      <c r="D734" s="274">
        <f>ROUND(C61,0)</f>
        <v>1128237</v>
      </c>
      <c r="E734" s="274">
        <f>ROUND(C62,0)</f>
        <v>240282</v>
      </c>
      <c r="F734" s="274">
        <f>ROUND(C63,0)</f>
        <v>37625</v>
      </c>
      <c r="G734" s="274">
        <f>ROUND(C64,0)</f>
        <v>47761</v>
      </c>
      <c r="H734" s="274">
        <f>ROUND(C65,0)</f>
        <v>468</v>
      </c>
      <c r="I734" s="274">
        <f>ROUND(C66,0)</f>
        <v>6270</v>
      </c>
      <c r="J734" s="274">
        <f>ROUND(C67,0)</f>
        <v>45208</v>
      </c>
      <c r="K734" s="274">
        <f>ROUND(C68,0)</f>
        <v>4016</v>
      </c>
      <c r="L734" s="274">
        <f>ROUND(C69,0)</f>
        <v>5127</v>
      </c>
      <c r="M734" s="274">
        <f>ROUND(C70,0)</f>
        <v>0</v>
      </c>
      <c r="N734" s="274">
        <f>ROUND(C75,0)</f>
        <v>1554448</v>
      </c>
      <c r="O734" s="274">
        <f>ROUND(C73,0)</f>
        <v>829370</v>
      </c>
      <c r="P734" s="274">
        <f>IF(C76&gt;0,ROUND(C76,0),0)</f>
        <v>1804</v>
      </c>
      <c r="Q734" s="274">
        <f>IF(C77&gt;0,ROUND(C77,0),0)</f>
        <v>3308</v>
      </c>
      <c r="R734" s="274">
        <f>IF(C78&gt;0,ROUND(C78,0),0)</f>
        <v>798</v>
      </c>
      <c r="S734" s="274">
        <f>IF(C79&gt;0,ROUND(C79,0),0)</f>
        <v>10918</v>
      </c>
      <c r="T734" s="274">
        <f>IF(C80&gt;0,ROUND(C80,2),0)</f>
        <v>9.83</v>
      </c>
      <c r="U734" s="274"/>
      <c r="V734" s="274"/>
      <c r="W734" s="274"/>
      <c r="X734" s="274"/>
      <c r="Y734" s="274">
        <f>IF(M668&lt;&gt;0,ROUND(M668,0),0)</f>
        <v>797937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172*2017*6030*A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172*2017*6070*A</v>
      </c>
      <c r="B736" s="274">
        <f>ROUND(E59,0)</f>
        <v>3229</v>
      </c>
      <c r="C736" s="276">
        <f>ROUND(E60,2)</f>
        <v>28.71</v>
      </c>
      <c r="D736" s="274">
        <f>ROUND(E61,0)</f>
        <v>2574043</v>
      </c>
      <c r="E736" s="274">
        <f>ROUND(E62,0)</f>
        <v>548197</v>
      </c>
      <c r="F736" s="274">
        <f>ROUND(E63,0)</f>
        <v>386744</v>
      </c>
      <c r="G736" s="274">
        <f>ROUND(E64,0)</f>
        <v>97608</v>
      </c>
      <c r="H736" s="274">
        <f>ROUND(E65,0)</f>
        <v>468</v>
      </c>
      <c r="I736" s="274">
        <f>ROUND(E66,0)</f>
        <v>7020</v>
      </c>
      <c r="J736" s="274">
        <f>ROUND(E67,0)</f>
        <v>243406</v>
      </c>
      <c r="K736" s="274">
        <f>ROUND(E68,0)</f>
        <v>2238</v>
      </c>
      <c r="L736" s="274">
        <f>ROUND(E69,0)</f>
        <v>21648</v>
      </c>
      <c r="M736" s="274">
        <f>ROUND(E70,0)</f>
        <v>7080</v>
      </c>
      <c r="N736" s="274">
        <f>ROUND(E75,0)</f>
        <v>5697197</v>
      </c>
      <c r="O736" s="274">
        <f>ROUND(E73,0)</f>
        <v>3382460</v>
      </c>
      <c r="P736" s="274">
        <f>IF(E76&gt;0,ROUND(E76,0),0)</f>
        <v>9713</v>
      </c>
      <c r="Q736" s="274">
        <f>IF(E77&gt;0,ROUND(E77,0),0)</f>
        <v>12789</v>
      </c>
      <c r="R736" s="274">
        <f>IF(E78&gt;0,ROUND(E78,0),0)</f>
        <v>3192</v>
      </c>
      <c r="S736" s="274">
        <f>IF(E79&gt;0,ROUND(E79,0),0)</f>
        <v>54592</v>
      </c>
      <c r="T736" s="276">
        <f>IF(E80&gt;0,ROUND(E80,2),0)</f>
        <v>12.81</v>
      </c>
      <c r="U736" s="274"/>
      <c r="V736" s="275"/>
      <c r="W736" s="274"/>
      <c r="X736" s="274"/>
      <c r="Y736" s="274">
        <f t="shared" si="21"/>
        <v>2651087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172*2017*6100*A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172*2017*6120*A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172*2017*6140*A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172*2017*6150*A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172*2017*6170*A</v>
      </c>
      <c r="B741" s="274">
        <f>ROUND(J59,0)</f>
        <v>833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483606</v>
      </c>
      <c r="O741" s="274">
        <f>ROUND(J73,0)</f>
        <v>483606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21837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62721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172*2017*6200*A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172*2017*6210*A</v>
      </c>
      <c r="B743" s="274">
        <f>ROUND(L59,0)</f>
        <v>119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135821</v>
      </c>
      <c r="O743" s="274">
        <f>ROUND(L73,0)</f>
        <v>135821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10318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172*2017*6330*A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172*2017*6400*A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172*2017*7010*A</v>
      </c>
      <c r="B746" s="274">
        <f>ROUND(O59,0)</f>
        <v>429</v>
      </c>
      <c r="C746" s="276">
        <f>ROUND(O60,2)</f>
        <v>22.99</v>
      </c>
      <c r="D746" s="274">
        <f>ROUND(O61,0)</f>
        <v>1845557</v>
      </c>
      <c r="E746" s="274">
        <f>ROUND(O62,0)</f>
        <v>393051</v>
      </c>
      <c r="F746" s="274">
        <f>ROUND(O63,0)</f>
        <v>25521</v>
      </c>
      <c r="G746" s="274">
        <f>ROUND(O64,0)</f>
        <v>110269</v>
      </c>
      <c r="H746" s="274">
        <f>ROUND(O65,0)</f>
        <v>78</v>
      </c>
      <c r="I746" s="274">
        <f>ROUND(O66,0)</f>
        <v>56542</v>
      </c>
      <c r="J746" s="274">
        <f>ROUND(O67,0)</f>
        <v>207520</v>
      </c>
      <c r="K746" s="274">
        <f>ROUND(O68,0)</f>
        <v>3473</v>
      </c>
      <c r="L746" s="274">
        <f>ROUND(O69,0)</f>
        <v>22933</v>
      </c>
      <c r="M746" s="274">
        <f>ROUND(O70,0)</f>
        <v>17597</v>
      </c>
      <c r="N746" s="274">
        <f>ROUND(O75,0)</f>
        <v>2546846</v>
      </c>
      <c r="O746" s="274">
        <f>ROUND(O73,0)</f>
        <v>2138660</v>
      </c>
      <c r="P746" s="274">
        <f>IF(O76&gt;0,ROUND(O76,0),0)</f>
        <v>8281</v>
      </c>
      <c r="Q746" s="274">
        <f>IF(O77&gt;0,ROUND(O77,0),0)</f>
        <v>0</v>
      </c>
      <c r="R746" s="274">
        <f>IF(O78&gt;0,ROUND(O78,0),0)</f>
        <v>2394</v>
      </c>
      <c r="S746" s="274">
        <f>IF(O79&gt;0,ROUND(O79,0),0)</f>
        <v>35485</v>
      </c>
      <c r="T746" s="276">
        <f>IF(O80&gt;0,ROUND(O80,2),0)</f>
        <v>16.75</v>
      </c>
      <c r="U746" s="274"/>
      <c r="V746" s="275"/>
      <c r="W746" s="274"/>
      <c r="X746" s="274"/>
      <c r="Y746" s="274">
        <f t="shared" si="21"/>
        <v>1068333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172*2017*7020*A</v>
      </c>
      <c r="B747" s="274">
        <f>ROUND(P59,0)</f>
        <v>213657</v>
      </c>
      <c r="C747" s="276">
        <f>ROUND(P60,2)</f>
        <v>46.63</v>
      </c>
      <c r="D747" s="274">
        <f>ROUND(P61,0)</f>
        <v>3689633</v>
      </c>
      <c r="E747" s="274">
        <f>ROUND(P62,0)</f>
        <v>785786</v>
      </c>
      <c r="F747" s="274">
        <f>ROUND(P63,0)</f>
        <v>49469</v>
      </c>
      <c r="G747" s="274">
        <f>ROUND(P64,0)</f>
        <v>1147343</v>
      </c>
      <c r="H747" s="274">
        <f>ROUND(P65,0)</f>
        <v>1404</v>
      </c>
      <c r="I747" s="274">
        <f>ROUND(P66,0)</f>
        <v>424712</v>
      </c>
      <c r="J747" s="274">
        <f>ROUND(P67,0)</f>
        <v>278490</v>
      </c>
      <c r="K747" s="274">
        <f>ROUND(P68,0)</f>
        <v>90228</v>
      </c>
      <c r="L747" s="274">
        <f>ROUND(P69,0)</f>
        <v>33069</v>
      </c>
      <c r="M747" s="274">
        <f>ROUND(P70,0)</f>
        <v>0</v>
      </c>
      <c r="N747" s="274">
        <f>ROUND(P75,0)</f>
        <v>13764670</v>
      </c>
      <c r="O747" s="274">
        <f>ROUND(P73,0)</f>
        <v>5070061</v>
      </c>
      <c r="P747" s="274">
        <f>IF(P76&gt;0,ROUND(P76,0),0)</f>
        <v>11113</v>
      </c>
      <c r="Q747" s="274">
        <f>IF(P77&gt;0,ROUND(P77,0),0)</f>
        <v>2620</v>
      </c>
      <c r="R747" s="274">
        <f>IF(P78&gt;0,ROUND(P78,0),0)</f>
        <v>0</v>
      </c>
      <c r="S747" s="274">
        <f>IF(P79&gt;0,ROUND(P79,0),0)</f>
        <v>40944</v>
      </c>
      <c r="T747" s="276">
        <f>IF(P80&gt;0,ROUND(P80,2),0)</f>
        <v>25.09</v>
      </c>
      <c r="U747" s="274"/>
      <c r="V747" s="275"/>
      <c r="W747" s="274"/>
      <c r="X747" s="274"/>
      <c r="Y747" s="274">
        <f t="shared" si="21"/>
        <v>2624694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172*2017*7030*A</v>
      </c>
      <c r="B748" s="274">
        <f>ROUND(Q59,0)</f>
        <v>110824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18399</v>
      </c>
      <c r="H748" s="274">
        <f>ROUND(Q65,0)</f>
        <v>0</v>
      </c>
      <c r="I748" s="274">
        <f>ROUND(Q66,0)</f>
        <v>1831</v>
      </c>
      <c r="J748" s="274">
        <f>ROUND(Q67,0)</f>
        <v>0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1233758</v>
      </c>
      <c r="O748" s="274">
        <f>ROUND(Q73,0)</f>
        <v>461036</v>
      </c>
      <c r="P748" s="274">
        <f>IF(Q76&gt;0,ROUND(Q76,0),0)</f>
        <v>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96258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172*2017*7040*A</v>
      </c>
      <c r="B749" s="274">
        <f>ROUND(R59,0)</f>
        <v>157140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345445</v>
      </c>
      <c r="G749" s="274">
        <f>ROUND(R64,0)</f>
        <v>115726</v>
      </c>
      <c r="H749" s="274">
        <f>ROUND(R65,0)</f>
        <v>0</v>
      </c>
      <c r="I749" s="274">
        <f>ROUND(R66,0)</f>
        <v>3908</v>
      </c>
      <c r="J749" s="274">
        <f>ROUND(R67,0)</f>
        <v>0</v>
      </c>
      <c r="K749" s="274">
        <f>ROUND(R68,0)</f>
        <v>0</v>
      </c>
      <c r="L749" s="274">
        <f>ROUND(R69,0)</f>
        <v>226</v>
      </c>
      <c r="M749" s="274">
        <f>ROUND(R70,0)</f>
        <v>0</v>
      </c>
      <c r="N749" s="274">
        <f>ROUND(R75,0)</f>
        <v>3385048</v>
      </c>
      <c r="O749" s="274">
        <f>ROUND(R73,0)</f>
        <v>1242759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295412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172*2017*7050*A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4602</v>
      </c>
      <c r="G750" s="274">
        <f>ROUND(S64,0)</f>
        <v>4516782</v>
      </c>
      <c r="H750" s="274">
        <f>ROUND(S65,0)</f>
        <v>0</v>
      </c>
      <c r="I750" s="274">
        <f>ROUND(S66,0)</f>
        <v>0</v>
      </c>
      <c r="J750" s="274">
        <f>ROUND(S67,0)</f>
        <v>36061</v>
      </c>
      <c r="K750" s="274">
        <f>ROUND(S68,0)</f>
        <v>54280</v>
      </c>
      <c r="L750" s="274">
        <f>ROUND(S69,0)</f>
        <v>73849</v>
      </c>
      <c r="M750" s="274">
        <f>ROUND(S70,0)</f>
        <v>4890</v>
      </c>
      <c r="N750" s="274">
        <f>ROUND(S75,0)</f>
        <v>16336737</v>
      </c>
      <c r="O750" s="274">
        <f>ROUND(S73,0)</f>
        <v>8973197</v>
      </c>
      <c r="P750" s="274">
        <f>IF(S76&gt;0,ROUND(S76,0),0)</f>
        <v>1439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1892141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172*2017*7060*A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172*2017*7070*A</v>
      </c>
      <c r="B752" s="274">
        <f>ROUND(U59,0)</f>
        <v>99570</v>
      </c>
      <c r="C752" s="276">
        <f>ROUND(U60,2)</f>
        <v>14.81</v>
      </c>
      <c r="D752" s="274">
        <f>ROUND(U61,0)</f>
        <v>936329</v>
      </c>
      <c r="E752" s="274">
        <f>ROUND(U62,0)</f>
        <v>199411</v>
      </c>
      <c r="F752" s="274">
        <f>ROUND(U63,0)</f>
        <v>584740</v>
      </c>
      <c r="G752" s="274">
        <f>ROUND(U64,0)</f>
        <v>617970</v>
      </c>
      <c r="H752" s="274">
        <f>ROUND(U65,0)</f>
        <v>468</v>
      </c>
      <c r="I752" s="274">
        <f>ROUND(U66,0)</f>
        <v>106682</v>
      </c>
      <c r="J752" s="274">
        <f>ROUND(U67,0)</f>
        <v>49117</v>
      </c>
      <c r="K752" s="274">
        <f>ROUND(U68,0)</f>
        <v>378</v>
      </c>
      <c r="L752" s="274">
        <f>ROUND(U69,0)</f>
        <v>20958</v>
      </c>
      <c r="M752" s="274">
        <f>ROUND(U70,0)</f>
        <v>0</v>
      </c>
      <c r="N752" s="274">
        <f>ROUND(U75,0)</f>
        <v>8425028</v>
      </c>
      <c r="O752" s="274">
        <f>ROUND(U73,0)</f>
        <v>1433060</v>
      </c>
      <c r="P752" s="274">
        <f>IF(U76&gt;0,ROUND(U76,0),0)</f>
        <v>1960</v>
      </c>
      <c r="Q752" s="274">
        <f>IF(U77&gt;0,ROUND(U77,0),0)</f>
        <v>0</v>
      </c>
      <c r="R752" s="274">
        <f>IF(U78&gt;0,ROUND(U78,0),0)</f>
        <v>798</v>
      </c>
      <c r="S752" s="274">
        <f>IF(U79&gt;0,ROUND(U79,0),0)</f>
        <v>5459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976098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172*2017*7110*A</v>
      </c>
      <c r="B753" s="274">
        <f>ROUND(V59,0)</f>
        <v>3772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221</v>
      </c>
      <c r="H753" s="274">
        <f>ROUND(V65,0)</f>
        <v>0</v>
      </c>
      <c r="I753" s="274">
        <f>ROUND(V66,0)</f>
        <v>0</v>
      </c>
      <c r="J753" s="274">
        <f>ROUND(V67,0)</f>
        <v>7743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509819</v>
      </c>
      <c r="O753" s="274">
        <f>ROUND(V73,0)</f>
        <v>48757</v>
      </c>
      <c r="P753" s="274">
        <f>IF(V76&gt;0,ROUND(V76,0),0)</f>
        <v>309</v>
      </c>
      <c r="Q753" s="274">
        <f>IF(V77&gt;0,ROUND(V77,0),0)</f>
        <v>0</v>
      </c>
      <c r="R753" s="274">
        <f>IF(V78&gt;0,ROUND(V78,0),0)</f>
        <v>74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52952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172*2017*7120*A</v>
      </c>
      <c r="B754" s="274">
        <f>ROUND(W59,0)</f>
        <v>2677</v>
      </c>
      <c r="C754" s="276">
        <f>ROUND(W60,2)</f>
        <v>3.28</v>
      </c>
      <c r="D754" s="274">
        <f>ROUND(W61,0)</f>
        <v>313454</v>
      </c>
      <c r="E754" s="274">
        <f>ROUND(W62,0)</f>
        <v>66757</v>
      </c>
      <c r="F754" s="274">
        <f>ROUND(W63,0)</f>
        <v>17590</v>
      </c>
      <c r="G754" s="274">
        <f>ROUND(W64,0)</f>
        <v>2059</v>
      </c>
      <c r="H754" s="274">
        <f>ROUND(W65,0)</f>
        <v>0</v>
      </c>
      <c r="I754" s="274">
        <f>ROUND(W66,0)</f>
        <v>141806</v>
      </c>
      <c r="J754" s="274">
        <f>ROUND(W67,0)</f>
        <v>12630</v>
      </c>
      <c r="K754" s="274">
        <f>ROUND(W68,0)</f>
        <v>158521</v>
      </c>
      <c r="L754" s="274">
        <f>ROUND(W69,0)</f>
        <v>3260</v>
      </c>
      <c r="M754" s="274">
        <f>ROUND(W70,0)</f>
        <v>0</v>
      </c>
      <c r="N754" s="274">
        <f>ROUND(W75,0)</f>
        <v>5996287</v>
      </c>
      <c r="O754" s="274">
        <f>ROUND(W73,0)</f>
        <v>92607</v>
      </c>
      <c r="P754" s="274">
        <f>IF(W76&gt;0,ROUND(W76,0),0)</f>
        <v>504</v>
      </c>
      <c r="Q754" s="274">
        <f>IF(W77&gt;0,ROUND(W77,0),0)</f>
        <v>0</v>
      </c>
      <c r="R754" s="274">
        <f>IF(W78&gt;0,ROUND(W78,0),0)</f>
        <v>121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529874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172*2017*7130*A</v>
      </c>
      <c r="B755" s="274">
        <f>ROUND(X59,0)</f>
        <v>4574</v>
      </c>
      <c r="C755" s="276">
        <f>ROUND(X60,2)</f>
        <v>0.96</v>
      </c>
      <c r="D755" s="274">
        <f>ROUND(X61,0)</f>
        <v>68583</v>
      </c>
      <c r="E755" s="274">
        <f>ROUND(X62,0)</f>
        <v>14606</v>
      </c>
      <c r="F755" s="274">
        <f>ROUND(X63,0)</f>
        <v>0</v>
      </c>
      <c r="G755" s="274">
        <f>ROUND(X64,0)</f>
        <v>20991</v>
      </c>
      <c r="H755" s="274">
        <f>ROUND(X65,0)</f>
        <v>0</v>
      </c>
      <c r="I755" s="274">
        <f>ROUND(X66,0)</f>
        <v>149941</v>
      </c>
      <c r="J755" s="274">
        <f>ROUND(X67,0)</f>
        <v>13081</v>
      </c>
      <c r="K755" s="274">
        <f>ROUND(X68,0)</f>
        <v>78707</v>
      </c>
      <c r="L755" s="274">
        <f>ROUND(X69,0)</f>
        <v>0</v>
      </c>
      <c r="M755" s="274">
        <f>ROUND(X70,0)</f>
        <v>0</v>
      </c>
      <c r="N755" s="274">
        <f>ROUND(X75,0)</f>
        <v>8061923</v>
      </c>
      <c r="O755" s="274">
        <f>ROUND(X73,0)</f>
        <v>399676</v>
      </c>
      <c r="P755" s="274">
        <f>IF(X76&gt;0,ROUND(X76,0),0)</f>
        <v>522</v>
      </c>
      <c r="Q755" s="274">
        <f>IF(X77&gt;0,ROUND(X77,0),0)</f>
        <v>0</v>
      </c>
      <c r="R755" s="274">
        <f>IF(X78&gt;0,ROUND(X78,0),0)</f>
        <v>126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661144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172*2017*7140*A</v>
      </c>
      <c r="B756" s="274">
        <f>ROUND(Y59,0)</f>
        <v>24611</v>
      </c>
      <c r="C756" s="276">
        <f>ROUND(Y60,2)</f>
        <v>19.43</v>
      </c>
      <c r="D756" s="274">
        <f>ROUND(Y61,0)</f>
        <v>1491134</v>
      </c>
      <c r="E756" s="274">
        <f>ROUND(Y62,0)</f>
        <v>317569</v>
      </c>
      <c r="F756" s="274">
        <f>ROUND(Y63,0)</f>
        <v>255203</v>
      </c>
      <c r="G756" s="274">
        <f>ROUND(Y64,0)</f>
        <v>147881</v>
      </c>
      <c r="H756" s="274">
        <f>ROUND(Y65,0)</f>
        <v>1240</v>
      </c>
      <c r="I756" s="274">
        <f>ROUND(Y66,0)</f>
        <v>251520</v>
      </c>
      <c r="J756" s="274">
        <f>ROUND(Y67,0)</f>
        <v>113621</v>
      </c>
      <c r="K756" s="274">
        <f>ROUND(Y68,0)</f>
        <v>31481</v>
      </c>
      <c r="L756" s="274">
        <f>ROUND(Y69,0)</f>
        <v>22877</v>
      </c>
      <c r="M756" s="274">
        <f>ROUND(Y70,0)</f>
        <v>60</v>
      </c>
      <c r="N756" s="274">
        <f>ROUND(Y75,0)</f>
        <v>8601067</v>
      </c>
      <c r="O756" s="274">
        <f>ROUND(Y73,0)</f>
        <v>395586</v>
      </c>
      <c r="P756" s="274">
        <f>IF(Y76&gt;0,ROUND(Y76,0),0)</f>
        <v>4534</v>
      </c>
      <c r="Q756" s="274">
        <f>IF(Y77&gt;0,ROUND(Y77,0),0)</f>
        <v>0</v>
      </c>
      <c r="R756" s="274">
        <f>IF(Y78&gt;0,ROUND(Y78,0),0)</f>
        <v>1330</v>
      </c>
      <c r="S756" s="274">
        <f>IF(Y79&gt;0,ROUND(Y79,0),0)</f>
        <v>19107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1099248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172*2017*7150*A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172*2017*7160*A</v>
      </c>
      <c r="B758" s="274">
        <f>ROUND(AA59,0)</f>
        <v>790</v>
      </c>
      <c r="C758" s="276">
        <f>ROUND(AA60,2)</f>
        <v>1.41</v>
      </c>
      <c r="D758" s="274">
        <f>ROUND(AA61,0)</f>
        <v>148544</v>
      </c>
      <c r="E758" s="274">
        <f>ROUND(AA62,0)</f>
        <v>31636</v>
      </c>
      <c r="F758" s="274">
        <f>ROUND(AA63,0)</f>
        <v>108293</v>
      </c>
      <c r="G758" s="274">
        <f>ROUND(AA64,0)</f>
        <v>122755</v>
      </c>
      <c r="H758" s="274">
        <f>ROUND(AA65,0)</f>
        <v>0</v>
      </c>
      <c r="I758" s="274">
        <f>ROUND(AA66,0)</f>
        <v>125650</v>
      </c>
      <c r="J758" s="274">
        <f>ROUND(AA67,0)</f>
        <v>7643</v>
      </c>
      <c r="K758" s="274">
        <f>ROUND(AA68,0)</f>
        <v>0</v>
      </c>
      <c r="L758" s="274">
        <f>ROUND(AA69,0)</f>
        <v>7703</v>
      </c>
      <c r="M758" s="274">
        <f>ROUND(AA70,0)</f>
        <v>0</v>
      </c>
      <c r="N758" s="274">
        <f>ROUND(AA75,0)</f>
        <v>1515621</v>
      </c>
      <c r="O758" s="274">
        <f>ROUND(AA73,0)</f>
        <v>25018</v>
      </c>
      <c r="P758" s="274">
        <f>IF(AA76&gt;0,ROUND(AA76,0),0)</f>
        <v>305</v>
      </c>
      <c r="Q758" s="274">
        <f>IF(AA77&gt;0,ROUND(AA77,0),0)</f>
        <v>0</v>
      </c>
      <c r="R758" s="274">
        <f>IF(AA78&gt;0,ROUND(AA78,0),0)</f>
        <v>74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175138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172*2017*7170*A</v>
      </c>
      <c r="B759" s="274"/>
      <c r="C759" s="276">
        <f>ROUND(AB60,2)</f>
        <v>5.76</v>
      </c>
      <c r="D759" s="274">
        <f>ROUND(AB61,0)</f>
        <v>650255</v>
      </c>
      <c r="E759" s="274">
        <f>ROUND(AB62,0)</f>
        <v>138486</v>
      </c>
      <c r="F759" s="274">
        <f>ROUND(AB63,0)</f>
        <v>489334</v>
      </c>
      <c r="G759" s="274">
        <f>ROUND(AB64,0)</f>
        <v>3570449</v>
      </c>
      <c r="H759" s="274">
        <f>ROUND(AB65,0)</f>
        <v>4709</v>
      </c>
      <c r="I759" s="274">
        <f>ROUND(AB66,0)</f>
        <v>4504</v>
      </c>
      <c r="J759" s="274">
        <f>ROUND(AB67,0)</f>
        <v>19647</v>
      </c>
      <c r="K759" s="274">
        <f>ROUND(AB68,0)</f>
        <v>82032</v>
      </c>
      <c r="L759" s="274">
        <f>ROUND(AB69,0)</f>
        <v>15206</v>
      </c>
      <c r="M759" s="274">
        <f>ROUND(AB70,0)</f>
        <v>956417</v>
      </c>
      <c r="N759" s="274">
        <f>ROUND(AB75,0)</f>
        <v>16045112</v>
      </c>
      <c r="O759" s="274">
        <f>ROUND(AB73,0)</f>
        <v>3333255</v>
      </c>
      <c r="P759" s="274">
        <f>IF(AB76&gt;0,ROUND(AB76,0),0)</f>
        <v>784</v>
      </c>
      <c r="Q759" s="274">
        <f>IF(AB77&gt;0,ROUND(AB77,0),0)</f>
        <v>0</v>
      </c>
      <c r="R759" s="274">
        <f>IF(AB78&gt;0,ROUND(AB78,0),0)</f>
        <v>189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1759950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172*2017*7180*A</v>
      </c>
      <c r="B760" s="274">
        <f>ROUND(AC59,0)</f>
        <v>21269</v>
      </c>
      <c r="C760" s="276">
        <f>ROUND(AC60,2)</f>
        <v>9.6199999999999992</v>
      </c>
      <c r="D760" s="274">
        <f>ROUND(AC61,0)</f>
        <v>760946</v>
      </c>
      <c r="E760" s="274">
        <f>ROUND(AC62,0)</f>
        <v>162060</v>
      </c>
      <c r="F760" s="274">
        <f>ROUND(AC63,0)</f>
        <v>114517</v>
      </c>
      <c r="G760" s="274">
        <f>ROUND(AC64,0)</f>
        <v>40473</v>
      </c>
      <c r="H760" s="274">
        <f>ROUND(AC65,0)</f>
        <v>468</v>
      </c>
      <c r="I760" s="274">
        <f>ROUND(AC66,0)</f>
        <v>13670</v>
      </c>
      <c r="J760" s="274">
        <f>ROUND(AC67,0)</f>
        <v>30999</v>
      </c>
      <c r="K760" s="274">
        <f>ROUND(AC68,0)</f>
        <v>0</v>
      </c>
      <c r="L760" s="274">
        <f>ROUND(AC69,0)</f>
        <v>3864</v>
      </c>
      <c r="M760" s="274">
        <f>ROUND(AC70,0)</f>
        <v>0</v>
      </c>
      <c r="N760" s="274">
        <f>ROUND(AC75,0)</f>
        <v>2634877</v>
      </c>
      <c r="O760" s="274">
        <f>ROUND(AC73,0)</f>
        <v>1004211</v>
      </c>
      <c r="P760" s="274">
        <f>IF(AC76&gt;0,ROUND(AC76,0),0)</f>
        <v>1237</v>
      </c>
      <c r="Q760" s="274">
        <f>IF(AC77&gt;0,ROUND(AC77,0),0)</f>
        <v>0</v>
      </c>
      <c r="R760" s="274">
        <f>IF(AC78&gt;0,ROUND(AC78,0),0)</f>
        <v>298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345630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172*2017*7190*A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172*2017*7200*A</v>
      </c>
      <c r="B762" s="274">
        <f>ROUND(AE59,0)</f>
        <v>37359</v>
      </c>
      <c r="C762" s="276">
        <f>ROUND(AE60,2)</f>
        <v>39.22</v>
      </c>
      <c r="D762" s="274">
        <f>ROUND(AE61,0)</f>
        <v>2741528</v>
      </c>
      <c r="E762" s="274">
        <f>ROUND(AE62,0)</f>
        <v>583867</v>
      </c>
      <c r="F762" s="274">
        <f>ROUND(AE63,0)</f>
        <v>16561</v>
      </c>
      <c r="G762" s="274">
        <f>ROUND(AE64,0)</f>
        <v>75098</v>
      </c>
      <c r="H762" s="274">
        <f>ROUND(AE65,0)</f>
        <v>31784</v>
      </c>
      <c r="I762" s="274">
        <f>ROUND(AE66,0)</f>
        <v>39436</v>
      </c>
      <c r="J762" s="274">
        <f>ROUND(AE67,0)</f>
        <v>218922</v>
      </c>
      <c r="K762" s="274">
        <f>ROUND(AE68,0)</f>
        <v>30929</v>
      </c>
      <c r="L762" s="274">
        <f>ROUND(AE69,0)</f>
        <v>78981</v>
      </c>
      <c r="M762" s="274">
        <f>ROUND(AE70,0)</f>
        <v>29003</v>
      </c>
      <c r="N762" s="274">
        <f>ROUND(AE75,0)</f>
        <v>5415886</v>
      </c>
      <c r="O762" s="274">
        <f>ROUND(AE73,0)</f>
        <v>669803</v>
      </c>
      <c r="P762" s="274">
        <f>IF(AE76&gt;0,ROUND(AE76,0),0)</f>
        <v>8736</v>
      </c>
      <c r="Q762" s="274">
        <f>IF(AE77&gt;0,ROUND(AE77,0),0)</f>
        <v>0</v>
      </c>
      <c r="R762" s="274">
        <f>IF(AE78&gt;0,ROUND(AE78,0),0)</f>
        <v>2394</v>
      </c>
      <c r="S762" s="274">
        <f>IF(AE79&gt;0,ROUND(AE79,0),0)</f>
        <v>49240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1181396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172*2017*7220*A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172*2017*7230*A</v>
      </c>
      <c r="B764" s="274">
        <f>ROUND(AG59,0)</f>
        <v>12188</v>
      </c>
      <c r="C764" s="276">
        <f>ROUND(AG60,2)</f>
        <v>30.16</v>
      </c>
      <c r="D764" s="274">
        <f>ROUND(AG61,0)</f>
        <v>4411368</v>
      </c>
      <c r="E764" s="274">
        <f>ROUND(AG62,0)</f>
        <v>939495</v>
      </c>
      <c r="F764" s="274">
        <f>ROUND(AG63,0)</f>
        <v>51315</v>
      </c>
      <c r="G764" s="274">
        <f>ROUND(AG64,0)</f>
        <v>152815</v>
      </c>
      <c r="H764" s="274">
        <f>ROUND(AG65,0)</f>
        <v>1321</v>
      </c>
      <c r="I764" s="274">
        <f>ROUND(AG66,0)</f>
        <v>26927</v>
      </c>
      <c r="J764" s="274">
        <f>ROUND(AG67,0)</f>
        <v>160709</v>
      </c>
      <c r="K764" s="274">
        <f>ROUND(AG68,0)</f>
        <v>4787</v>
      </c>
      <c r="L764" s="274">
        <f>ROUND(AG69,0)</f>
        <v>93203</v>
      </c>
      <c r="M764" s="274">
        <f>ROUND(AG70,0)</f>
        <v>0</v>
      </c>
      <c r="N764" s="274">
        <f>ROUND(AG75,0)</f>
        <v>12490326</v>
      </c>
      <c r="O764" s="274">
        <f>ROUND(AG73,0)</f>
        <v>284533</v>
      </c>
      <c r="P764" s="274">
        <f>IF(AG76&gt;0,ROUND(AG76,0),0)</f>
        <v>6413</v>
      </c>
      <c r="Q764" s="274">
        <f>IF(AG77&gt;0,ROUND(AG77,0),0)</f>
        <v>1069</v>
      </c>
      <c r="R764" s="274">
        <f>IF(AG78&gt;0,ROUND(AG78,0),0)</f>
        <v>2394</v>
      </c>
      <c r="S764" s="274">
        <f>IF(AG79&gt;0,ROUND(AG79,0),0)</f>
        <v>54592</v>
      </c>
      <c r="T764" s="276">
        <f>IF(AG80&gt;0,ROUND(AG80,2),0)</f>
        <v>15.78</v>
      </c>
      <c r="U764" s="274"/>
      <c r="V764" s="275"/>
      <c r="W764" s="274"/>
      <c r="X764" s="274"/>
      <c r="Y764" s="274">
        <f t="shared" si="21"/>
        <v>2095618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172*2017*7240*A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172*2017*7250*A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172*2017*7260*A</v>
      </c>
      <c r="B767" s="274">
        <f>ROUND(AJ59,0)</f>
        <v>231</v>
      </c>
      <c r="C767" s="276">
        <f>ROUND(AJ60,2)</f>
        <v>0.62</v>
      </c>
      <c r="D767" s="274">
        <f>ROUND(AJ61,0)</f>
        <v>49567</v>
      </c>
      <c r="E767" s="274">
        <f>ROUND(AJ62,0)</f>
        <v>10556</v>
      </c>
      <c r="F767" s="274">
        <f>ROUND(AJ63,0)</f>
        <v>0</v>
      </c>
      <c r="G767" s="274">
        <f>ROUND(AJ64,0)</f>
        <v>0</v>
      </c>
      <c r="H767" s="274">
        <f>ROUND(AJ65,0)</f>
        <v>0</v>
      </c>
      <c r="I767" s="274">
        <f>ROUND(AJ66,0)</f>
        <v>0</v>
      </c>
      <c r="J767" s="274">
        <f>ROUND(AJ67,0)</f>
        <v>25060</v>
      </c>
      <c r="K767" s="274">
        <f>ROUND(AJ68,0)</f>
        <v>0</v>
      </c>
      <c r="L767" s="274">
        <f>ROUND(AJ69,0)</f>
        <v>1850</v>
      </c>
      <c r="M767" s="274">
        <f>ROUND(AJ70,0)</f>
        <v>0</v>
      </c>
      <c r="N767" s="274">
        <f>ROUND(AJ75,0)</f>
        <v>49449</v>
      </c>
      <c r="O767" s="274">
        <f>ROUND(AJ73,0)</f>
        <v>0</v>
      </c>
      <c r="P767" s="274">
        <f>IF(AJ76&gt;0,ROUND(AJ76,0),0)</f>
        <v>1000</v>
      </c>
      <c r="Q767" s="274">
        <f>IF(AJ77&gt;0,ROUND(AJ77,0),0)</f>
        <v>0</v>
      </c>
      <c r="R767" s="274">
        <f>IF(AJ78&gt;0,ROUND(AJ78,0),0)</f>
        <v>241</v>
      </c>
      <c r="S767" s="274">
        <f>IF(AJ79&gt;0,ROUND(AJ79,0),0)</f>
        <v>0</v>
      </c>
      <c r="T767" s="276">
        <f>IF(AJ80&gt;0,ROUND(AJ80,2),0)</f>
        <v>0</v>
      </c>
      <c r="U767" s="274"/>
      <c r="V767" s="275"/>
      <c r="W767" s="274"/>
      <c r="X767" s="274"/>
      <c r="Y767" s="274">
        <f t="shared" si="21"/>
        <v>54730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172*2017*7310*A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172*2017*7320*A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172*2017*7330*A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172*2017*7340*A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172*2017*7350*A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172*2017*7380*A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172*2017*7390*A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172*2017*7400*A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172*2017*7410*A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172*2017*7420*A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172*2017*7430*A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172*2017*7490*A</v>
      </c>
      <c r="B779" s="274"/>
      <c r="C779" s="276">
        <f>ROUND(AV60,2)</f>
        <v>2.02</v>
      </c>
      <c r="D779" s="274">
        <f>ROUND(AV61,0)</f>
        <v>157364</v>
      </c>
      <c r="E779" s="274">
        <f>ROUND(AV62,0)</f>
        <v>33514</v>
      </c>
      <c r="F779" s="274">
        <f>ROUND(AV63,0)</f>
        <v>22277</v>
      </c>
      <c r="G779" s="274">
        <f>ROUND(AV64,0)</f>
        <v>14008</v>
      </c>
      <c r="H779" s="274">
        <f>ROUND(AV65,0)</f>
        <v>468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48496</v>
      </c>
      <c r="M779" s="274">
        <f>ROUND(AV70,0)</f>
        <v>531</v>
      </c>
      <c r="N779" s="274">
        <f>ROUND(AV75,0)</f>
        <v>0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21957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172*2017*8200*A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172*2017*8310*A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172*2017*8320*A</v>
      </c>
      <c r="B782" s="274">
        <f>ROUND(AY59,0)</f>
        <v>19786</v>
      </c>
      <c r="C782" s="276">
        <f>ROUND(AY60,2)</f>
        <v>18.78</v>
      </c>
      <c r="D782" s="274">
        <f>ROUND(AY61,0)</f>
        <v>784943</v>
      </c>
      <c r="E782" s="274">
        <f>ROUND(AY62,0)</f>
        <v>167170</v>
      </c>
      <c r="F782" s="274">
        <f>ROUND(AY63,0)</f>
        <v>1701</v>
      </c>
      <c r="G782" s="274">
        <f>ROUND(AY64,0)</f>
        <v>479052</v>
      </c>
      <c r="H782" s="274">
        <f>ROUND(AY65,0)</f>
        <v>0</v>
      </c>
      <c r="I782" s="274">
        <f>ROUND(AY66,0)</f>
        <v>12727</v>
      </c>
      <c r="J782" s="274">
        <f>ROUND(AY67,0)</f>
        <v>119435</v>
      </c>
      <c r="K782" s="274">
        <f>ROUND(AY68,0)</f>
        <v>11</v>
      </c>
      <c r="L782" s="274">
        <f>ROUND(AY69,0)</f>
        <v>4419</v>
      </c>
      <c r="M782" s="274">
        <f>ROUND(AY70,0)</f>
        <v>1487</v>
      </c>
      <c r="N782" s="274"/>
      <c r="O782" s="274"/>
      <c r="P782" s="274">
        <f>IF(AY76&gt;0,ROUND(AY76,0),0)</f>
        <v>4766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172*2017*8330*A</v>
      </c>
      <c r="B783" s="274">
        <f>ROUND(AZ59,0)</f>
        <v>111832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506040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172*2017*8350*A</v>
      </c>
      <c r="B784" s="274">
        <f>ROUND(BA59,0)</f>
        <v>0</v>
      </c>
      <c r="C784" s="276">
        <f>ROUND(BA60,2)</f>
        <v>0.52</v>
      </c>
      <c r="D784" s="274">
        <f>ROUND(BA61,0)</f>
        <v>20817</v>
      </c>
      <c r="E784" s="274">
        <f>ROUND(BA62,0)</f>
        <v>4433</v>
      </c>
      <c r="F784" s="274">
        <f>ROUND(BA63,0)</f>
        <v>0</v>
      </c>
      <c r="G784" s="274">
        <f>ROUND(BA64,0)</f>
        <v>8</v>
      </c>
      <c r="H784" s="274">
        <f>ROUND(BA65,0)</f>
        <v>0</v>
      </c>
      <c r="I784" s="274">
        <f>ROUND(BA66,0)</f>
        <v>213910</v>
      </c>
      <c r="J784" s="274">
        <f>ROUND(BA67,0)</f>
        <v>32427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1294</v>
      </c>
      <c r="Q784" s="274">
        <f>IF(BA77&gt;0,ROUND(BA77,0),0)</f>
        <v>0</v>
      </c>
      <c r="R784" s="274">
        <f>IF(BA78&gt;0,ROUND(BA78,0),0)</f>
        <v>312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172*2017*8360*A</v>
      </c>
      <c r="B785" s="274"/>
      <c r="C785" s="276">
        <f>ROUND(BB60,2)</f>
        <v>6.29</v>
      </c>
      <c r="D785" s="274">
        <f>ROUND(BB61,0)</f>
        <v>445301</v>
      </c>
      <c r="E785" s="274">
        <f>ROUND(BB62,0)</f>
        <v>94836</v>
      </c>
      <c r="F785" s="274">
        <f>ROUND(BB63,0)</f>
        <v>2000</v>
      </c>
      <c r="G785" s="274">
        <f>ROUND(BB64,0)</f>
        <v>2109</v>
      </c>
      <c r="H785" s="274">
        <f>ROUND(BB65,0)</f>
        <v>2457</v>
      </c>
      <c r="I785" s="274">
        <f>ROUND(BB66,0)</f>
        <v>0</v>
      </c>
      <c r="J785" s="274">
        <f>ROUND(BB67,0)</f>
        <v>3759</v>
      </c>
      <c r="K785" s="274">
        <f>ROUND(BB68,0)</f>
        <v>2589</v>
      </c>
      <c r="L785" s="274">
        <f>ROUND(BB69,0)</f>
        <v>12291</v>
      </c>
      <c r="M785" s="274">
        <f>ROUND(BB70,0)</f>
        <v>27150</v>
      </c>
      <c r="N785" s="274"/>
      <c r="O785" s="274"/>
      <c r="P785" s="274">
        <f>IF(BB76&gt;0,ROUND(BB76,0),0)</f>
        <v>150</v>
      </c>
      <c r="Q785" s="274">
        <f>IF(BB77&gt;0,ROUND(BB77,0),0)</f>
        <v>0</v>
      </c>
      <c r="R785" s="274">
        <f>IF(BB78&gt;0,ROUND(BB78,0),0)</f>
        <v>36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172*2017*8370*A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172*2017*8420*A</v>
      </c>
      <c r="B787" s="274"/>
      <c r="C787" s="276">
        <f>ROUND(BD60,2)</f>
        <v>6.97</v>
      </c>
      <c r="D787" s="274">
        <f>ROUND(BD61,0)</f>
        <v>421046</v>
      </c>
      <c r="E787" s="274">
        <f>ROUND(BD62,0)</f>
        <v>89671</v>
      </c>
      <c r="F787" s="274">
        <f>ROUND(BD63,0)</f>
        <v>966</v>
      </c>
      <c r="G787" s="274">
        <f>ROUND(BD64,0)</f>
        <v>6998</v>
      </c>
      <c r="H787" s="274">
        <f>ROUND(BD65,0)</f>
        <v>853</v>
      </c>
      <c r="I787" s="274">
        <f>ROUND(BD66,0)</f>
        <v>1233</v>
      </c>
      <c r="J787" s="274">
        <f>ROUND(BD67,0)</f>
        <v>70644</v>
      </c>
      <c r="K787" s="274">
        <f>ROUND(BD68,0)</f>
        <v>7466</v>
      </c>
      <c r="L787" s="274">
        <f>ROUND(BD69,0)</f>
        <v>15062</v>
      </c>
      <c r="M787" s="274">
        <f>ROUND(BD70,0)</f>
        <v>0</v>
      </c>
      <c r="N787" s="274"/>
      <c r="O787" s="274"/>
      <c r="P787" s="274">
        <f>IF(BD76&gt;0,ROUND(BD76,0),0)</f>
        <v>2819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172*2017*8430*A</v>
      </c>
      <c r="B788" s="274">
        <f>ROUND(BE59,0)</f>
        <v>110387</v>
      </c>
      <c r="C788" s="276">
        <f>ROUND(BE60,2)</f>
        <v>8.1199999999999992</v>
      </c>
      <c r="D788" s="274">
        <f>ROUND(BE61,0)</f>
        <v>542298</v>
      </c>
      <c r="E788" s="274">
        <f>ROUND(BE62,0)</f>
        <v>115494</v>
      </c>
      <c r="F788" s="274">
        <f>ROUND(BE63,0)</f>
        <v>42919</v>
      </c>
      <c r="G788" s="274">
        <f>ROUND(BE64,0)</f>
        <v>9664</v>
      </c>
      <c r="H788" s="274">
        <f>ROUND(BE65,0)</f>
        <v>496005</v>
      </c>
      <c r="I788" s="274">
        <f>ROUND(BE66,0)</f>
        <v>187450</v>
      </c>
      <c r="J788" s="274">
        <f>ROUND(BE67,0)</f>
        <v>329562</v>
      </c>
      <c r="K788" s="274">
        <f>ROUND(BE68,0)</f>
        <v>10211</v>
      </c>
      <c r="L788" s="274">
        <f>ROUND(BE69,0)</f>
        <v>4226</v>
      </c>
      <c r="M788" s="274">
        <f>ROUND(BE70,0)</f>
        <v>0</v>
      </c>
      <c r="N788" s="274"/>
      <c r="O788" s="274"/>
      <c r="P788" s="274">
        <f>IF(BE76&gt;0,ROUND(BE76,0),0)</f>
        <v>13151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172*2017*8460*A</v>
      </c>
      <c r="B789" s="274"/>
      <c r="C789" s="276">
        <f>ROUND(BF60,2)</f>
        <v>12.79</v>
      </c>
      <c r="D789" s="274">
        <f>ROUND(BF61,0)</f>
        <v>450960</v>
      </c>
      <c r="E789" s="274">
        <f>ROUND(BF62,0)</f>
        <v>96042</v>
      </c>
      <c r="F789" s="274">
        <f>ROUND(BF63,0)</f>
        <v>3661</v>
      </c>
      <c r="G789" s="274">
        <f>ROUND(BF64,0)</f>
        <v>52284</v>
      </c>
      <c r="H789" s="274">
        <f>ROUND(BF65,0)</f>
        <v>46846</v>
      </c>
      <c r="I789" s="274">
        <f>ROUND(BF66,0)</f>
        <v>4469</v>
      </c>
      <c r="J789" s="274">
        <f>ROUND(BF67,0)</f>
        <v>9397</v>
      </c>
      <c r="K789" s="274">
        <f>ROUND(BF68,0)</f>
        <v>312</v>
      </c>
      <c r="L789" s="274">
        <f>ROUND(BF69,0)</f>
        <v>884</v>
      </c>
      <c r="M789" s="274">
        <f>ROUND(BF70,0)</f>
        <v>0</v>
      </c>
      <c r="N789" s="274"/>
      <c r="O789" s="274"/>
      <c r="P789" s="274">
        <f>IF(BF76&gt;0,ROUND(BF76,0),0)</f>
        <v>375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172*2017*8470*A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172*2017*8480*A</v>
      </c>
      <c r="B791" s="274"/>
      <c r="C791" s="276">
        <f>ROUND(BH60,2)</f>
        <v>5.82</v>
      </c>
      <c r="D791" s="274">
        <f>ROUND(BH61,0)</f>
        <v>530346</v>
      </c>
      <c r="E791" s="274">
        <f>ROUND(BH62,0)</f>
        <v>112949</v>
      </c>
      <c r="F791" s="274">
        <f>ROUND(BH63,0)</f>
        <v>740</v>
      </c>
      <c r="G791" s="274">
        <f>ROUND(BH64,0)</f>
        <v>8758</v>
      </c>
      <c r="H791" s="274">
        <f>ROUND(BH65,0)</f>
        <v>136588</v>
      </c>
      <c r="I791" s="274">
        <f>ROUND(BH66,0)</f>
        <v>952755</v>
      </c>
      <c r="J791" s="274">
        <f>ROUND(BH67,0)</f>
        <v>46787</v>
      </c>
      <c r="K791" s="274">
        <f>ROUND(BH68,0)</f>
        <v>0</v>
      </c>
      <c r="L791" s="274">
        <f>ROUND(BH69,0)</f>
        <v>32731</v>
      </c>
      <c r="M791" s="274">
        <f>ROUND(BH70,0)</f>
        <v>111772</v>
      </c>
      <c r="N791" s="274"/>
      <c r="O791" s="274"/>
      <c r="P791" s="274">
        <f>IF(BH76&gt;0,ROUND(BH76,0),0)</f>
        <v>1867</v>
      </c>
      <c r="Q791" s="274">
        <f>IF(BH77&gt;0,ROUND(BH77,0),0)</f>
        <v>0</v>
      </c>
      <c r="R791" s="274">
        <f>IF(BH78&gt;0,ROUND(BH78,0),0)</f>
        <v>266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172*2017*8490*A</v>
      </c>
      <c r="B792" s="274"/>
      <c r="C792" s="276">
        <f>ROUND(BI60,2)</f>
        <v>4.01</v>
      </c>
      <c r="D792" s="274">
        <f>ROUND(BI61,0)</f>
        <v>414373</v>
      </c>
      <c r="E792" s="274">
        <f>ROUND(BI62,0)</f>
        <v>88250</v>
      </c>
      <c r="F792" s="274">
        <f>ROUND(BI63,0)</f>
        <v>52034</v>
      </c>
      <c r="G792" s="274">
        <f>ROUND(BI64,0)</f>
        <v>5734</v>
      </c>
      <c r="H792" s="274">
        <f>ROUND(BI65,0)</f>
        <v>4556</v>
      </c>
      <c r="I792" s="274">
        <f>ROUND(BI66,0)</f>
        <v>43807</v>
      </c>
      <c r="J792" s="274">
        <f>ROUND(BI67,0)</f>
        <v>0</v>
      </c>
      <c r="K792" s="274">
        <f>ROUND(BI68,0)</f>
        <v>42407</v>
      </c>
      <c r="L792" s="274">
        <f>ROUND(BI69,0)</f>
        <v>139982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172*2017*8510*A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172*2017*8530*A</v>
      </c>
      <c r="B794" s="274"/>
      <c r="C794" s="276">
        <f>ROUND(BK60,2)</f>
        <v>11.39</v>
      </c>
      <c r="D794" s="274">
        <f>ROUND(BK61,0)</f>
        <v>538157</v>
      </c>
      <c r="E794" s="274">
        <f>ROUND(BK62,0)</f>
        <v>114612</v>
      </c>
      <c r="F794" s="274">
        <f>ROUND(BK63,0)</f>
        <v>456611</v>
      </c>
      <c r="G794" s="274">
        <f>ROUND(BK64,0)</f>
        <v>25536</v>
      </c>
      <c r="H794" s="274">
        <f>ROUND(BK65,0)</f>
        <v>2999</v>
      </c>
      <c r="I794" s="274">
        <f>ROUND(BK66,0)</f>
        <v>91987</v>
      </c>
      <c r="J794" s="274">
        <f>ROUND(BK67,0)</f>
        <v>0</v>
      </c>
      <c r="K794" s="274">
        <f>ROUND(BK68,0)</f>
        <v>52268</v>
      </c>
      <c r="L794" s="274">
        <f>ROUND(BK69,0)</f>
        <v>57648</v>
      </c>
      <c r="M794" s="274">
        <f>ROUND(BK70,0)</f>
        <v>180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172*2017*8560*A</v>
      </c>
      <c r="B795" s="274"/>
      <c r="C795" s="276">
        <f>ROUND(BL60,2)</f>
        <v>12.57</v>
      </c>
      <c r="D795" s="274">
        <f>ROUND(BL61,0)</f>
        <v>520399</v>
      </c>
      <c r="E795" s="274">
        <f>ROUND(BL62,0)</f>
        <v>110830</v>
      </c>
      <c r="F795" s="274">
        <f>ROUND(BL63,0)</f>
        <v>0</v>
      </c>
      <c r="G795" s="274">
        <f>ROUND(BL64,0)</f>
        <v>10465</v>
      </c>
      <c r="H795" s="274">
        <f>ROUND(BL65,0)</f>
        <v>0</v>
      </c>
      <c r="I795" s="274">
        <f>ROUND(BL66,0)</f>
        <v>2472</v>
      </c>
      <c r="J795" s="274">
        <f>ROUND(BL67,0)</f>
        <v>21702</v>
      </c>
      <c r="K795" s="274">
        <f>ROUND(BL68,0)</f>
        <v>0</v>
      </c>
      <c r="L795" s="274">
        <f>ROUND(BL69,0)</f>
        <v>29</v>
      </c>
      <c r="M795" s="274">
        <f>ROUND(BL70,0)</f>
        <v>0</v>
      </c>
      <c r="N795" s="274"/>
      <c r="O795" s="274"/>
      <c r="P795" s="274">
        <f>IF(BL76&gt;0,ROUND(BL76,0),0)</f>
        <v>866</v>
      </c>
      <c r="Q795" s="274">
        <f>IF(BL77&gt;0,ROUND(BL77,0),0)</f>
        <v>0</v>
      </c>
      <c r="R795" s="274">
        <f>IF(BL78&gt;0,ROUND(BL78,0),0)</f>
        <v>209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172*2017*8590*A</v>
      </c>
      <c r="B796" s="274"/>
      <c r="C796" s="276">
        <f>ROUND(BM60,2)</f>
        <v>3.15</v>
      </c>
      <c r="D796" s="274">
        <f>ROUND(BM61,0)</f>
        <v>211147</v>
      </c>
      <c r="E796" s="274">
        <f>ROUND(BM62,0)</f>
        <v>44968</v>
      </c>
      <c r="F796" s="274">
        <f>ROUND(BM63,0)</f>
        <v>83516</v>
      </c>
      <c r="G796" s="274">
        <f>ROUND(BM64,0)</f>
        <v>6759</v>
      </c>
      <c r="H796" s="274">
        <f>ROUND(BM65,0)</f>
        <v>51</v>
      </c>
      <c r="I796" s="274">
        <f>ROUND(BM66,0)</f>
        <v>91892</v>
      </c>
      <c r="J796" s="274">
        <f>ROUND(BM67,0)</f>
        <v>6891</v>
      </c>
      <c r="K796" s="274">
        <f>ROUND(BM68,0)</f>
        <v>0</v>
      </c>
      <c r="L796" s="274">
        <f>ROUND(BM69,0)</f>
        <v>45522</v>
      </c>
      <c r="M796" s="274">
        <f>ROUND(BM70,0)</f>
        <v>521127</v>
      </c>
      <c r="N796" s="274"/>
      <c r="O796" s="274"/>
      <c r="P796" s="274">
        <f>IF(BM76&gt;0,ROUND(BM76,0),0)</f>
        <v>275</v>
      </c>
      <c r="Q796" s="274">
        <f>IF(BM77&gt;0,ROUND(BM77,0),0)</f>
        <v>0</v>
      </c>
      <c r="R796" s="274">
        <f>IF(BM78&gt;0,ROUND(BM78,0),0)</f>
        <v>66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172*2017*8610*A</v>
      </c>
      <c r="B797" s="274"/>
      <c r="C797" s="276">
        <f>ROUND(BN60,2)</f>
        <v>3.1</v>
      </c>
      <c r="D797" s="274">
        <f>ROUND(BN61,0)</f>
        <v>555473</v>
      </c>
      <c r="E797" s="274">
        <f>ROUND(BN62,0)</f>
        <v>118300</v>
      </c>
      <c r="F797" s="274">
        <f>ROUND(BN63,0)</f>
        <v>569299</v>
      </c>
      <c r="G797" s="274">
        <f>ROUND(BN64,0)</f>
        <v>22241</v>
      </c>
      <c r="H797" s="274">
        <f>ROUND(BN65,0)</f>
        <v>936</v>
      </c>
      <c r="I797" s="274">
        <f>ROUND(BN66,0)</f>
        <v>11516</v>
      </c>
      <c r="J797" s="274">
        <f>ROUND(BN67,0)</f>
        <v>89338</v>
      </c>
      <c r="K797" s="274">
        <f>ROUND(BN68,0)</f>
        <v>15327</v>
      </c>
      <c r="L797" s="274">
        <f>ROUND(BN69,0)</f>
        <v>303779</v>
      </c>
      <c r="M797" s="274">
        <f>ROUND(BN70,0)</f>
        <v>162</v>
      </c>
      <c r="N797" s="274"/>
      <c r="O797" s="274"/>
      <c r="P797" s="274">
        <f>IF(BN76&gt;0,ROUND(BN76,0),0)</f>
        <v>3565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172*2017*8620*A</v>
      </c>
      <c r="B798" s="274"/>
      <c r="C798" s="276">
        <f>ROUND(BO60,2)</f>
        <v>1.04</v>
      </c>
      <c r="D798" s="274">
        <f>ROUND(BO61,0)</f>
        <v>107184</v>
      </c>
      <c r="E798" s="274">
        <f>ROUND(BO62,0)</f>
        <v>22827</v>
      </c>
      <c r="F798" s="274">
        <f>ROUND(BO63,0)</f>
        <v>141</v>
      </c>
      <c r="G798" s="274">
        <f>ROUND(BO64,0)</f>
        <v>4476</v>
      </c>
      <c r="H798" s="274">
        <f>ROUND(BO65,0)</f>
        <v>468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3413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172*2017*8630*A</v>
      </c>
      <c r="B799" s="274"/>
      <c r="C799" s="276">
        <f>ROUND(BP60,2)</f>
        <v>4.5</v>
      </c>
      <c r="D799" s="274">
        <f>ROUND(BP61,0)</f>
        <v>296718</v>
      </c>
      <c r="E799" s="274">
        <f>ROUND(BP62,0)</f>
        <v>63192</v>
      </c>
      <c r="F799" s="274">
        <f>ROUND(BP63,0)</f>
        <v>305296</v>
      </c>
      <c r="G799" s="274">
        <f>ROUND(BP64,0)</f>
        <v>16530</v>
      </c>
      <c r="H799" s="274">
        <f>ROUND(BP65,0)</f>
        <v>468</v>
      </c>
      <c r="I799" s="274">
        <f>ROUND(BP66,0)</f>
        <v>32450</v>
      </c>
      <c r="J799" s="274">
        <f>ROUND(BP67,0)</f>
        <v>6891</v>
      </c>
      <c r="K799" s="274">
        <f>ROUND(BP68,0)</f>
        <v>2299</v>
      </c>
      <c r="L799" s="274">
        <f>ROUND(BP69,0)</f>
        <v>56966</v>
      </c>
      <c r="M799" s="274">
        <f>ROUND(BP70,0)</f>
        <v>180</v>
      </c>
      <c r="N799" s="274"/>
      <c r="O799" s="274"/>
      <c r="P799" s="274">
        <f>IF(BP76&gt;0,ROUND(BP76,0),0)</f>
        <v>275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172*2017*8640*A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172*2017*8650*A</v>
      </c>
      <c r="B801" s="274"/>
      <c r="C801" s="276">
        <f>ROUND(BR60,2)</f>
        <v>4.76</v>
      </c>
      <c r="D801" s="274">
        <f>ROUND(BR61,0)</f>
        <v>450546</v>
      </c>
      <c r="E801" s="274">
        <f>ROUND(BR62,0)</f>
        <v>95953</v>
      </c>
      <c r="F801" s="274">
        <f>ROUND(BR63,0)</f>
        <v>95752</v>
      </c>
      <c r="G801" s="274">
        <f>ROUND(BR64,0)</f>
        <v>14877</v>
      </c>
      <c r="H801" s="274">
        <f>ROUND(BR65,0)</f>
        <v>0</v>
      </c>
      <c r="I801" s="274">
        <f>ROUND(BR66,0)</f>
        <v>45060</v>
      </c>
      <c r="J801" s="274">
        <f>ROUND(BR67,0)</f>
        <v>6891</v>
      </c>
      <c r="K801" s="274">
        <f>ROUND(BR68,0)</f>
        <v>0</v>
      </c>
      <c r="L801" s="274">
        <f>ROUND(BR69,0)</f>
        <v>68071</v>
      </c>
      <c r="M801" s="274">
        <f>ROUND(BR70,0)</f>
        <v>2410</v>
      </c>
      <c r="N801" s="274"/>
      <c r="O801" s="274"/>
      <c r="P801" s="274">
        <f>IF(BR76&gt;0,ROUND(BR76,0),0)</f>
        <v>275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172*2017*8660*A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172*2017*8670*A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172*2017*8680*A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172*2017*8690*A</v>
      </c>
      <c r="B805" s="274"/>
      <c r="C805" s="276">
        <f>ROUND(BV60,2)</f>
        <v>4.99</v>
      </c>
      <c r="D805" s="274">
        <f>ROUND(BV61,0)</f>
        <v>285530</v>
      </c>
      <c r="E805" s="274">
        <f>ROUND(BV62,0)</f>
        <v>60810</v>
      </c>
      <c r="F805" s="274">
        <f>ROUND(BV63,0)</f>
        <v>219464</v>
      </c>
      <c r="G805" s="274">
        <f>ROUND(BV64,0)</f>
        <v>4216</v>
      </c>
      <c r="H805" s="274">
        <f>ROUND(BV65,0)</f>
        <v>0</v>
      </c>
      <c r="I805" s="274">
        <f>ROUND(BV66,0)</f>
        <v>32176</v>
      </c>
      <c r="J805" s="274">
        <f>ROUND(BV67,0)</f>
        <v>33906</v>
      </c>
      <c r="K805" s="274">
        <f>ROUND(BV68,0)</f>
        <v>8306</v>
      </c>
      <c r="L805" s="274">
        <f>ROUND(BV69,0)</f>
        <v>5768</v>
      </c>
      <c r="M805" s="274">
        <f>ROUND(BV70,0)</f>
        <v>12076</v>
      </c>
      <c r="N805" s="274"/>
      <c r="O805" s="274"/>
      <c r="P805" s="274">
        <f>IF(BV76&gt;0,ROUND(BV76,0),0)</f>
        <v>1353</v>
      </c>
      <c r="Q805" s="274">
        <f>IF(BV77&gt;0,ROUND(BV77,0),0)</f>
        <v>0</v>
      </c>
      <c r="R805" s="274">
        <f>IF(BV78&gt;0,ROUND(BV78,0),0)</f>
        <v>326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172*2017*8700*A</v>
      </c>
      <c r="B806" s="274"/>
      <c r="C806" s="276">
        <f>ROUND(BW60,2)</f>
        <v>2.74</v>
      </c>
      <c r="D806" s="274">
        <f>ROUND(BW61,0)</f>
        <v>408222</v>
      </c>
      <c r="E806" s="274">
        <f>ROUND(BW62,0)</f>
        <v>86940</v>
      </c>
      <c r="F806" s="274">
        <f>ROUND(BW63,0)</f>
        <v>1013112</v>
      </c>
      <c r="G806" s="274">
        <f>ROUND(BW64,0)</f>
        <v>18634</v>
      </c>
      <c r="H806" s="274">
        <f>ROUND(BW65,0)</f>
        <v>936</v>
      </c>
      <c r="I806" s="274">
        <f>ROUND(BW66,0)</f>
        <v>7092</v>
      </c>
      <c r="J806" s="274">
        <f>ROUND(BW67,0)</f>
        <v>3759</v>
      </c>
      <c r="K806" s="274">
        <f>ROUND(BW68,0)</f>
        <v>0</v>
      </c>
      <c r="L806" s="274">
        <f>ROUND(BW69,0)</f>
        <v>51199</v>
      </c>
      <c r="M806" s="274">
        <f>ROUND(BW70,0)</f>
        <v>8375</v>
      </c>
      <c r="N806" s="274"/>
      <c r="O806" s="274"/>
      <c r="P806" s="274">
        <f>IF(BW76&gt;0,ROUND(BW76,0),0)</f>
        <v>150</v>
      </c>
      <c r="Q806" s="274">
        <f>IF(BW77&gt;0,ROUND(BW77,0),0)</f>
        <v>0</v>
      </c>
      <c r="R806" s="274">
        <f>IF(BW78&gt;0,ROUND(BW78,0),0)</f>
        <v>36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172*2017*8710*A</v>
      </c>
      <c r="B807" s="274"/>
      <c r="C807" s="276">
        <f>ROUND(BX60,2)</f>
        <v>4.78</v>
      </c>
      <c r="D807" s="274">
        <f>ROUND(BX61,0)</f>
        <v>408089</v>
      </c>
      <c r="E807" s="274">
        <f>ROUND(BX62,0)</f>
        <v>86911</v>
      </c>
      <c r="F807" s="274">
        <f>ROUND(BX63,0)</f>
        <v>93363</v>
      </c>
      <c r="G807" s="274">
        <f>ROUND(BX64,0)</f>
        <v>4163</v>
      </c>
      <c r="H807" s="274">
        <f>ROUND(BX65,0)</f>
        <v>156</v>
      </c>
      <c r="I807" s="274">
        <f>ROUND(BX66,0)</f>
        <v>13475</v>
      </c>
      <c r="J807" s="274">
        <f>ROUND(BX67,0)</f>
        <v>3759</v>
      </c>
      <c r="K807" s="274">
        <f>ROUND(BX68,0)</f>
        <v>0</v>
      </c>
      <c r="L807" s="274">
        <f>ROUND(BX69,0)</f>
        <v>78279</v>
      </c>
      <c r="M807" s="274">
        <f>ROUND(BX70,0)</f>
        <v>6600</v>
      </c>
      <c r="N807" s="274"/>
      <c r="O807" s="274"/>
      <c r="P807" s="274">
        <f>IF(BX76&gt;0,ROUND(BX76,0),0)</f>
        <v>150</v>
      </c>
      <c r="Q807" s="274">
        <f>IF(BX77&gt;0,ROUND(BX77,0),0)</f>
        <v>0</v>
      </c>
      <c r="R807" s="274">
        <f>IF(BX78&gt;0,ROUND(BX78,0),0)</f>
        <v>36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172*2017*8720*A</v>
      </c>
      <c r="B808" s="274"/>
      <c r="C808" s="276">
        <f>ROUND(BY60,2)</f>
        <v>6.65</v>
      </c>
      <c r="D808" s="274">
        <f>ROUND(BY61,0)</f>
        <v>823271</v>
      </c>
      <c r="E808" s="274">
        <f>ROUND(BY62,0)</f>
        <v>175333</v>
      </c>
      <c r="F808" s="274">
        <f>ROUND(BY63,0)</f>
        <v>81</v>
      </c>
      <c r="G808" s="274">
        <f>ROUND(BY64,0)</f>
        <v>2536</v>
      </c>
      <c r="H808" s="274">
        <f>ROUND(BY65,0)</f>
        <v>468</v>
      </c>
      <c r="I808" s="274">
        <f>ROUND(BY66,0)</f>
        <v>276</v>
      </c>
      <c r="J808" s="274">
        <f>ROUND(BY67,0)</f>
        <v>3759</v>
      </c>
      <c r="K808" s="274">
        <f>ROUND(BY68,0)</f>
        <v>0</v>
      </c>
      <c r="L808" s="274">
        <f>ROUND(BY69,0)</f>
        <v>22573</v>
      </c>
      <c r="M808" s="274">
        <f>ROUND(BY70,0)</f>
        <v>0</v>
      </c>
      <c r="N808" s="274"/>
      <c r="O808" s="274"/>
      <c r="P808" s="274">
        <f>IF(BY76&gt;0,ROUND(BY76,0),0)</f>
        <v>150</v>
      </c>
      <c r="Q808" s="274">
        <f>IF(BY77&gt;0,ROUND(BY77,0),0)</f>
        <v>0</v>
      </c>
      <c r="R808" s="274">
        <f>IF(BY78&gt;0,ROUND(BY78,0),0)</f>
        <v>36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172*2017*8730*A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172*2017*8740*A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172*2017*8770*A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172*2017*8790*A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0</v>
      </c>
      <c r="J812" s="274">
        <f>ROUND(CC67,0)</f>
        <v>507511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20252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172*2017*9000*A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1393574</v>
      </c>
      <c r="V813" s="275">
        <f>ROUND(CD70,0)</f>
        <v>122407</v>
      </c>
      <c r="W813" s="274">
        <f>ROUND(CE72,0)</f>
        <v>1206907</v>
      </c>
      <c r="X813" s="274">
        <f>ROUND(C131,0)</f>
        <v>135821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362.33</v>
      </c>
      <c r="D815" s="275">
        <f t="shared" si="22"/>
        <v>29181362</v>
      </c>
      <c r="E815" s="275">
        <f t="shared" si="22"/>
        <v>6214794</v>
      </c>
      <c r="F815" s="275">
        <f t="shared" si="22"/>
        <v>5449892</v>
      </c>
      <c r="G815" s="275">
        <f t="shared" si="22"/>
        <v>11513648</v>
      </c>
      <c r="H815" s="275">
        <f t="shared" si="22"/>
        <v>736663</v>
      </c>
      <c r="I815" s="275">
        <f t="shared" si="22"/>
        <v>3105166</v>
      </c>
      <c r="J815" s="275">
        <f t="shared" si="22"/>
        <v>2766275</v>
      </c>
      <c r="K815" s="275">
        <f t="shared" si="22"/>
        <v>682266</v>
      </c>
      <c r="L815" s="275">
        <f>SUM(L734:L813)+SUM(U734:U813)</f>
        <v>2749666</v>
      </c>
      <c r="M815" s="275">
        <f>SUM(M734:M813)+SUM(V734:V813)</f>
        <v>2335544</v>
      </c>
      <c r="N815" s="275">
        <f t="shared" ref="N815:Y815" si="23">SUM(N734:N813)</f>
        <v>114883526</v>
      </c>
      <c r="O815" s="275">
        <f t="shared" si="23"/>
        <v>30403476</v>
      </c>
      <c r="P815" s="275">
        <f t="shared" si="23"/>
        <v>110387</v>
      </c>
      <c r="Q815" s="275">
        <f t="shared" si="23"/>
        <v>19786</v>
      </c>
      <c r="R815" s="275">
        <f t="shared" si="23"/>
        <v>15746</v>
      </c>
      <c r="S815" s="275">
        <f t="shared" si="23"/>
        <v>292174</v>
      </c>
      <c r="T815" s="279">
        <f t="shared" si="23"/>
        <v>80.260000000000005</v>
      </c>
      <c r="U815" s="275">
        <f t="shared" si="23"/>
        <v>1393574</v>
      </c>
      <c r="V815" s="275">
        <f t="shared" si="23"/>
        <v>122407</v>
      </c>
      <c r="W815" s="275">
        <f t="shared" si="23"/>
        <v>1206907</v>
      </c>
      <c r="X815" s="275">
        <f t="shared" si="23"/>
        <v>135821</v>
      </c>
      <c r="Y815" s="275">
        <f t="shared" si="23"/>
        <v>18452636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362.33</v>
      </c>
      <c r="D816" s="275">
        <f>CE61</f>
        <v>29181362</v>
      </c>
      <c r="E816" s="275">
        <f>CE62</f>
        <v>6214794</v>
      </c>
      <c r="F816" s="275">
        <f>CE63</f>
        <v>5449892</v>
      </c>
      <c r="G816" s="275">
        <f>CE64</f>
        <v>11513648</v>
      </c>
      <c r="H816" s="278">
        <f>CE65</f>
        <v>736663</v>
      </c>
      <c r="I816" s="278">
        <f>CE66</f>
        <v>3105166</v>
      </c>
      <c r="J816" s="278">
        <f>CE67</f>
        <v>2766275</v>
      </c>
      <c r="K816" s="278">
        <f>CE68</f>
        <v>682266</v>
      </c>
      <c r="L816" s="278">
        <f>CE69</f>
        <v>2749666</v>
      </c>
      <c r="M816" s="278">
        <f>CE70</f>
        <v>2335544</v>
      </c>
      <c r="N816" s="275">
        <f>CE75</f>
        <v>114883526</v>
      </c>
      <c r="O816" s="275">
        <f>CE73</f>
        <v>30403476</v>
      </c>
      <c r="P816" s="275">
        <f>CE76</f>
        <v>110387</v>
      </c>
      <c r="Q816" s="275">
        <f>CE77</f>
        <v>19786</v>
      </c>
      <c r="R816" s="275">
        <f>CE78</f>
        <v>15746</v>
      </c>
      <c r="S816" s="275">
        <f>CE79</f>
        <v>292174</v>
      </c>
      <c r="T816" s="279">
        <f>CE80</f>
        <v>80.258875000000003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18452635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29181362</v>
      </c>
      <c r="E817" s="180">
        <f>C379</f>
        <v>6214795</v>
      </c>
      <c r="F817" s="180">
        <f>C380</f>
        <v>5449892</v>
      </c>
      <c r="G817" s="238">
        <f>C381</f>
        <v>11513648</v>
      </c>
      <c r="H817" s="238">
        <f>C382</f>
        <v>736663</v>
      </c>
      <c r="I817" s="238">
        <f>C383</f>
        <v>3105166</v>
      </c>
      <c r="J817" s="238">
        <f>C384</f>
        <v>2766277</v>
      </c>
      <c r="K817" s="238">
        <f>C385</f>
        <v>682266</v>
      </c>
      <c r="L817" s="238">
        <f>C386+C387+C388+C389</f>
        <v>2749666</v>
      </c>
      <c r="M817" s="238">
        <f>C370</f>
        <v>2335544</v>
      </c>
      <c r="N817" s="180">
        <f>D361</f>
        <v>114883526</v>
      </c>
      <c r="O817" s="180">
        <f>C359</f>
        <v>30403476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Public Hospital District #1-A of Whitman County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  835 SE Bishop Blvd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  835 SE Bishop Blvd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Pullman WA 99163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H-172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Public Hospital District #1-A of Whitman County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Whitman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Scott K Adams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Steven D Febus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Patricia D Grantham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509-332-2541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509-332-4242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1273</v>
      </c>
      <c r="G23" s="21">
        <f>data!D111</f>
        <v>3318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28</v>
      </c>
      <c r="G24" s="21">
        <f>data!D112</f>
        <v>263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353</v>
      </c>
      <c r="G26" s="13">
        <f>data!D114</f>
        <v>703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2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8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314476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Public Hospital District #1-A of Whitman County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531</v>
      </c>
      <c r="C7" s="48">
        <f>data!B139</f>
        <v>1440</v>
      </c>
      <c r="D7" s="48">
        <f>data!B140</f>
        <v>0</v>
      </c>
      <c r="E7" s="48">
        <f>data!B141</f>
        <v>15191743</v>
      </c>
      <c r="F7" s="48">
        <f>data!B142</f>
        <v>26170720</v>
      </c>
      <c r="G7" s="48">
        <f>data!B141+data!B142</f>
        <v>41362463</v>
      </c>
    </row>
    <row r="8" spans="1:13" ht="20.100000000000001" customHeight="1" x14ac:dyDescent="0.25">
      <c r="A8" s="23" t="s">
        <v>297</v>
      </c>
      <c r="B8" s="48">
        <f>data!C138</f>
        <v>235</v>
      </c>
      <c r="C8" s="48">
        <f>data!C139</f>
        <v>617</v>
      </c>
      <c r="D8" s="48">
        <f>data!C140</f>
        <v>0</v>
      </c>
      <c r="E8" s="48">
        <f>data!C141</f>
        <v>3086231</v>
      </c>
      <c r="F8" s="48">
        <f>data!C142</f>
        <v>11802710</v>
      </c>
      <c r="G8" s="48">
        <f>data!C141+data!C142</f>
        <v>14888941</v>
      </c>
    </row>
    <row r="9" spans="1:13" ht="20.100000000000001" customHeight="1" x14ac:dyDescent="0.25">
      <c r="A9" s="23" t="s">
        <v>1058</v>
      </c>
      <c r="B9" s="48">
        <f>data!D138</f>
        <v>507</v>
      </c>
      <c r="C9" s="48">
        <f>data!D139</f>
        <v>1261</v>
      </c>
      <c r="D9" s="48">
        <f>data!D140</f>
        <v>83020</v>
      </c>
      <c r="E9" s="48">
        <f>data!D141</f>
        <v>12607838</v>
      </c>
      <c r="F9" s="48">
        <f>data!D142</f>
        <v>54188242</v>
      </c>
      <c r="G9" s="48">
        <f>data!D141+data!D142</f>
        <v>66796080</v>
      </c>
    </row>
    <row r="10" spans="1:13" ht="20.100000000000001" customHeight="1" x14ac:dyDescent="0.25">
      <c r="A10" s="111" t="s">
        <v>203</v>
      </c>
      <c r="B10" s="48">
        <f>data!E138</f>
        <v>1273</v>
      </c>
      <c r="C10" s="48">
        <f>data!E139</f>
        <v>3318</v>
      </c>
      <c r="D10" s="48">
        <f>data!E140</f>
        <v>83020</v>
      </c>
      <c r="E10" s="48">
        <f>data!E141</f>
        <v>30885812</v>
      </c>
      <c r="F10" s="48">
        <f>data!E142</f>
        <v>92161672</v>
      </c>
      <c r="G10" s="48">
        <f>data!E141+data!E142</f>
        <v>123047484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28</v>
      </c>
      <c r="C16" s="48">
        <f>data!B145</f>
        <v>263</v>
      </c>
      <c r="D16" s="48">
        <f>data!B146</f>
        <v>0</v>
      </c>
      <c r="E16" s="48">
        <f>data!B147</f>
        <v>314476</v>
      </c>
      <c r="F16" s="48">
        <f>data!B148</f>
        <v>0</v>
      </c>
      <c r="G16" s="48">
        <f>data!B147+data!B148</f>
        <v>314476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28</v>
      </c>
      <c r="C19" s="48">
        <f>data!E145</f>
        <v>263</v>
      </c>
      <c r="D19" s="48">
        <f>data!E146</f>
        <v>0</v>
      </c>
      <c r="E19" s="48">
        <f>data!E147</f>
        <v>314476</v>
      </c>
      <c r="F19" s="48">
        <f>data!E148</f>
        <v>0</v>
      </c>
      <c r="G19" s="48">
        <f>data!E147+data!E148</f>
        <v>314476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6225602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4277248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Public Hospital District #1-A of Whitman County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2149377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3189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83443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2840783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22551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946966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96332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291573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6434214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124082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275601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399683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167297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103689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270986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711805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2009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713814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461578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231615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693193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Public Hospital District #1-A of Whitman County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1813305</v>
      </c>
      <c r="D7" s="21">
        <f>data!C195</f>
        <v>0</v>
      </c>
      <c r="E7" s="21">
        <f>data!D195</f>
        <v>0</v>
      </c>
      <c r="F7" s="21">
        <f>data!E195</f>
        <v>1813305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3696545</v>
      </c>
      <c r="D8" s="21">
        <f>data!C196</f>
        <v>12397</v>
      </c>
      <c r="E8" s="21">
        <f>data!D196</f>
        <v>0</v>
      </c>
      <c r="F8" s="21">
        <f>data!E196</f>
        <v>3708942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14929106</v>
      </c>
      <c r="D9" s="21">
        <f>data!C197</f>
        <v>232412.82</v>
      </c>
      <c r="E9" s="21">
        <f>data!D197</f>
        <v>38376</v>
      </c>
      <c r="F9" s="21">
        <f>data!E197</f>
        <v>15123142.82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14400163</v>
      </c>
      <c r="D10" s="21">
        <f>data!C198</f>
        <v>228921.1</v>
      </c>
      <c r="E10" s="21">
        <f>data!D198</f>
        <v>11184.75</v>
      </c>
      <c r="F10" s="21">
        <f>data!E198</f>
        <v>14617899.35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1007816</v>
      </c>
      <c r="D11" s="21">
        <f>data!C199</f>
        <v>33397.199999999997</v>
      </c>
      <c r="E11" s="21">
        <f>data!D199</f>
        <v>0</v>
      </c>
      <c r="F11" s="21">
        <f>data!E199</f>
        <v>1041213.2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15644219</v>
      </c>
      <c r="D12" s="21">
        <f>data!C200</f>
        <v>1023198.27</v>
      </c>
      <c r="E12" s="21">
        <f>data!D200</f>
        <v>1161539.69</v>
      </c>
      <c r="F12" s="21">
        <f>data!E200</f>
        <v>15505877.58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365480</v>
      </c>
      <c r="D15" s="21">
        <f>data!C203</f>
        <v>2969047</v>
      </c>
      <c r="E15" s="21">
        <f>data!D203</f>
        <v>1055611</v>
      </c>
      <c r="F15" s="21">
        <f>data!E203</f>
        <v>2278916</v>
      </c>
      <c r="M15" s="267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51856634</v>
      </c>
      <c r="D16" s="21">
        <f>data!C204</f>
        <v>4499373.3900000006</v>
      </c>
      <c r="E16" s="21">
        <f>data!D204</f>
        <v>2266711.44</v>
      </c>
      <c r="F16" s="21">
        <f>data!E204</f>
        <v>54089295.950000003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1651679</v>
      </c>
      <c r="D24" s="21">
        <f>data!C209</f>
        <v>103535.23</v>
      </c>
      <c r="E24" s="21">
        <f>data!D209</f>
        <v>0</v>
      </c>
      <c r="F24" s="21">
        <f>data!E209</f>
        <v>1755214.23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4101143</v>
      </c>
      <c r="D25" s="21">
        <f>data!C210</f>
        <v>294019.87</v>
      </c>
      <c r="E25" s="21">
        <f>data!D210</f>
        <v>38375.64</v>
      </c>
      <c r="F25" s="21">
        <f>data!E210</f>
        <v>4356787.2300000004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10362163</v>
      </c>
      <c r="D26" s="21">
        <f>data!C211</f>
        <v>770840.26</v>
      </c>
      <c r="E26" s="21">
        <f>data!D211</f>
        <v>11184.75</v>
      </c>
      <c r="F26" s="21">
        <f>data!E211</f>
        <v>11121818.51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896132</v>
      </c>
      <c r="D27" s="21">
        <f>data!C212</f>
        <v>33959.74</v>
      </c>
      <c r="E27" s="21">
        <f>data!D212</f>
        <v>0</v>
      </c>
      <c r="F27" s="21">
        <f>data!E212</f>
        <v>930091.74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9845689</v>
      </c>
      <c r="D28" s="21">
        <f>data!C213</f>
        <v>1958390.3099999998</v>
      </c>
      <c r="E28" s="21">
        <f>data!D213</f>
        <v>1160028.92</v>
      </c>
      <c r="F28" s="21">
        <f>data!E213</f>
        <v>10644050.390000001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26856806</v>
      </c>
      <c r="D32" s="21">
        <f>data!C217</f>
        <v>3160745.4099999997</v>
      </c>
      <c r="E32" s="21">
        <f>data!D217</f>
        <v>1209589.3099999998</v>
      </c>
      <c r="F32" s="21">
        <f>data!E217</f>
        <v>28807962.099999998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Public Hospital District #1-A of Whitman County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1413873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20331754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7722279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1168022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702896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23076061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53001012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657</v>
      </c>
      <c r="M16" s="267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301994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826019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1128013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450554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339157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56332609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Public Hospital District #1-A of Whitman County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4832300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15789687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8574260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-389000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1078236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1864133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880789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7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15481885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8792692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8792692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1813305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3708942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15123143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14617899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1041213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15505878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2278916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54089296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28807962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25281334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919278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-319215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600063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50155974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Public Hospital District #1-A of Whitman County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2399801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2490581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288789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-509000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4670171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56444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128444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13129036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1607986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14921910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14921910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30563893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30563893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50155974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Public Hospital District #1-A of Whitman County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31200288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92161672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123361960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1413873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53001012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1128013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789711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56332609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67029351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2056947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1227152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3284099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70313450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30779312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6434214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5350745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12021653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721173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3302212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3160745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399683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270986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713814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693193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1329721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65177451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5135999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-3847139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1288860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1288860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Public Hospital District #1-A of Whitman County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536</v>
      </c>
      <c r="D9" s="14">
        <f>data!D59</f>
        <v>0</v>
      </c>
      <c r="E9" s="14">
        <f>data!E59</f>
        <v>2782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14.54</v>
      </c>
      <c r="D10" s="26">
        <f>data!D60</f>
        <v>0</v>
      </c>
      <c r="E10" s="26">
        <f>data!E60</f>
        <v>30.189999999999998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1117914</v>
      </c>
      <c r="D11" s="14">
        <f>data!D61</f>
        <v>0</v>
      </c>
      <c r="E11" s="14">
        <f>data!E61</f>
        <v>2879111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233693</v>
      </c>
      <c r="D12" s="14">
        <f>data!D62</f>
        <v>0</v>
      </c>
      <c r="E12" s="14">
        <f>data!E62</f>
        <v>601859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40598</v>
      </c>
      <c r="D13" s="14">
        <f>data!D63</f>
        <v>0</v>
      </c>
      <c r="E13" s="14">
        <f>data!E63</f>
        <v>556107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43655</v>
      </c>
      <c r="D14" s="14">
        <f>data!D64</f>
        <v>0</v>
      </c>
      <c r="E14" s="14">
        <f>data!E64</f>
        <v>92684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468</v>
      </c>
      <c r="D15" s="14">
        <f>data!D65</f>
        <v>0</v>
      </c>
      <c r="E15" s="14">
        <f>data!E65</f>
        <v>39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20101</v>
      </c>
      <c r="D16" s="14">
        <f>data!D66</f>
        <v>0</v>
      </c>
      <c r="E16" s="14">
        <f>data!E66</f>
        <v>7607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51654</v>
      </c>
      <c r="D17" s="14">
        <f>data!D67</f>
        <v>0</v>
      </c>
      <c r="E17" s="14">
        <f>data!E67</f>
        <v>278115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460</v>
      </c>
      <c r="D18" s="14">
        <f>data!D68</f>
        <v>0</v>
      </c>
      <c r="E18" s="14">
        <f>data!E68</f>
        <v>5316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6903</v>
      </c>
      <c r="D19" s="14">
        <f>data!D69</f>
        <v>0</v>
      </c>
      <c r="E19" s="14">
        <f>data!E69</f>
        <v>25077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1515446</v>
      </c>
      <c r="D21" s="14">
        <f>data!D71</f>
        <v>0</v>
      </c>
      <c r="E21" s="14">
        <f>data!E71</f>
        <v>4445915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934236</v>
      </c>
      <c r="D23" s="48">
        <f>+data!M669</f>
        <v>0</v>
      </c>
      <c r="E23" s="48">
        <f>+data!M670</f>
        <v>2302473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1175967</v>
      </c>
      <c r="D24" s="14">
        <f>data!D73</f>
        <v>0</v>
      </c>
      <c r="E24" s="14">
        <f>data!E73</f>
        <v>2960506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844273</v>
      </c>
      <c r="D25" s="14">
        <f>data!D74</f>
        <v>0</v>
      </c>
      <c r="E25" s="14">
        <f>data!E74</f>
        <v>2158258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2020240</v>
      </c>
      <c r="D26" s="14">
        <f>data!D75</f>
        <v>0</v>
      </c>
      <c r="E26" s="14">
        <f>data!E75</f>
        <v>5118764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1804</v>
      </c>
      <c r="D28" s="14">
        <f>data!D76</f>
        <v>0</v>
      </c>
      <c r="E28" s="14">
        <f>data!E76</f>
        <v>9713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3066</v>
      </c>
      <c r="D29" s="14">
        <f>data!D77</f>
        <v>0</v>
      </c>
      <c r="E29" s="14">
        <f>data!E77</f>
        <v>7351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2576</v>
      </c>
      <c r="D30" s="14">
        <f>data!D78</f>
        <v>0</v>
      </c>
      <c r="E30" s="14">
        <f>data!E78</f>
        <v>3864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16346</v>
      </c>
      <c r="D31" s="14">
        <f>data!D79</f>
        <v>0</v>
      </c>
      <c r="E31" s="14">
        <f>data!E79</f>
        <v>57212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10.007908653846155</v>
      </c>
      <c r="D32" s="84">
        <f>data!D80</f>
        <v>0</v>
      </c>
      <c r="E32" s="84">
        <f>data!E80</f>
        <v>15.411802884615383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Public Hospital District #1-A of Whitman County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703</v>
      </c>
      <c r="D41" s="14">
        <f>data!K59</f>
        <v>0</v>
      </c>
      <c r="E41" s="14">
        <f>data!L59</f>
        <v>263</v>
      </c>
      <c r="F41" s="14">
        <f>data!M59</f>
        <v>0</v>
      </c>
      <c r="G41" s="14">
        <f>data!N59</f>
        <v>0</v>
      </c>
      <c r="H41" s="14">
        <f>data!O59</f>
        <v>353</v>
      </c>
      <c r="I41" s="14">
        <f>data!P59</f>
        <v>217114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22.55</v>
      </c>
      <c r="I42" s="26">
        <f>data!P60</f>
        <v>47.31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1870246</v>
      </c>
      <c r="I43" s="14">
        <f>data!P61</f>
        <v>3784810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390963</v>
      </c>
      <c r="I44" s="14">
        <f>data!P62</f>
        <v>791190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42480</v>
      </c>
      <c r="I45" s="14">
        <f>data!P63</f>
        <v>51887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106837</v>
      </c>
      <c r="I46" s="14">
        <f>data!P64</f>
        <v>1181643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1755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72284</v>
      </c>
      <c r="I48" s="14">
        <f>data!P66</f>
        <v>455883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237112</v>
      </c>
      <c r="I49" s="14">
        <f>data!P67</f>
        <v>318202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3479</v>
      </c>
      <c r="I50" s="14">
        <f>data!P68</f>
        <v>46849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10306</v>
      </c>
      <c r="I51" s="14">
        <f>data!P69</f>
        <v>17488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-27521</v>
      </c>
      <c r="I52" s="14">
        <f>-data!P70</f>
        <v>-250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2706186</v>
      </c>
      <c r="I53" s="14">
        <f>data!P71</f>
        <v>6649457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59446</v>
      </c>
      <c r="D55" s="48">
        <f>+data!M676</f>
        <v>0</v>
      </c>
      <c r="E55" s="48">
        <f>+data!M677</f>
        <v>22945</v>
      </c>
      <c r="F55" s="48">
        <f>+data!M678</f>
        <v>0</v>
      </c>
      <c r="G55" s="48">
        <f>+data!M679</f>
        <v>0</v>
      </c>
      <c r="H55" s="48">
        <f>+data!M680</f>
        <v>1571415</v>
      </c>
      <c r="I55" s="48">
        <f>+data!M681</f>
        <v>2801990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464704</v>
      </c>
      <c r="D56" s="14">
        <f>data!K73</f>
        <v>0</v>
      </c>
      <c r="E56" s="14">
        <f>data!L73</f>
        <v>314476</v>
      </c>
      <c r="F56" s="14">
        <f>data!M73</f>
        <v>0</v>
      </c>
      <c r="G56" s="14">
        <f>data!N73</f>
        <v>0</v>
      </c>
      <c r="H56" s="14">
        <f>data!O73</f>
        <v>1998259</v>
      </c>
      <c r="I56" s="14">
        <f>data!P73</f>
        <v>5301993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468399</v>
      </c>
      <c r="I57" s="14">
        <f>data!P74</f>
        <v>10184406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464704</v>
      </c>
      <c r="D58" s="14">
        <f>data!K75</f>
        <v>0</v>
      </c>
      <c r="E58" s="14">
        <f>data!L75</f>
        <v>314476</v>
      </c>
      <c r="F58" s="14">
        <f>data!M75</f>
        <v>0</v>
      </c>
      <c r="G58" s="14">
        <f>data!N75</f>
        <v>0</v>
      </c>
      <c r="H58" s="14">
        <f>data!O75</f>
        <v>2466658</v>
      </c>
      <c r="I58" s="14">
        <f>data!P75</f>
        <v>15486399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8281</v>
      </c>
      <c r="I60" s="14">
        <f>data!P76</f>
        <v>11113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4246</v>
      </c>
      <c r="I61" s="14">
        <f>data!P77</f>
        <v>1891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3864</v>
      </c>
      <c r="I62" s="14">
        <f>data!P78</f>
        <v>3220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24520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38142</v>
      </c>
      <c r="I63" s="14">
        <f>data!P79</f>
        <v>49039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16.025466346153848</v>
      </c>
      <c r="I64" s="26">
        <f>data!P80</f>
        <v>23.897798076923078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Public Hospital District #1-A of Whitman County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108410</v>
      </c>
      <c r="D73" s="48">
        <f>data!R59</f>
        <v>159480</v>
      </c>
      <c r="E73" s="212"/>
      <c r="F73" s="212"/>
      <c r="G73" s="14">
        <f>data!U59</f>
        <v>108264</v>
      </c>
      <c r="H73" s="14">
        <f>data!V59</f>
        <v>3683</v>
      </c>
      <c r="I73" s="14">
        <f>data!W59</f>
        <v>2857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16.829999999999998</v>
      </c>
      <c r="H74" s="26">
        <f>data!V60</f>
        <v>0</v>
      </c>
      <c r="I74" s="26">
        <f>data!W60</f>
        <v>3.31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1033026</v>
      </c>
      <c r="H75" s="14">
        <f>data!V61</f>
        <v>0</v>
      </c>
      <c r="I75" s="14">
        <f>data!W61</f>
        <v>330039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215947</v>
      </c>
      <c r="H76" s="14">
        <f>data!V62</f>
        <v>0</v>
      </c>
      <c r="I76" s="14">
        <f>data!W62</f>
        <v>68992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378260</v>
      </c>
      <c r="E77" s="14">
        <f>data!S63</f>
        <v>3369</v>
      </c>
      <c r="F77" s="14">
        <f>data!T63</f>
        <v>0</v>
      </c>
      <c r="G77" s="14">
        <f>data!U63</f>
        <v>648609</v>
      </c>
      <c r="H77" s="14">
        <f>data!V63</f>
        <v>0</v>
      </c>
      <c r="I77" s="14">
        <f>data!W63</f>
        <v>3672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25233</v>
      </c>
      <c r="D78" s="14">
        <f>data!R64</f>
        <v>115889</v>
      </c>
      <c r="E78" s="14">
        <f>data!S64</f>
        <v>4803026</v>
      </c>
      <c r="F78" s="14">
        <f>data!T64</f>
        <v>0</v>
      </c>
      <c r="G78" s="14">
        <f>data!U64</f>
        <v>580671</v>
      </c>
      <c r="H78" s="14">
        <f>data!V64</f>
        <v>0</v>
      </c>
      <c r="I78" s="14">
        <f>data!W64</f>
        <v>5067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936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2994</v>
      </c>
      <c r="D80" s="14">
        <f>data!R66</f>
        <v>1546</v>
      </c>
      <c r="E80" s="14">
        <f>data!S66</f>
        <v>2757</v>
      </c>
      <c r="F80" s="14">
        <f>data!T66</f>
        <v>0</v>
      </c>
      <c r="G80" s="14">
        <f>data!U66</f>
        <v>104644</v>
      </c>
      <c r="H80" s="14">
        <f>data!V66</f>
        <v>0</v>
      </c>
      <c r="I80" s="14">
        <f>data!W66</f>
        <v>153555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41203</v>
      </c>
      <c r="F81" s="14">
        <f>data!T67</f>
        <v>0</v>
      </c>
      <c r="G81" s="14">
        <f>data!U67</f>
        <v>56121</v>
      </c>
      <c r="H81" s="14">
        <f>data!V67</f>
        <v>8848</v>
      </c>
      <c r="I81" s="14">
        <f>data!W67</f>
        <v>14431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54664</v>
      </c>
      <c r="F82" s="14">
        <f>data!T68</f>
        <v>0</v>
      </c>
      <c r="G82" s="14">
        <f>data!U68</f>
        <v>376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90454</v>
      </c>
      <c r="F83" s="14">
        <f>data!T69</f>
        <v>0</v>
      </c>
      <c r="G83" s="14">
        <f>data!U69</f>
        <v>19736</v>
      </c>
      <c r="H83" s="14">
        <f>data!V69</f>
        <v>0</v>
      </c>
      <c r="I83" s="14">
        <f>data!W69</f>
        <v>1300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-8740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28227</v>
      </c>
      <c r="D85" s="14">
        <f>data!R71</f>
        <v>495695</v>
      </c>
      <c r="E85" s="14">
        <f>data!S71</f>
        <v>4986733</v>
      </c>
      <c r="F85" s="14">
        <f>data!T71</f>
        <v>0</v>
      </c>
      <c r="G85" s="14">
        <f>data!U71</f>
        <v>2660066</v>
      </c>
      <c r="H85" s="14">
        <f>data!V71</f>
        <v>8848</v>
      </c>
      <c r="I85" s="14">
        <f>data!W71</f>
        <v>577056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102167</v>
      </c>
      <c r="D87" s="48">
        <f>+data!M683</f>
        <v>308412</v>
      </c>
      <c r="E87" s="48">
        <f>+data!M684</f>
        <v>1877952</v>
      </c>
      <c r="F87" s="48">
        <f>+data!M685</f>
        <v>0</v>
      </c>
      <c r="G87" s="48">
        <f>+data!M686</f>
        <v>1021591</v>
      </c>
      <c r="H87" s="48">
        <f>+data!M687</f>
        <v>48857</v>
      </c>
      <c r="I87" s="48">
        <f>+data!M688</f>
        <v>516753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469066</v>
      </c>
      <c r="D88" s="14">
        <f>data!R73</f>
        <v>1166211</v>
      </c>
      <c r="E88" s="14">
        <f>data!S73</f>
        <v>8996962</v>
      </c>
      <c r="F88" s="14">
        <f>data!T73</f>
        <v>0</v>
      </c>
      <c r="G88" s="14">
        <f>data!U73</f>
        <v>1479668</v>
      </c>
      <c r="H88" s="14">
        <f>data!V73</f>
        <v>48784</v>
      </c>
      <c r="I88" s="14">
        <f>data!W73</f>
        <v>66250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885378</v>
      </c>
      <c r="D89" s="14">
        <f>data!R74</f>
        <v>2549345</v>
      </c>
      <c r="E89" s="14">
        <f>data!S74</f>
        <v>7652473</v>
      </c>
      <c r="F89" s="14">
        <f>data!T74</f>
        <v>0</v>
      </c>
      <c r="G89" s="14">
        <f>data!U74</f>
        <v>7869170</v>
      </c>
      <c r="H89" s="14">
        <f>data!V74</f>
        <v>467118</v>
      </c>
      <c r="I89" s="14">
        <f>data!W74</f>
        <v>6160552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1354444</v>
      </c>
      <c r="D90" s="14">
        <f>data!R75</f>
        <v>3715556</v>
      </c>
      <c r="E90" s="14">
        <f>data!S75</f>
        <v>16649435</v>
      </c>
      <c r="F90" s="14">
        <f>data!T75</f>
        <v>0</v>
      </c>
      <c r="G90" s="14">
        <f>data!U75</f>
        <v>9348838</v>
      </c>
      <c r="H90" s="14">
        <f>data!V75</f>
        <v>515902</v>
      </c>
      <c r="I90" s="14">
        <f>data!W75</f>
        <v>6226802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1439</v>
      </c>
      <c r="F92" s="14">
        <f>data!T76</f>
        <v>0</v>
      </c>
      <c r="G92" s="14">
        <f>data!U76</f>
        <v>1960</v>
      </c>
      <c r="H92" s="14">
        <f>data!V76</f>
        <v>309</v>
      </c>
      <c r="I92" s="14">
        <f>data!W76</f>
        <v>504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1288</v>
      </c>
      <c r="H94" s="14">
        <f>data!V78</f>
        <v>0</v>
      </c>
      <c r="I94" s="14">
        <f>data!W78</f>
        <v>161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8173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Public Hospital District #1-A of Whitman County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4639</v>
      </c>
      <c r="D105" s="14">
        <f>data!Y59</f>
        <v>24402</v>
      </c>
      <c r="E105" s="14">
        <f>data!Z59</f>
        <v>0</v>
      </c>
      <c r="F105" s="14">
        <f>data!AA59</f>
        <v>937</v>
      </c>
      <c r="G105" s="212"/>
      <c r="H105" s="14">
        <f>data!AC59</f>
        <v>10970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0.98</v>
      </c>
      <c r="D106" s="26">
        <f>data!Y60</f>
        <v>18.86</v>
      </c>
      <c r="E106" s="26">
        <f>data!Z60</f>
        <v>0</v>
      </c>
      <c r="F106" s="26">
        <f>data!AA60</f>
        <v>1.66</v>
      </c>
      <c r="G106" s="26">
        <f>data!AB60</f>
        <v>5.7</v>
      </c>
      <c r="H106" s="26">
        <f>data!AC60</f>
        <v>10.17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66584</v>
      </c>
      <c r="D107" s="14">
        <f>data!Y61</f>
        <v>1495956</v>
      </c>
      <c r="E107" s="14">
        <f>data!Z61</f>
        <v>0</v>
      </c>
      <c r="F107" s="14">
        <f>data!AA61</f>
        <v>175834</v>
      </c>
      <c r="G107" s="14">
        <f>data!AB61</f>
        <v>677245</v>
      </c>
      <c r="H107" s="14">
        <f>data!AC61</f>
        <v>805235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13919</v>
      </c>
      <c r="D108" s="14">
        <f>data!Y62</f>
        <v>312720</v>
      </c>
      <c r="E108" s="14">
        <f>data!Z62</f>
        <v>0</v>
      </c>
      <c r="F108" s="14">
        <f>data!AA62</f>
        <v>36757</v>
      </c>
      <c r="G108" s="14">
        <f>data!AB62</f>
        <v>141574</v>
      </c>
      <c r="H108" s="14">
        <f>data!AC62</f>
        <v>168329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369185</v>
      </c>
      <c r="E109" s="14">
        <f>data!Z63</f>
        <v>0</v>
      </c>
      <c r="F109" s="14">
        <f>data!AA63</f>
        <v>137379</v>
      </c>
      <c r="G109" s="14">
        <f>data!AB63</f>
        <v>240028</v>
      </c>
      <c r="H109" s="14">
        <f>data!AC63</f>
        <v>110870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8520</v>
      </c>
      <c r="D110" s="14">
        <f>data!Y64</f>
        <v>125823</v>
      </c>
      <c r="E110" s="14">
        <f>data!Z64</f>
        <v>0</v>
      </c>
      <c r="F110" s="14">
        <f>data!AA64</f>
        <v>238814</v>
      </c>
      <c r="G110" s="14">
        <f>data!AB64</f>
        <v>3608669</v>
      </c>
      <c r="H110" s="14">
        <f>data!AC64</f>
        <v>60384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1648</v>
      </c>
      <c r="E111" s="14">
        <f>data!Z65</f>
        <v>0</v>
      </c>
      <c r="F111" s="14">
        <f>data!AA65</f>
        <v>0</v>
      </c>
      <c r="G111" s="14">
        <f>data!AB65</f>
        <v>18851</v>
      </c>
      <c r="H111" s="14">
        <f>data!AC65</f>
        <v>468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155730</v>
      </c>
      <c r="D112" s="14">
        <f>data!Y66</f>
        <v>282842</v>
      </c>
      <c r="E112" s="14">
        <f>data!Z66</f>
        <v>0</v>
      </c>
      <c r="F112" s="14">
        <f>data!AA66</f>
        <v>108756</v>
      </c>
      <c r="G112" s="14">
        <f>data!AB66</f>
        <v>26919</v>
      </c>
      <c r="H112" s="14">
        <f>data!AC66</f>
        <v>27963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14947</v>
      </c>
      <c r="D113" s="14">
        <f>data!Y67</f>
        <v>129823</v>
      </c>
      <c r="E113" s="14">
        <f>data!Z67</f>
        <v>0</v>
      </c>
      <c r="F113" s="14">
        <f>data!AA67</f>
        <v>8733</v>
      </c>
      <c r="G113" s="14">
        <f>data!AB67</f>
        <v>22449</v>
      </c>
      <c r="H113" s="14">
        <f>data!AC67</f>
        <v>35419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29922</v>
      </c>
      <c r="E114" s="14">
        <f>data!Z68</f>
        <v>0</v>
      </c>
      <c r="F114" s="14">
        <f>data!AA68</f>
        <v>0</v>
      </c>
      <c r="G114" s="14">
        <f>data!AB68</f>
        <v>90373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18265</v>
      </c>
      <c r="E115" s="14">
        <f>data!Z69</f>
        <v>0</v>
      </c>
      <c r="F115" s="14">
        <f>data!AA69</f>
        <v>12186</v>
      </c>
      <c r="G115" s="14">
        <f>data!AB69</f>
        <v>11278</v>
      </c>
      <c r="H115" s="14">
        <f>data!AC69</f>
        <v>3243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-40</v>
      </c>
      <c r="E116" s="14">
        <f>-data!Z70</f>
        <v>0</v>
      </c>
      <c r="F116" s="14">
        <f>-data!AA70</f>
        <v>0</v>
      </c>
      <c r="G116" s="14">
        <f>-data!AB70</f>
        <v>-374047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259700</v>
      </c>
      <c r="D117" s="14">
        <f>data!Y71</f>
        <v>2766144</v>
      </c>
      <c r="E117" s="14">
        <f>data!Z71</f>
        <v>0</v>
      </c>
      <c r="F117" s="14">
        <f>data!AA71</f>
        <v>718459</v>
      </c>
      <c r="G117" s="14">
        <f>data!AB71</f>
        <v>4463339</v>
      </c>
      <c r="H117" s="14">
        <f>data!AC71</f>
        <v>1211911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663705</v>
      </c>
      <c r="D119" s="48">
        <f>+data!M690</f>
        <v>1227120</v>
      </c>
      <c r="E119" s="48">
        <f>+data!M691</f>
        <v>0</v>
      </c>
      <c r="F119" s="48">
        <f>+data!M692</f>
        <v>226978</v>
      </c>
      <c r="G119" s="48">
        <f>+data!M693</f>
        <v>1841184</v>
      </c>
      <c r="H119" s="48">
        <f>+data!M694</f>
        <v>378878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333846</v>
      </c>
      <c r="D120" s="14">
        <f>data!Y73</f>
        <v>610873</v>
      </c>
      <c r="E120" s="14">
        <f>data!Z73</f>
        <v>0</v>
      </c>
      <c r="F120" s="14">
        <f>data!AA73</f>
        <v>49513</v>
      </c>
      <c r="G120" s="14">
        <f>data!AB73</f>
        <v>3694480</v>
      </c>
      <c r="H120" s="14">
        <f>data!AC73</f>
        <v>1055433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8205500</v>
      </c>
      <c r="D121" s="14">
        <f>data!Y74</f>
        <v>9640512</v>
      </c>
      <c r="E121" s="14">
        <f>data!Z74</f>
        <v>0</v>
      </c>
      <c r="F121" s="14">
        <f>data!AA74</f>
        <v>2008901</v>
      </c>
      <c r="G121" s="14">
        <f>data!AB74</f>
        <v>14006571</v>
      </c>
      <c r="H121" s="14">
        <f>data!AC74</f>
        <v>1945742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8539346</v>
      </c>
      <c r="D122" s="14">
        <f>data!Y75</f>
        <v>10251385</v>
      </c>
      <c r="E122" s="14">
        <f>data!Z75</f>
        <v>0</v>
      </c>
      <c r="F122" s="14">
        <f>data!AA75</f>
        <v>2058414</v>
      </c>
      <c r="G122" s="14">
        <f>data!AB75</f>
        <v>17701051</v>
      </c>
      <c r="H122" s="14">
        <f>data!AC75</f>
        <v>3001175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522</v>
      </c>
      <c r="D124" s="14">
        <f>data!Y76</f>
        <v>4534</v>
      </c>
      <c r="E124" s="14">
        <f>data!Z76</f>
        <v>0</v>
      </c>
      <c r="F124" s="14">
        <f>data!AA76</f>
        <v>305</v>
      </c>
      <c r="G124" s="14">
        <f>data!AB76</f>
        <v>784</v>
      </c>
      <c r="H124" s="14">
        <f>data!AC76</f>
        <v>1237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161</v>
      </c>
      <c r="D126" s="14">
        <f>data!Y78</f>
        <v>3220</v>
      </c>
      <c r="E126" s="14">
        <f>data!Z78</f>
        <v>0</v>
      </c>
      <c r="F126" s="14">
        <f>data!AA78</f>
        <v>161</v>
      </c>
      <c r="G126" s="14">
        <f>data!AB78</f>
        <v>322</v>
      </c>
      <c r="H126" s="14">
        <f>data!AC78</f>
        <v>805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19071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Public Hospital District #1-A of Whitman County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38063</v>
      </c>
      <c r="D137" s="14">
        <f>data!AF59</f>
        <v>0</v>
      </c>
      <c r="E137" s="14">
        <f>data!AG59</f>
        <v>12523</v>
      </c>
      <c r="F137" s="14">
        <f>data!AH59</f>
        <v>0</v>
      </c>
      <c r="G137" s="14">
        <f>data!AI59</f>
        <v>0</v>
      </c>
      <c r="H137" s="14">
        <f>data!AJ59</f>
        <v>278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41.970000000000006</v>
      </c>
      <c r="D138" s="26">
        <f>data!AF60</f>
        <v>0</v>
      </c>
      <c r="E138" s="26">
        <f>data!AG60</f>
        <v>31.27</v>
      </c>
      <c r="F138" s="26">
        <f>data!AH60</f>
        <v>0</v>
      </c>
      <c r="G138" s="26">
        <f>data!AI60</f>
        <v>0</v>
      </c>
      <c r="H138" s="26">
        <f>data!AJ60</f>
        <v>0.62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3010656</v>
      </c>
      <c r="D139" s="14">
        <f>data!AF61</f>
        <v>0</v>
      </c>
      <c r="E139" s="14">
        <f>data!AG61</f>
        <v>4444247</v>
      </c>
      <c r="F139" s="14">
        <f>data!AH61</f>
        <v>0</v>
      </c>
      <c r="G139" s="14">
        <f>data!AI61</f>
        <v>0</v>
      </c>
      <c r="H139" s="14">
        <f>data!AJ61</f>
        <v>51168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629358</v>
      </c>
      <c r="D140" s="14">
        <f>data!AF62</f>
        <v>0</v>
      </c>
      <c r="E140" s="14">
        <f>data!AG62</f>
        <v>929041</v>
      </c>
      <c r="F140" s="14">
        <f>data!AH62</f>
        <v>0</v>
      </c>
      <c r="G140" s="14">
        <f>data!AI62</f>
        <v>0</v>
      </c>
      <c r="H140" s="14">
        <f>data!AJ62</f>
        <v>10696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22556</v>
      </c>
      <c r="D141" s="14">
        <f>data!AF63</f>
        <v>0</v>
      </c>
      <c r="E141" s="14">
        <f>data!AG63</f>
        <v>140468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92303</v>
      </c>
      <c r="D142" s="14">
        <f>data!AF64</f>
        <v>0</v>
      </c>
      <c r="E142" s="14">
        <f>data!AG64</f>
        <v>156411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31739</v>
      </c>
      <c r="D143" s="14">
        <f>data!AF65</f>
        <v>0</v>
      </c>
      <c r="E143" s="14">
        <f>data!AG65</f>
        <v>1287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36231</v>
      </c>
      <c r="D144" s="14">
        <f>data!AF66</f>
        <v>0</v>
      </c>
      <c r="E144" s="14">
        <f>data!AG66</f>
        <v>21729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250141</v>
      </c>
      <c r="D145" s="14">
        <f>data!AF67</f>
        <v>0</v>
      </c>
      <c r="E145" s="14">
        <f>data!AG67</f>
        <v>183625</v>
      </c>
      <c r="F145" s="14">
        <f>data!AH67</f>
        <v>0</v>
      </c>
      <c r="G145" s="14">
        <f>data!AI67</f>
        <v>0</v>
      </c>
      <c r="H145" s="14">
        <f>data!AJ67</f>
        <v>28633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26175</v>
      </c>
      <c r="D146" s="14">
        <f>data!AF68</f>
        <v>0</v>
      </c>
      <c r="E146" s="14">
        <f>data!AG68</f>
        <v>5283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53202</v>
      </c>
      <c r="D147" s="14">
        <f>data!AF69</f>
        <v>0</v>
      </c>
      <c r="E147" s="14">
        <f>data!AG69</f>
        <v>101707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-66403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4085958</v>
      </c>
      <c r="D149" s="14">
        <f>data!AF71</f>
        <v>0</v>
      </c>
      <c r="E149" s="14">
        <f>data!AG71</f>
        <v>5983798</v>
      </c>
      <c r="F149" s="14">
        <f>data!AH71</f>
        <v>0</v>
      </c>
      <c r="G149" s="14">
        <f>data!AI71</f>
        <v>0</v>
      </c>
      <c r="H149" s="14">
        <f>data!AJ71</f>
        <v>90497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1110784</v>
      </c>
      <c r="D151" s="48">
        <f>+data!M697</f>
        <v>0</v>
      </c>
      <c r="E151" s="48">
        <f>+data!M698</f>
        <v>2118841</v>
      </c>
      <c r="F151" s="48">
        <f>+data!M699</f>
        <v>0</v>
      </c>
      <c r="G151" s="48">
        <f>+data!M700</f>
        <v>0</v>
      </c>
      <c r="H151" s="48">
        <f>+data!M701</f>
        <v>46040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669219</v>
      </c>
      <c r="D152" s="14">
        <f>data!AF73</f>
        <v>0</v>
      </c>
      <c r="E152" s="14">
        <f>data!AG73</f>
        <v>344078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4422533</v>
      </c>
      <c r="D153" s="14">
        <f>data!AF74</f>
        <v>0</v>
      </c>
      <c r="E153" s="14">
        <f>data!AG74</f>
        <v>12622957</v>
      </c>
      <c r="F153" s="14">
        <f>data!AH74</f>
        <v>0</v>
      </c>
      <c r="G153" s="14">
        <f>data!AI74</f>
        <v>0</v>
      </c>
      <c r="H153" s="14">
        <f>data!AJ74</f>
        <v>69584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5091752</v>
      </c>
      <c r="D154" s="14">
        <f>data!AF75</f>
        <v>0</v>
      </c>
      <c r="E154" s="14">
        <f>data!AG75</f>
        <v>12967035</v>
      </c>
      <c r="F154" s="14">
        <f>data!AH75</f>
        <v>0</v>
      </c>
      <c r="G154" s="14">
        <f>data!AI75</f>
        <v>0</v>
      </c>
      <c r="H154" s="14">
        <f>data!AJ75</f>
        <v>69584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8736</v>
      </c>
      <c r="D156" s="14">
        <f>data!AF76</f>
        <v>0</v>
      </c>
      <c r="E156" s="14">
        <f>data!AG76</f>
        <v>6413</v>
      </c>
      <c r="F156" s="14">
        <f>data!AH76</f>
        <v>0</v>
      </c>
      <c r="G156" s="14">
        <f>data!AI76</f>
        <v>0</v>
      </c>
      <c r="H156" s="14">
        <f>data!AJ76</f>
        <v>1000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1261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2253.9300000000003</v>
      </c>
      <c r="D158" s="14">
        <f>data!AF78</f>
        <v>0</v>
      </c>
      <c r="E158" s="14">
        <f>data!AG78</f>
        <v>2576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49854</v>
      </c>
      <c r="D159" s="14">
        <f>data!AF79</f>
        <v>0</v>
      </c>
      <c r="E159" s="14">
        <f>data!AG79</f>
        <v>59937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15.89875480769231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Public Hospital District #1-A of Whitman County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Public Hospital District #1-A of Whitman County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17815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1.9400000000000002</v>
      </c>
      <c r="G202" s="26">
        <f>data!AW60</f>
        <v>0</v>
      </c>
      <c r="H202" s="26">
        <f>data!AX60</f>
        <v>0</v>
      </c>
      <c r="I202" s="26">
        <f>data!AY60</f>
        <v>20.5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166347</v>
      </c>
      <c r="G203" s="14">
        <f>data!AW61</f>
        <v>0</v>
      </c>
      <c r="H203" s="14">
        <f>data!AX61</f>
        <v>0</v>
      </c>
      <c r="I203" s="14">
        <f>data!AY61</f>
        <v>864551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34774</v>
      </c>
      <c r="G204" s="14">
        <f>data!AW62</f>
        <v>0</v>
      </c>
      <c r="H204" s="14">
        <f>data!AX62</f>
        <v>0</v>
      </c>
      <c r="I204" s="14">
        <f>data!AY62</f>
        <v>180729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15650</v>
      </c>
      <c r="G205" s="14">
        <f>data!AW63</f>
        <v>0</v>
      </c>
      <c r="H205" s="14">
        <f>data!AX63</f>
        <v>0</v>
      </c>
      <c r="I205" s="14">
        <f>data!AY63</f>
        <v>1497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5063</v>
      </c>
      <c r="G206" s="14">
        <f>data!AW64</f>
        <v>0</v>
      </c>
      <c r="H206" s="14">
        <f>data!AX64</f>
        <v>0</v>
      </c>
      <c r="I206" s="14">
        <f>data!AY64</f>
        <v>559066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377</v>
      </c>
      <c r="G208" s="14">
        <f>data!AW66</f>
        <v>0</v>
      </c>
      <c r="H208" s="14">
        <f>data!AX66</f>
        <v>0</v>
      </c>
      <c r="I208" s="14">
        <f>data!AY66</f>
        <v>25761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136466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41521</v>
      </c>
      <c r="G211" s="14">
        <f>data!AW69</f>
        <v>0</v>
      </c>
      <c r="H211" s="14">
        <f>data!AX69</f>
        <v>0</v>
      </c>
      <c r="I211" s="14">
        <f>data!AY69</f>
        <v>5886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-2393</v>
      </c>
      <c r="G212" s="14">
        <f>-data!AW70</f>
        <v>0</v>
      </c>
      <c r="H212" s="14">
        <f>-data!AX70</f>
        <v>0</v>
      </c>
      <c r="I212" s="14">
        <f>-data!AY70</f>
        <v>-2250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261339</v>
      </c>
      <c r="G213" s="14">
        <f>data!AW71</f>
        <v>0</v>
      </c>
      <c r="H213" s="14">
        <f>data!AX71</f>
        <v>0</v>
      </c>
      <c r="I213" s="14">
        <f>data!AY71</f>
        <v>1771706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23960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4766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161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Public Hospital District #1-A of Whitman County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80136</v>
      </c>
      <c r="D233" s="14">
        <f>data!BA59</f>
        <v>0</v>
      </c>
      <c r="E233" s="212"/>
      <c r="F233" s="212"/>
      <c r="G233" s="212"/>
      <c r="H233" s="14">
        <f>data!BE59</f>
        <v>110387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17.420000000000002</v>
      </c>
      <c r="D234" s="26">
        <f>data!BA60</f>
        <v>0.52</v>
      </c>
      <c r="E234" s="26">
        <f>data!BB60</f>
        <v>5.75</v>
      </c>
      <c r="F234" s="26">
        <f>data!BC60</f>
        <v>0</v>
      </c>
      <c r="G234" s="26">
        <f>data!BD60</f>
        <v>7.01</v>
      </c>
      <c r="H234" s="26">
        <f>data!BE60</f>
        <v>8.69</v>
      </c>
      <c r="I234" s="26">
        <f>data!BF60</f>
        <v>13.7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20174</v>
      </c>
      <c r="E235" s="14">
        <f>data!BB61</f>
        <v>512277</v>
      </c>
      <c r="F235" s="14">
        <f>data!BC61</f>
        <v>0</v>
      </c>
      <c r="G235" s="14">
        <f>data!BD61</f>
        <v>439556</v>
      </c>
      <c r="H235" s="14">
        <f>data!BE61</f>
        <v>581515</v>
      </c>
      <c r="I235" s="14">
        <f>data!BF61</f>
        <v>503435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4217</v>
      </c>
      <c r="E236" s="14">
        <f>data!BB62</f>
        <v>107088</v>
      </c>
      <c r="F236" s="14">
        <f>data!BC62</f>
        <v>0</v>
      </c>
      <c r="G236" s="14">
        <f>data!BD62</f>
        <v>91886</v>
      </c>
      <c r="H236" s="14">
        <f>data!BE62</f>
        <v>121562</v>
      </c>
      <c r="I236" s="14">
        <f>data!BF62</f>
        <v>105240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11273</v>
      </c>
      <c r="F237" s="14">
        <f>data!BC63</f>
        <v>0</v>
      </c>
      <c r="G237" s="14">
        <f>data!BD63</f>
        <v>0</v>
      </c>
      <c r="H237" s="14">
        <f>data!BE63</f>
        <v>43734</v>
      </c>
      <c r="I237" s="14">
        <f>data!BF63</f>
        <v>4900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160</v>
      </c>
      <c r="E238" s="14">
        <f>data!BB64</f>
        <v>1812</v>
      </c>
      <c r="F238" s="14">
        <f>data!BC64</f>
        <v>0</v>
      </c>
      <c r="G238" s="14">
        <f>data!BD64</f>
        <v>11617</v>
      </c>
      <c r="H238" s="14">
        <f>data!BE64</f>
        <v>9642</v>
      </c>
      <c r="I238" s="14">
        <f>data!BF64</f>
        <v>51316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2691</v>
      </c>
      <c r="F239" s="14">
        <f>data!BC65</f>
        <v>0</v>
      </c>
      <c r="G239" s="14">
        <f>data!BD65</f>
        <v>852</v>
      </c>
      <c r="H239" s="14">
        <f>data!BE65</f>
        <v>475936</v>
      </c>
      <c r="I239" s="14">
        <f>data!BF65</f>
        <v>50781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207444</v>
      </c>
      <c r="E240" s="14">
        <f>data!BB66</f>
        <v>1294</v>
      </c>
      <c r="F240" s="14">
        <f>data!BC66</f>
        <v>0</v>
      </c>
      <c r="G240" s="14">
        <f>data!BD66</f>
        <v>4516</v>
      </c>
      <c r="H240" s="14">
        <f>data!BE66</f>
        <v>165118</v>
      </c>
      <c r="I240" s="14">
        <f>data!BF66</f>
        <v>1442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37052</v>
      </c>
      <c r="E241" s="14">
        <f>data!BB67</f>
        <v>4295</v>
      </c>
      <c r="F241" s="14">
        <f>data!BC67</f>
        <v>0</v>
      </c>
      <c r="G241" s="14">
        <f>data!BD67</f>
        <v>80717</v>
      </c>
      <c r="H241" s="14">
        <f>data!BE67</f>
        <v>376557</v>
      </c>
      <c r="I241" s="14">
        <f>data!BF67</f>
        <v>10737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2797</v>
      </c>
      <c r="F242" s="14">
        <f>data!BC68</f>
        <v>0</v>
      </c>
      <c r="G242" s="14">
        <f>data!BD68</f>
        <v>8003</v>
      </c>
      <c r="H242" s="14">
        <f>data!BE68</f>
        <v>9578</v>
      </c>
      <c r="I242" s="14">
        <f>data!BF68</f>
        <v>409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23811</v>
      </c>
      <c r="F243" s="14">
        <f>data!BC69</f>
        <v>0</v>
      </c>
      <c r="G243" s="14">
        <f>data!BD69</f>
        <v>9451</v>
      </c>
      <c r="H243" s="14">
        <f>data!BE69</f>
        <v>5594</v>
      </c>
      <c r="I243" s="14">
        <f>data!BF69</f>
        <v>65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-525240</v>
      </c>
      <c r="D244" s="14">
        <f>-data!BA70</f>
        <v>0</v>
      </c>
      <c r="E244" s="14">
        <f>-data!BB70</f>
        <v>-22025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-525240</v>
      </c>
      <c r="D245" s="14">
        <f>data!BA71</f>
        <v>269047</v>
      </c>
      <c r="E245" s="14">
        <f>data!BB71</f>
        <v>645313</v>
      </c>
      <c r="F245" s="14">
        <f>data!BC71</f>
        <v>0</v>
      </c>
      <c r="G245" s="14">
        <f>data!BD71</f>
        <v>646598</v>
      </c>
      <c r="H245" s="14">
        <f>data!BE71</f>
        <v>1789236</v>
      </c>
      <c r="I245" s="14">
        <f>data!BF71</f>
        <v>728325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1294</v>
      </c>
      <c r="E252" s="85">
        <f>data!BB76</f>
        <v>150</v>
      </c>
      <c r="F252" s="85">
        <f>data!BC76</f>
        <v>0</v>
      </c>
      <c r="G252" s="85">
        <f>data!BD76</f>
        <v>2819</v>
      </c>
      <c r="H252" s="85">
        <f>data!BE76</f>
        <v>13151</v>
      </c>
      <c r="I252" s="85">
        <f>data!BF76</f>
        <v>375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161</v>
      </c>
      <c r="E254" s="85">
        <f>data!BB78</f>
        <v>322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Public Hospital District #1-A of Whitman County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6.23</v>
      </c>
      <c r="E266" s="26">
        <f>data!BI60</f>
        <v>5.05</v>
      </c>
      <c r="F266" s="26">
        <f>data!BJ60</f>
        <v>0</v>
      </c>
      <c r="G266" s="26">
        <f>data!BK60</f>
        <v>12.07</v>
      </c>
      <c r="H266" s="26">
        <f>data!BL60</f>
        <v>12.57</v>
      </c>
      <c r="I266" s="26">
        <f>data!BM60</f>
        <v>4.0199999999999996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602464</v>
      </c>
      <c r="E267" s="14">
        <f>data!BI61</f>
        <v>480550</v>
      </c>
      <c r="F267" s="14">
        <f>data!BJ61</f>
        <v>0</v>
      </c>
      <c r="G267" s="14">
        <f>data!BK61</f>
        <v>599277</v>
      </c>
      <c r="H267" s="14">
        <f>data!BL61</f>
        <v>493475</v>
      </c>
      <c r="I267" s="14">
        <f>data!BM61</f>
        <v>306124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125941</v>
      </c>
      <c r="E268" s="14">
        <f>data!BI62</f>
        <v>100456</v>
      </c>
      <c r="F268" s="14">
        <f>data!BJ62</f>
        <v>0</v>
      </c>
      <c r="G268" s="14">
        <f>data!BK62</f>
        <v>125275</v>
      </c>
      <c r="H268" s="14">
        <f>data!BL62</f>
        <v>103158</v>
      </c>
      <c r="I268" s="14">
        <f>data!BM62</f>
        <v>63993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50000</v>
      </c>
      <c r="E269" s="14">
        <f>data!BI63</f>
        <v>79798</v>
      </c>
      <c r="F269" s="14">
        <f>data!BJ63</f>
        <v>0</v>
      </c>
      <c r="G269" s="14">
        <f>data!BK63</f>
        <v>403277</v>
      </c>
      <c r="H269" s="14">
        <f>data!BL63</f>
        <v>0</v>
      </c>
      <c r="I269" s="14">
        <f>data!BM63</f>
        <v>75955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13153</v>
      </c>
      <c r="E270" s="14">
        <f>data!BI64</f>
        <v>4213</v>
      </c>
      <c r="F270" s="14">
        <f>data!BJ64</f>
        <v>0</v>
      </c>
      <c r="G270" s="14">
        <f>data!BK64</f>
        <v>21648</v>
      </c>
      <c r="H270" s="14">
        <f>data!BL64</f>
        <v>11189</v>
      </c>
      <c r="I270" s="14">
        <f>data!BM64</f>
        <v>9469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122277</v>
      </c>
      <c r="E271" s="14">
        <f>data!BI65</f>
        <v>4322</v>
      </c>
      <c r="F271" s="14">
        <f>data!BJ65</f>
        <v>0</v>
      </c>
      <c r="G271" s="14">
        <f>data!BK65</f>
        <v>2566</v>
      </c>
      <c r="H271" s="14">
        <f>data!BL65</f>
        <v>468</v>
      </c>
      <c r="I271" s="14">
        <f>data!BM65</f>
        <v>72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971917</v>
      </c>
      <c r="E272" s="14">
        <f>data!BI66</f>
        <v>32129</v>
      </c>
      <c r="F272" s="14">
        <f>data!BJ66</f>
        <v>0</v>
      </c>
      <c r="G272" s="14">
        <f>data!BK66</f>
        <v>195144</v>
      </c>
      <c r="H272" s="14">
        <f>data!BL66</f>
        <v>935</v>
      </c>
      <c r="I272" s="14">
        <f>data!BM66</f>
        <v>10762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53458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24796</v>
      </c>
      <c r="I273" s="14">
        <f>data!BM67</f>
        <v>7874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41904</v>
      </c>
      <c r="F274" s="14">
        <f>data!BJ68</f>
        <v>0</v>
      </c>
      <c r="G274" s="14">
        <f>data!BK68</f>
        <v>52913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27995</v>
      </c>
      <c r="E275" s="14">
        <f>data!BI69</f>
        <v>150625</v>
      </c>
      <c r="F275" s="14">
        <f>data!BJ69</f>
        <v>0</v>
      </c>
      <c r="G275" s="14">
        <f>data!BK69</f>
        <v>70755</v>
      </c>
      <c r="H275" s="14">
        <f>data!BL69</f>
        <v>0</v>
      </c>
      <c r="I275" s="14">
        <f>data!BM69</f>
        <v>50909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-33944</v>
      </c>
      <c r="E276" s="14">
        <f>-data!BI70</f>
        <v>0</v>
      </c>
      <c r="F276" s="14">
        <f>-data!BJ70</f>
        <v>0</v>
      </c>
      <c r="G276" s="14">
        <f>-data!BK70</f>
        <v>-60</v>
      </c>
      <c r="H276" s="14">
        <f>-data!BL70</f>
        <v>0</v>
      </c>
      <c r="I276" s="14">
        <f>-data!BM70</f>
        <v>-562996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1933261</v>
      </c>
      <c r="E277" s="14">
        <f>data!BI71</f>
        <v>893997</v>
      </c>
      <c r="F277" s="14">
        <f>data!BJ71</f>
        <v>0</v>
      </c>
      <c r="G277" s="14">
        <f>data!BK71</f>
        <v>1470795</v>
      </c>
      <c r="H277" s="14">
        <f>data!BL71</f>
        <v>634021</v>
      </c>
      <c r="I277" s="14">
        <f>data!BM71</f>
        <v>-37838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1867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866</v>
      </c>
      <c r="I284" s="85">
        <f>data!BM76</f>
        <v>275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322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161</v>
      </c>
      <c r="I286" s="85">
        <f>data!BM78</f>
        <v>161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Public Hospital District #1-A of Whitman County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3.52</v>
      </c>
      <c r="D298" s="26">
        <f>data!BO60</f>
        <v>1.0900000000000001</v>
      </c>
      <c r="E298" s="26">
        <f>data!BP60</f>
        <v>4.8499999999999996</v>
      </c>
      <c r="F298" s="26">
        <f>data!BQ60</f>
        <v>0</v>
      </c>
      <c r="G298" s="26">
        <f>data!BR60</f>
        <v>5.5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630490</v>
      </c>
      <c r="D299" s="14">
        <f>data!BO61</f>
        <v>108025</v>
      </c>
      <c r="E299" s="14">
        <f>data!BP61</f>
        <v>319055</v>
      </c>
      <c r="F299" s="14">
        <f>data!BQ61</f>
        <v>0</v>
      </c>
      <c r="G299" s="14">
        <f>data!BR61</f>
        <v>512502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131800</v>
      </c>
      <c r="D300" s="14">
        <f>data!BO62</f>
        <v>22582</v>
      </c>
      <c r="E300" s="14">
        <f>data!BP62</f>
        <v>66696</v>
      </c>
      <c r="F300" s="14">
        <f>data!BQ62</f>
        <v>0</v>
      </c>
      <c r="G300" s="14">
        <f>data!BR62</f>
        <v>107135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254780</v>
      </c>
      <c r="D301" s="14">
        <f>data!BO63</f>
        <v>0</v>
      </c>
      <c r="E301" s="14">
        <f>data!BP63</f>
        <v>277163</v>
      </c>
      <c r="F301" s="14">
        <f>data!BQ63</f>
        <v>0</v>
      </c>
      <c r="G301" s="14">
        <f>data!BR63</f>
        <v>102762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24698</v>
      </c>
      <c r="D302" s="14">
        <f>data!BO64</f>
        <v>3901</v>
      </c>
      <c r="E302" s="14">
        <f>data!BP64</f>
        <v>11014</v>
      </c>
      <c r="F302" s="14">
        <f>data!BQ64</f>
        <v>0</v>
      </c>
      <c r="G302" s="14">
        <f>data!BR64</f>
        <v>7737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936</v>
      </c>
      <c r="D303" s="14">
        <f>data!BO65</f>
        <v>468</v>
      </c>
      <c r="E303" s="14">
        <f>data!BP65</f>
        <v>468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18172</v>
      </c>
      <c r="D304" s="14">
        <f>data!BO66</f>
        <v>0</v>
      </c>
      <c r="E304" s="14">
        <f>data!BP66</f>
        <v>51668</v>
      </c>
      <c r="F304" s="14">
        <f>data!BQ66</f>
        <v>0</v>
      </c>
      <c r="G304" s="14">
        <f>data!BR66</f>
        <v>55223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102078</v>
      </c>
      <c r="D305" s="14">
        <f>data!BO67</f>
        <v>0</v>
      </c>
      <c r="E305" s="14">
        <f>data!BP67</f>
        <v>7874</v>
      </c>
      <c r="F305" s="14">
        <f>data!BQ67</f>
        <v>0</v>
      </c>
      <c r="G305" s="14">
        <f>data!BR67</f>
        <v>7874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12496</v>
      </c>
      <c r="D306" s="14">
        <f>data!BO68</f>
        <v>0</v>
      </c>
      <c r="E306" s="14">
        <f>data!BP68</f>
        <v>679</v>
      </c>
      <c r="F306" s="14">
        <f>data!BQ68</f>
        <v>0</v>
      </c>
      <c r="G306" s="14">
        <f>data!BR68</f>
        <v>11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303816</v>
      </c>
      <c r="D307" s="14">
        <f>data!BO69</f>
        <v>2129</v>
      </c>
      <c r="E307" s="14">
        <f>data!BP69</f>
        <v>57919</v>
      </c>
      <c r="F307" s="14">
        <f>data!BQ69</f>
        <v>0</v>
      </c>
      <c r="G307" s="14">
        <f>data!BR69</f>
        <v>87679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-50000</v>
      </c>
      <c r="D308" s="14">
        <f>-data!BO70</f>
        <v>0</v>
      </c>
      <c r="E308" s="14">
        <f>-data!BP70</f>
        <v>-15370</v>
      </c>
      <c r="F308" s="14">
        <f>-data!BQ70</f>
        <v>0</v>
      </c>
      <c r="G308" s="14">
        <f>-data!BR70</f>
        <v>-27755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1429266</v>
      </c>
      <c r="D309" s="14">
        <f>data!BO71</f>
        <v>137105</v>
      </c>
      <c r="E309" s="14">
        <f>data!BP71</f>
        <v>777166</v>
      </c>
      <c r="F309" s="14">
        <f>data!BQ71</f>
        <v>0</v>
      </c>
      <c r="G309" s="14">
        <f>data!BR71</f>
        <v>853168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3565</v>
      </c>
      <c r="D316" s="85">
        <f>data!BO76</f>
        <v>0</v>
      </c>
      <c r="E316" s="85">
        <f>data!BP76</f>
        <v>275</v>
      </c>
      <c r="F316" s="85">
        <f>data!BQ76</f>
        <v>0</v>
      </c>
      <c r="G316" s="85">
        <f>data!BR76</f>
        <v>275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Public Hospital District #1-A of Whitman County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4.96</v>
      </c>
      <c r="E330" s="26">
        <f>data!BW60</f>
        <v>2.58</v>
      </c>
      <c r="F330" s="26">
        <f>data!BX60</f>
        <v>4.3900000000000006</v>
      </c>
      <c r="G330" s="26">
        <f>data!BY60</f>
        <v>7.27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286174</v>
      </c>
      <c r="E331" s="86">
        <f>data!BW61</f>
        <v>419763</v>
      </c>
      <c r="F331" s="86">
        <f>data!BX61</f>
        <v>242188</v>
      </c>
      <c r="G331" s="86">
        <f>data!BY61</f>
        <v>949299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59823</v>
      </c>
      <c r="E332" s="86">
        <f>data!BW62</f>
        <v>87749</v>
      </c>
      <c r="F332" s="86">
        <f>data!BX62</f>
        <v>50628</v>
      </c>
      <c r="G332" s="86">
        <f>data!BY62</f>
        <v>198445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196534</v>
      </c>
      <c r="E333" s="86">
        <f>data!BW63</f>
        <v>1032871</v>
      </c>
      <c r="F333" s="86">
        <f>data!BX63</f>
        <v>50890</v>
      </c>
      <c r="G333" s="86">
        <f>data!BY63</f>
        <v>4193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7220</v>
      </c>
      <c r="E334" s="86">
        <f>data!BW64</f>
        <v>15013</v>
      </c>
      <c r="F334" s="86">
        <f>data!BX64</f>
        <v>3291</v>
      </c>
      <c r="G334" s="86">
        <f>data!BY64</f>
        <v>4802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936</v>
      </c>
      <c r="F335" s="86">
        <f>data!BX65</f>
        <v>468</v>
      </c>
      <c r="G335" s="86">
        <f>data!BY65</f>
        <v>741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36004</v>
      </c>
      <c r="E336" s="86">
        <f>data!BW66</f>
        <v>13329</v>
      </c>
      <c r="F336" s="86">
        <f>data!BX66</f>
        <v>29436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38741</v>
      </c>
      <c r="E337" s="86">
        <f>data!BW67</f>
        <v>4295</v>
      </c>
      <c r="F337" s="86">
        <f>data!BX67</f>
        <v>4295</v>
      </c>
      <c r="G337" s="86">
        <f>data!BY67</f>
        <v>4295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7996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599</v>
      </c>
      <c r="E339" s="86">
        <f>data!BW69</f>
        <v>51176</v>
      </c>
      <c r="F339" s="86">
        <f>data!BX69</f>
        <v>42712</v>
      </c>
      <c r="G339" s="86">
        <f>data!BY69</f>
        <v>25934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-9931</v>
      </c>
      <c r="E340" s="14">
        <f>-data!BW70</f>
        <v>-8600</v>
      </c>
      <c r="F340" s="14">
        <f>-data!BX70</f>
        <v>0</v>
      </c>
      <c r="G340" s="14">
        <f>-data!BY70</f>
        <v>-24329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623160</v>
      </c>
      <c r="E341" s="14">
        <f>data!BW71</f>
        <v>1616532</v>
      </c>
      <c r="F341" s="14">
        <f>data!BX71</f>
        <v>423908</v>
      </c>
      <c r="G341" s="14">
        <f>data!BY71</f>
        <v>1163380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1353</v>
      </c>
      <c r="E348" s="85">
        <f>data!BW76</f>
        <v>150</v>
      </c>
      <c r="F348" s="85">
        <f>data!BX76</f>
        <v>150</v>
      </c>
      <c r="G348" s="85">
        <f>data!BY76</f>
        <v>150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161</v>
      </c>
      <c r="E350" s="85">
        <f>data!BW78</f>
        <v>161</v>
      </c>
      <c r="F350" s="85">
        <f>data!BX78</f>
        <v>161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Public Hospital District #1-A of Whitman County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395.58999999999986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30779312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6434215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5350745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12021653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721173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3302212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579882</v>
      </c>
      <c r="E369" s="218"/>
      <c r="F369" s="219"/>
      <c r="G369" s="219"/>
      <c r="H369" s="219"/>
      <c r="I369" s="86">
        <f>data!CE67</f>
        <v>3160742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399683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1677993</v>
      </c>
      <c r="F371" s="219"/>
      <c r="G371" s="219"/>
      <c r="H371" s="219"/>
      <c r="I371" s="86">
        <f>data!CE69</f>
        <v>3007714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295053</v>
      </c>
      <c r="F372" s="220"/>
      <c r="G372" s="220"/>
      <c r="H372" s="220"/>
      <c r="I372" s="14">
        <f>-data!CE70</f>
        <v>-2056947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579882</v>
      </c>
      <c r="E373" s="86">
        <f>data!CD71</f>
        <v>1382940</v>
      </c>
      <c r="F373" s="219"/>
      <c r="G373" s="219"/>
      <c r="H373" s="219"/>
      <c r="I373" s="14">
        <f>data!CE71</f>
        <v>63120502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-1227152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31200288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92161672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123361960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20252</v>
      </c>
      <c r="E380" s="214"/>
      <c r="F380" s="211"/>
      <c r="G380" s="211"/>
      <c r="H380" s="211"/>
      <c r="I380" s="14">
        <f>data!CE76</f>
        <v>110387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17815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26242.93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322294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81.241730769230784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Pullman Regional Hospital Year End Report</dc:title>
  <dc:subject>2018 Pullman Regional Hospital Year End Report</dc:subject>
  <dc:creator>Washington State Dept of Health - HSQA - Community Health Systems</dc:creator>
  <cp:keywords>hospital financial reports</cp:keywords>
  <cp:lastModifiedBy>Huyck, Randall  (DOH)</cp:lastModifiedBy>
  <cp:lastPrinted>2019-05-22T22:31:49Z</cp:lastPrinted>
  <dcterms:created xsi:type="dcterms:W3CDTF">1999-06-02T22:01:56Z</dcterms:created>
  <dcterms:modified xsi:type="dcterms:W3CDTF">2019-06-19T18:32:31Z</dcterms:modified>
</cp:coreProperties>
</file>