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28680" yWindow="-120" windowWidth="29040" windowHeight="15840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D69" i="1" l="1"/>
  <c r="CC66" i="1"/>
  <c r="B48" i="1"/>
  <c r="C224" i="1"/>
  <c r="C223" i="1"/>
  <c r="C389" i="1"/>
  <c r="C371" i="1" l="1"/>
  <c r="C238" i="1"/>
  <c r="CD70" i="1"/>
  <c r="C366" i="1"/>
  <c r="C360" i="1"/>
  <c r="K73" i="1" l="1"/>
  <c r="K59" i="1"/>
  <c r="D529" i="1" l="1"/>
  <c r="D535" i="1"/>
  <c r="B535" i="1"/>
  <c r="B529" i="1"/>
  <c r="Y59" i="1"/>
  <c r="Y66" i="1"/>
  <c r="X66" i="1"/>
  <c r="Y74" i="1"/>
  <c r="B142" i="1"/>
  <c r="C228" i="1"/>
  <c r="C370" i="1"/>
  <c r="BN69" i="1"/>
  <c r="BI79" i="1"/>
  <c r="C306" i="1" l="1"/>
  <c r="C269" i="1"/>
  <c r="C255" i="1"/>
  <c r="C210" i="1"/>
  <c r="B210" i="1"/>
  <c r="B197" i="1"/>
  <c r="AJ74" i="1" l="1"/>
  <c r="AG74" i="1"/>
  <c r="R74" i="1"/>
  <c r="AV74" i="1"/>
  <c r="AB73" i="1"/>
  <c r="R73" i="1"/>
  <c r="AV73" i="1"/>
  <c r="BR66" i="1"/>
  <c r="BR81" i="1" s="1"/>
  <c r="BO66" i="1"/>
  <c r="BG69" i="1"/>
  <c r="BH66" i="1"/>
  <c r="AC66" i="1"/>
  <c r="X69" i="1"/>
  <c r="U69" i="1"/>
  <c r="R69" i="1"/>
  <c r="L81" i="1"/>
  <c r="M81" i="1"/>
  <c r="N81" i="1"/>
  <c r="O81" i="1"/>
  <c r="P81" i="1"/>
  <c r="Q81" i="1"/>
  <c r="S81" i="1"/>
  <c r="T81" i="1"/>
  <c r="U81" i="1"/>
  <c r="V81" i="1"/>
  <c r="W81" i="1"/>
  <c r="X81" i="1"/>
  <c r="Z81" i="1"/>
  <c r="AA81" i="1"/>
  <c r="AB81" i="1"/>
  <c r="AD81" i="1"/>
  <c r="AE81" i="1"/>
  <c r="AF81" i="1"/>
  <c r="AH81" i="1"/>
  <c r="AI81" i="1"/>
  <c r="AK81" i="1"/>
  <c r="AL81" i="1"/>
  <c r="AM81" i="1"/>
  <c r="AN81" i="1"/>
  <c r="AO81" i="1"/>
  <c r="AP81" i="1"/>
  <c r="AQ81" i="1"/>
  <c r="AR81" i="1"/>
  <c r="AS81" i="1"/>
  <c r="AT81" i="1"/>
  <c r="AU81" i="1"/>
  <c r="AW81" i="1"/>
  <c r="AX81" i="1"/>
  <c r="AY81" i="1"/>
  <c r="AZ81" i="1"/>
  <c r="BA81" i="1"/>
  <c r="BB81" i="1"/>
  <c r="BC81" i="1"/>
  <c r="BD81" i="1"/>
  <c r="BE81" i="1"/>
  <c r="BF81" i="1"/>
  <c r="BG81" i="1"/>
  <c r="BI81" i="1"/>
  <c r="BJ81" i="1"/>
  <c r="BK81" i="1"/>
  <c r="BL81" i="1"/>
  <c r="BM81" i="1"/>
  <c r="BN81" i="1"/>
  <c r="BO81" i="1"/>
  <c r="BP81" i="1"/>
  <c r="BQ81" i="1"/>
  <c r="BS81" i="1"/>
  <c r="BT81" i="1"/>
  <c r="BU81" i="1"/>
  <c r="BV81" i="1"/>
  <c r="BW81" i="1"/>
  <c r="BX81" i="1"/>
  <c r="BY81" i="1"/>
  <c r="BZ81" i="1"/>
  <c r="CA81" i="1"/>
  <c r="CB81" i="1"/>
  <c r="CD81" i="1"/>
  <c r="K81" i="1"/>
  <c r="AJ66" i="1"/>
  <c r="AG66" i="1"/>
  <c r="R66" i="1"/>
  <c r="AV66" i="1"/>
  <c r="AJ64" i="1" l="1"/>
  <c r="CC64" i="1"/>
  <c r="BH64" i="1"/>
  <c r="AG64" i="1"/>
  <c r="AV64" i="1"/>
  <c r="AC64" i="1"/>
  <c r="Y64" i="1"/>
  <c r="Y81" i="1" s="1"/>
  <c r="AJ63" i="1"/>
  <c r="CC63" i="1"/>
  <c r="AG63" i="1"/>
  <c r="AC63" i="1"/>
  <c r="CC47" i="1"/>
  <c r="BH47" i="1"/>
  <c r="AV47" i="1"/>
  <c r="AJ76" i="1"/>
  <c r="AJ47" i="1"/>
  <c r="AG47" i="1"/>
  <c r="AC47" i="1"/>
  <c r="CC61" i="1"/>
  <c r="AJ61" i="1"/>
  <c r="BH61" i="1"/>
  <c r="BH81" i="1" s="1"/>
  <c r="AG61" i="1"/>
  <c r="AG81" i="1" s="1"/>
  <c r="R61" i="1"/>
  <c r="R81" i="1" s="1"/>
  <c r="AV61" i="1"/>
  <c r="AV81" i="1" s="1"/>
  <c r="AC61" i="1"/>
  <c r="U74" i="1"/>
  <c r="P74" i="1"/>
  <c r="CC81" i="1" l="1"/>
  <c r="AJ81" i="1"/>
  <c r="AC81" i="1"/>
  <c r="C615" i="10"/>
  <c r="F550" i="10"/>
  <c r="E550" i="10"/>
  <c r="F546" i="10"/>
  <c r="E546" i="10"/>
  <c r="E545" i="10"/>
  <c r="H545" i="10"/>
  <c r="E544" i="10"/>
  <c r="F540" i="10"/>
  <c r="E540" i="10"/>
  <c r="H540" i="10"/>
  <c r="H539" i="10"/>
  <c r="F539" i="10"/>
  <c r="E539" i="10"/>
  <c r="H538" i="10"/>
  <c r="F538" i="10"/>
  <c r="E538" i="10"/>
  <c r="F537" i="10"/>
  <c r="E537" i="10"/>
  <c r="H537" i="10"/>
  <c r="E536" i="10"/>
  <c r="E535" i="10"/>
  <c r="H534" i="10"/>
  <c r="E534" i="10"/>
  <c r="F534" i="10"/>
  <c r="E533" i="10"/>
  <c r="H533" i="10"/>
  <c r="F532" i="10"/>
  <c r="E532" i="10"/>
  <c r="H531" i="10"/>
  <c r="F531" i="10"/>
  <c r="E531" i="10"/>
  <c r="H530" i="10"/>
  <c r="F530" i="10"/>
  <c r="E530" i="10"/>
  <c r="F529" i="10"/>
  <c r="E529" i="10"/>
  <c r="E528" i="10"/>
  <c r="H527" i="10"/>
  <c r="E527" i="10"/>
  <c r="F527" i="10"/>
  <c r="E526" i="10"/>
  <c r="F526" i="10"/>
  <c r="F525" i="10"/>
  <c r="E525" i="10"/>
  <c r="H525" i="10"/>
  <c r="F524" i="10"/>
  <c r="E524" i="10"/>
  <c r="H523" i="10"/>
  <c r="F523" i="10"/>
  <c r="E523" i="10"/>
  <c r="E522" i="10"/>
  <c r="F522" i="10"/>
  <c r="F521" i="10"/>
  <c r="E520" i="10"/>
  <c r="F520" i="10"/>
  <c r="E519" i="10"/>
  <c r="H519" i="10"/>
  <c r="F518" i="10"/>
  <c r="E518" i="10"/>
  <c r="E517" i="10"/>
  <c r="F517" i="10"/>
  <c r="E516" i="10"/>
  <c r="F516" i="10"/>
  <c r="F515" i="10"/>
  <c r="E515" i="10"/>
  <c r="H515" i="10"/>
  <c r="E514" i="10"/>
  <c r="H513" i="10"/>
  <c r="F513" i="10"/>
  <c r="F512" i="10"/>
  <c r="E511" i="10"/>
  <c r="F511" i="10"/>
  <c r="E510" i="10"/>
  <c r="E509" i="10"/>
  <c r="F509" i="10"/>
  <c r="H508" i="10"/>
  <c r="E508" i="10"/>
  <c r="F508" i="10"/>
  <c r="F507" i="10"/>
  <c r="E507" i="10"/>
  <c r="F506" i="10"/>
  <c r="E506" i="10"/>
  <c r="H506" i="10"/>
  <c r="E505" i="10"/>
  <c r="F505" i="10"/>
  <c r="H504" i="10"/>
  <c r="F504" i="10"/>
  <c r="E504" i="10"/>
  <c r="F503" i="10"/>
  <c r="E503" i="10"/>
  <c r="H503" i="10"/>
  <c r="E502" i="10"/>
  <c r="H501" i="10"/>
  <c r="E501" i="10"/>
  <c r="F501" i="10"/>
  <c r="H500" i="10"/>
  <c r="E500" i="10"/>
  <c r="F500" i="10"/>
  <c r="E499" i="10"/>
  <c r="H499" i="10"/>
  <c r="F498" i="10"/>
  <c r="E498" i="10"/>
  <c r="H497" i="10"/>
  <c r="F497" i="10"/>
  <c r="E497" i="10"/>
  <c r="H496" i="10"/>
  <c r="F496" i="10"/>
  <c r="E496" i="10"/>
  <c r="G493" i="10"/>
  <c r="E493" i="10"/>
  <c r="C493" i="10"/>
  <c r="A493" i="10"/>
  <c r="B478" i="10"/>
  <c r="B475" i="10"/>
  <c r="B474" i="10"/>
  <c r="B473" i="10"/>
  <c r="B472" i="10"/>
  <c r="B471" i="10"/>
  <c r="B469" i="10"/>
  <c r="B468" i="10"/>
  <c r="B463" i="10"/>
  <c r="C459" i="10"/>
  <c r="B459" i="10"/>
  <c r="C458" i="10"/>
  <c r="B458" i="10"/>
  <c r="B455" i="10"/>
  <c r="B454" i="10"/>
  <c r="B453" i="10"/>
  <c r="C446" i="10"/>
  <c r="C444" i="10"/>
  <c r="B441" i="10"/>
  <c r="C439" i="10"/>
  <c r="B439" i="10"/>
  <c r="C438" i="10"/>
  <c r="B438" i="10"/>
  <c r="B440" i="10" s="1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C421" i="10"/>
  <c r="B421" i="10"/>
  <c r="B420" i="10"/>
  <c r="D418" i="10"/>
  <c r="C418" i="10"/>
  <c r="B418" i="10"/>
  <c r="B417" i="10"/>
  <c r="D415" i="10"/>
  <c r="B415" i="10"/>
  <c r="B414" i="10"/>
  <c r="A412" i="10"/>
  <c r="C389" i="10"/>
  <c r="D390" i="10" s="1"/>
  <c r="D372" i="10"/>
  <c r="C366" i="10"/>
  <c r="C447" i="10" s="1"/>
  <c r="C364" i="10"/>
  <c r="C445" i="10" s="1"/>
  <c r="C360" i="10"/>
  <c r="D361" i="10" s="1"/>
  <c r="D329" i="10"/>
  <c r="D328" i="10"/>
  <c r="D330" i="10" s="1"/>
  <c r="C325" i="10"/>
  <c r="D319" i="10"/>
  <c r="C306" i="10"/>
  <c r="D314" i="10" s="1"/>
  <c r="D290" i="10"/>
  <c r="D283" i="10"/>
  <c r="C269" i="10"/>
  <c r="B470" i="10" s="1"/>
  <c r="D265" i="10"/>
  <c r="D260" i="10"/>
  <c r="D240" i="10"/>
  <c r="B447" i="10" s="1"/>
  <c r="D236" i="10"/>
  <c r="B446" i="10" s="1"/>
  <c r="C228" i="10"/>
  <c r="C224" i="10"/>
  <c r="C223" i="10"/>
  <c r="D229" i="10" s="1"/>
  <c r="B445" i="10" s="1"/>
  <c r="D221" i="10"/>
  <c r="B444" i="10" s="1"/>
  <c r="D217" i="10"/>
  <c r="E216" i="10"/>
  <c r="E215" i="10"/>
  <c r="E214" i="10"/>
  <c r="E213" i="10"/>
  <c r="E212" i="10"/>
  <c r="E211" i="10"/>
  <c r="C210" i="10"/>
  <c r="C217" i="10" s="1"/>
  <c r="D433" i="10" s="1"/>
  <c r="B210" i="10"/>
  <c r="E210" i="10" s="1"/>
  <c r="E209" i="10"/>
  <c r="D204" i="10"/>
  <c r="C204" i="10"/>
  <c r="E203" i="10"/>
  <c r="C475" i="10" s="1"/>
  <c r="E202" i="10"/>
  <c r="C474" i="10" s="1"/>
  <c r="E201" i="10"/>
  <c r="E200" i="10"/>
  <c r="E199" i="10"/>
  <c r="C472" i="10" s="1"/>
  <c r="E198" i="10"/>
  <c r="C471" i="10" s="1"/>
  <c r="B197" i="10"/>
  <c r="B204" i="10" s="1"/>
  <c r="E196" i="10"/>
  <c r="C469" i="10" s="1"/>
  <c r="E195" i="10"/>
  <c r="C468" i="10" s="1"/>
  <c r="D190" i="10"/>
  <c r="D437" i="10" s="1"/>
  <c r="C183" i="10"/>
  <c r="D186" i="10" s="1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E150" i="10"/>
  <c r="C420" i="10" s="1"/>
  <c r="E148" i="10"/>
  <c r="E147" i="10"/>
  <c r="E146" i="10"/>
  <c r="E145" i="10"/>
  <c r="E144" i="10"/>
  <c r="C417" i="10" s="1"/>
  <c r="E142" i="10"/>
  <c r="D464" i="10" s="1"/>
  <c r="E141" i="10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I612" i="10" s="1"/>
  <c r="CE77" i="10"/>
  <c r="G612" i="10" s="1"/>
  <c r="CE76" i="10"/>
  <c r="D612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I75" i="10"/>
  <c r="AH75" i="10"/>
  <c r="AF75" i="10"/>
  <c r="AE75" i="10"/>
  <c r="AD75" i="10"/>
  <c r="AC75" i="10"/>
  <c r="AB75" i="10"/>
  <c r="AA75" i="10"/>
  <c r="Z75" i="10"/>
  <c r="X75" i="10"/>
  <c r="W75" i="10"/>
  <c r="V75" i="10"/>
  <c r="U75" i="10"/>
  <c r="T75" i="10"/>
  <c r="S75" i="10"/>
  <c r="Q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AJ74" i="10"/>
  <c r="AJ75" i="10" s="1"/>
  <c r="AG74" i="10"/>
  <c r="Y74" i="10"/>
  <c r="R74" i="10"/>
  <c r="P74" i="10"/>
  <c r="CE74" i="10" s="1"/>
  <c r="C464" i="10" s="1"/>
  <c r="AG73" i="10"/>
  <c r="Y73" i="10"/>
  <c r="R73" i="10"/>
  <c r="R75" i="10" s="1"/>
  <c r="P73" i="10"/>
  <c r="P75" i="10" s="1"/>
  <c r="CD71" i="10"/>
  <c r="C575" i="10" s="1"/>
  <c r="CE70" i="10"/>
  <c r="CE69" i="10"/>
  <c r="C440" i="10" s="1"/>
  <c r="CE68" i="10"/>
  <c r="C434" i="10" s="1"/>
  <c r="CE66" i="10"/>
  <c r="C432" i="10" s="1"/>
  <c r="CE65" i="10"/>
  <c r="C431" i="10" s="1"/>
  <c r="CE64" i="10"/>
  <c r="F612" i="10" s="1"/>
  <c r="CE63" i="10"/>
  <c r="C429" i="10" s="1"/>
  <c r="CC61" i="10"/>
  <c r="CE60" i="10"/>
  <c r="H612" i="10" s="1"/>
  <c r="B53" i="10"/>
  <c r="CE51" i="10"/>
  <c r="B49" i="10"/>
  <c r="BH47" i="10"/>
  <c r="AJ47" i="10"/>
  <c r="AG47" i="10"/>
  <c r="CE47" i="10" s="1"/>
  <c r="D438" i="10" l="1"/>
  <c r="M52" i="10"/>
  <c r="M67" i="10" s="1"/>
  <c r="S52" i="10"/>
  <c r="S67" i="10" s="1"/>
  <c r="AO52" i="10"/>
  <c r="AO67" i="10" s="1"/>
  <c r="AS52" i="10"/>
  <c r="AS67" i="10" s="1"/>
  <c r="BI52" i="10"/>
  <c r="BI67" i="10" s="1"/>
  <c r="BP52" i="10"/>
  <c r="BP67" i="10" s="1"/>
  <c r="CF76" i="10"/>
  <c r="B217" i="10"/>
  <c r="D275" i="10"/>
  <c r="D367" i="10"/>
  <c r="C448" i="10" s="1"/>
  <c r="D52" i="10"/>
  <c r="D67" i="10" s="1"/>
  <c r="P52" i="10"/>
  <c r="P67" i="10" s="1"/>
  <c r="T52" i="10"/>
  <c r="T67" i="10" s="1"/>
  <c r="Z52" i="10"/>
  <c r="Z67" i="10" s="1"/>
  <c r="AF52" i="10"/>
  <c r="AF67" i="10" s="1"/>
  <c r="AP52" i="10"/>
  <c r="AP67" i="10" s="1"/>
  <c r="AV52" i="10"/>
  <c r="AV67" i="10" s="1"/>
  <c r="AZ52" i="10"/>
  <c r="AZ67" i="10" s="1"/>
  <c r="BF52" i="10"/>
  <c r="BF67" i="10" s="1"/>
  <c r="BM52" i="10"/>
  <c r="BM67" i="10" s="1"/>
  <c r="BQ52" i="10"/>
  <c r="BQ67" i="10" s="1"/>
  <c r="BX52" i="10"/>
  <c r="BX67" i="10" s="1"/>
  <c r="C52" i="10"/>
  <c r="C67" i="10" s="1"/>
  <c r="AC52" i="10"/>
  <c r="AC67" i="10" s="1"/>
  <c r="E217" i="10"/>
  <c r="C478" i="10" s="1"/>
  <c r="D339" i="10"/>
  <c r="C482" i="10" s="1"/>
  <c r="J52" i="10"/>
  <c r="J67" i="10" s="1"/>
  <c r="AJ52" i="10"/>
  <c r="AJ67" i="10" s="1"/>
  <c r="Y75" i="10"/>
  <c r="E52" i="10"/>
  <c r="E67" i="10" s="1"/>
  <c r="K52" i="10"/>
  <c r="K67" i="10" s="1"/>
  <c r="Q52" i="10"/>
  <c r="Q67" i="10" s="1"/>
  <c r="U52" i="10"/>
  <c r="U67" i="10" s="1"/>
  <c r="AA52" i="10"/>
  <c r="AA67" i="10" s="1"/>
  <c r="AG52" i="10"/>
  <c r="AG67" i="10" s="1"/>
  <c r="AK52" i="10"/>
  <c r="AK67" i="10" s="1"/>
  <c r="AQ52" i="10"/>
  <c r="AQ67" i="10" s="1"/>
  <c r="AW52" i="10"/>
  <c r="AW67" i="10" s="1"/>
  <c r="BA52" i="10"/>
  <c r="BA67" i="10" s="1"/>
  <c r="BG52" i="10"/>
  <c r="BG67" i="10" s="1"/>
  <c r="BN52" i="10"/>
  <c r="BN67" i="10" s="1"/>
  <c r="BU52" i="10"/>
  <c r="BU67" i="10" s="1"/>
  <c r="BY52" i="10"/>
  <c r="BY67" i="10" s="1"/>
  <c r="CE73" i="10"/>
  <c r="C463" i="10" s="1"/>
  <c r="E197" i="10"/>
  <c r="C470" i="10" s="1"/>
  <c r="C473" i="10"/>
  <c r="CE61" i="10"/>
  <c r="F528" i="10"/>
  <c r="F52" i="10"/>
  <c r="F67" i="10" s="1"/>
  <c r="N52" i="10"/>
  <c r="N67" i="10" s="1"/>
  <c r="V52" i="10"/>
  <c r="V67" i="10" s="1"/>
  <c r="AD52" i="10"/>
  <c r="AD67" i="10" s="1"/>
  <c r="AL52" i="10"/>
  <c r="AL67" i="10" s="1"/>
  <c r="AT52" i="10"/>
  <c r="AT67" i="10" s="1"/>
  <c r="BB52" i="10"/>
  <c r="BB67" i="10" s="1"/>
  <c r="BJ52" i="10"/>
  <c r="BJ67" i="10" s="1"/>
  <c r="BR52" i="10"/>
  <c r="BR67" i="10" s="1"/>
  <c r="BZ52" i="10"/>
  <c r="BZ67" i="10" s="1"/>
  <c r="F514" i="10"/>
  <c r="F519" i="10"/>
  <c r="G52" i="10"/>
  <c r="G67" i="10" s="1"/>
  <c r="O52" i="10"/>
  <c r="O67" i="10" s="1"/>
  <c r="W52" i="10"/>
  <c r="W67" i="10" s="1"/>
  <c r="AE52" i="10"/>
  <c r="AE67" i="10" s="1"/>
  <c r="AM52" i="10"/>
  <c r="AM67" i="10" s="1"/>
  <c r="AU52" i="10"/>
  <c r="AU67" i="10" s="1"/>
  <c r="BC52" i="10"/>
  <c r="BC67" i="10" s="1"/>
  <c r="BK52" i="10"/>
  <c r="BK67" i="10" s="1"/>
  <c r="BS52" i="10"/>
  <c r="BS67" i="10" s="1"/>
  <c r="CA52" i="10"/>
  <c r="CA67" i="10" s="1"/>
  <c r="AG75" i="10"/>
  <c r="CE75" i="10" s="1"/>
  <c r="F499" i="10"/>
  <c r="F535" i="10"/>
  <c r="BL52" i="10"/>
  <c r="BL67" i="10" s="1"/>
  <c r="BT52" i="10"/>
  <c r="BT67" i="10" s="1"/>
  <c r="D242" i="10"/>
  <c r="B448" i="10" s="1"/>
  <c r="F533" i="10"/>
  <c r="B465" i="10"/>
  <c r="D368" i="10"/>
  <c r="D373" i="10" s="1"/>
  <c r="D391" i="10" s="1"/>
  <c r="D393" i="10" s="1"/>
  <c r="D396" i="10" s="1"/>
  <c r="H510" i="10"/>
  <c r="F510" i="10"/>
  <c r="H536" i="10"/>
  <c r="F536" i="10"/>
  <c r="CF77" i="10"/>
  <c r="C430" i="10"/>
  <c r="H502" i="10"/>
  <c r="F502" i="10"/>
  <c r="F544" i="10"/>
  <c r="D463" i="10"/>
  <c r="D465" i="10" s="1"/>
  <c r="B464" i="10"/>
  <c r="F545" i="10"/>
  <c r="F493" i="1"/>
  <c r="D493" i="1"/>
  <c r="B493" i="1"/>
  <c r="B575" i="1"/>
  <c r="B476" i="10" l="1"/>
  <c r="D277" i="10"/>
  <c r="D292" i="10" s="1"/>
  <c r="D341" i="10" s="1"/>
  <c r="C481" i="10" s="1"/>
  <c r="E204" i="10"/>
  <c r="C476" i="10" s="1"/>
  <c r="CB52" i="10"/>
  <c r="CB67" i="10" s="1"/>
  <c r="AB52" i="10"/>
  <c r="AB67" i="10" s="1"/>
  <c r="R52" i="10"/>
  <c r="R67" i="10" s="1"/>
  <c r="L52" i="10"/>
  <c r="L67" i="10" s="1"/>
  <c r="H52" i="10"/>
  <c r="H67" i="10" s="1"/>
  <c r="CE67" i="10" s="1"/>
  <c r="C433" i="10" s="1"/>
  <c r="CC52" i="10"/>
  <c r="CC67" i="10" s="1"/>
  <c r="BV52" i="10"/>
  <c r="BV67" i="10" s="1"/>
  <c r="BO52" i="10"/>
  <c r="BO67" i="10" s="1"/>
  <c r="BH52" i="10"/>
  <c r="BH67" i="10" s="1"/>
  <c r="BD52" i="10"/>
  <c r="BD67" i="10" s="1"/>
  <c r="AX52" i="10"/>
  <c r="AX67" i="10" s="1"/>
  <c r="AR52" i="10"/>
  <c r="AR67" i="10" s="1"/>
  <c r="AN52" i="10"/>
  <c r="AN67" i="10" s="1"/>
  <c r="AH52" i="10"/>
  <c r="AH67" i="10" s="1"/>
  <c r="X52" i="10"/>
  <c r="X67" i="10" s="1"/>
  <c r="BE52" i="10"/>
  <c r="BE67" i="10" s="1"/>
  <c r="AI52" i="10"/>
  <c r="AI67" i="10" s="1"/>
  <c r="I52" i="10"/>
  <c r="I67" i="10" s="1"/>
  <c r="BW52" i="10"/>
  <c r="BW67" i="10" s="1"/>
  <c r="AY52" i="10"/>
  <c r="AY67" i="10" s="1"/>
  <c r="Y52" i="10"/>
  <c r="Y67" i="10" s="1"/>
  <c r="K612" i="10"/>
  <c r="C465" i="10"/>
  <c r="C427" i="10"/>
  <c r="BY48" i="10"/>
  <c r="BY62" i="10" s="1"/>
  <c r="BY71" i="10" s="1"/>
  <c r="BQ48" i="10"/>
  <c r="BQ62" i="10" s="1"/>
  <c r="BQ71" i="10" s="1"/>
  <c r="BI48" i="10"/>
  <c r="BI62" i="10" s="1"/>
  <c r="BI71" i="10" s="1"/>
  <c r="BA48" i="10"/>
  <c r="BA62" i="10" s="1"/>
  <c r="BA71" i="10" s="1"/>
  <c r="AS48" i="10"/>
  <c r="AS62" i="10" s="1"/>
  <c r="AS71" i="10" s="1"/>
  <c r="AK48" i="10"/>
  <c r="AK62" i="10" s="1"/>
  <c r="AK71" i="10" s="1"/>
  <c r="AC48" i="10"/>
  <c r="AC62" i="10" s="1"/>
  <c r="AC71" i="10" s="1"/>
  <c r="U48" i="10"/>
  <c r="U62" i="10" s="1"/>
  <c r="U71" i="10" s="1"/>
  <c r="M48" i="10"/>
  <c r="M62" i="10" s="1"/>
  <c r="M71" i="10" s="1"/>
  <c r="E48" i="10"/>
  <c r="E62" i="10" s="1"/>
  <c r="E71" i="10" s="1"/>
  <c r="BV48" i="10"/>
  <c r="BV62" i="10" s="1"/>
  <c r="BV71" i="10" s="1"/>
  <c r="BN48" i="10"/>
  <c r="BN62" i="10" s="1"/>
  <c r="BN71" i="10" s="1"/>
  <c r="BF48" i="10"/>
  <c r="BF62" i="10" s="1"/>
  <c r="BF71" i="10" s="1"/>
  <c r="AX48" i="10"/>
  <c r="AX62" i="10" s="1"/>
  <c r="AP48" i="10"/>
  <c r="AP62" i="10" s="1"/>
  <c r="AP71" i="10" s="1"/>
  <c r="AH48" i="10"/>
  <c r="AH62" i="10" s="1"/>
  <c r="AH71" i="10" s="1"/>
  <c r="Z48" i="10"/>
  <c r="Z62" i="10" s="1"/>
  <c r="Z71" i="10" s="1"/>
  <c r="R48" i="10"/>
  <c r="R62" i="10" s="1"/>
  <c r="J48" i="10"/>
  <c r="J62" i="10" s="1"/>
  <c r="J71" i="10" s="1"/>
  <c r="CC48" i="10"/>
  <c r="CC62" i="10" s="1"/>
  <c r="CC71" i="10" s="1"/>
  <c r="BU48" i="10"/>
  <c r="BU62" i="10" s="1"/>
  <c r="BU71" i="10" s="1"/>
  <c r="BM48" i="10"/>
  <c r="BM62" i="10" s="1"/>
  <c r="BM71" i="10" s="1"/>
  <c r="BE48" i="10"/>
  <c r="BE62" i="10" s="1"/>
  <c r="AW48" i="10"/>
  <c r="AW62" i="10" s="1"/>
  <c r="AW71" i="10" s="1"/>
  <c r="AO48" i="10"/>
  <c r="AO62" i="10" s="1"/>
  <c r="AO71" i="10" s="1"/>
  <c r="AG48" i="10"/>
  <c r="AG62" i="10" s="1"/>
  <c r="AG71" i="10" s="1"/>
  <c r="Y48" i="10"/>
  <c r="Y62" i="10" s="1"/>
  <c r="Y71" i="10" s="1"/>
  <c r="Q48" i="10"/>
  <c r="Q62" i="10" s="1"/>
  <c r="Q71" i="10" s="1"/>
  <c r="I48" i="10"/>
  <c r="I62" i="10" s="1"/>
  <c r="I71" i="10" s="1"/>
  <c r="CB48" i="10"/>
  <c r="CB62" i="10" s="1"/>
  <c r="CB71" i="10" s="1"/>
  <c r="BT48" i="10"/>
  <c r="BT62" i="10" s="1"/>
  <c r="BT71" i="10" s="1"/>
  <c r="BL48" i="10"/>
  <c r="BL62" i="10" s="1"/>
  <c r="BL71" i="10" s="1"/>
  <c r="BD48" i="10"/>
  <c r="BD62" i="10" s="1"/>
  <c r="BD71" i="10" s="1"/>
  <c r="AV48" i="10"/>
  <c r="AV62" i="10" s="1"/>
  <c r="AV71" i="10" s="1"/>
  <c r="AN48" i="10"/>
  <c r="AN62" i="10" s="1"/>
  <c r="AN71" i="10" s="1"/>
  <c r="AF48" i="10"/>
  <c r="AF62" i="10" s="1"/>
  <c r="AF71" i="10" s="1"/>
  <c r="X48" i="10"/>
  <c r="X62" i="10" s="1"/>
  <c r="P48" i="10"/>
  <c r="P62" i="10" s="1"/>
  <c r="P71" i="10" s="1"/>
  <c r="H48" i="10"/>
  <c r="H62" i="10" s="1"/>
  <c r="H71" i="10" s="1"/>
  <c r="BR48" i="10"/>
  <c r="BR62" i="10" s="1"/>
  <c r="BR71" i="10" s="1"/>
  <c r="AJ48" i="10"/>
  <c r="AJ62" i="10" s="1"/>
  <c r="AJ71" i="10" s="1"/>
  <c r="BO48" i="10"/>
  <c r="BO62" i="10" s="1"/>
  <c r="AY48" i="10"/>
  <c r="AY62" i="10" s="1"/>
  <c r="AI48" i="10"/>
  <c r="AI62" i="10" s="1"/>
  <c r="AI71" i="10" s="1"/>
  <c r="S48" i="10"/>
  <c r="S62" i="10" s="1"/>
  <c r="S71" i="10" s="1"/>
  <c r="C48" i="10"/>
  <c r="CA48" i="10"/>
  <c r="CA62" i="10" s="1"/>
  <c r="CA71" i="10" s="1"/>
  <c r="BK48" i="10"/>
  <c r="BK62" i="10" s="1"/>
  <c r="BK71" i="10" s="1"/>
  <c r="AU48" i="10"/>
  <c r="AU62" i="10" s="1"/>
  <c r="AU71" i="10" s="1"/>
  <c r="O48" i="10"/>
  <c r="O62" i="10" s="1"/>
  <c r="O71" i="10" s="1"/>
  <c r="BZ48" i="10"/>
  <c r="BZ62" i="10" s="1"/>
  <c r="BZ71" i="10" s="1"/>
  <c r="BJ48" i="10"/>
  <c r="BJ62" i="10" s="1"/>
  <c r="BJ71" i="10" s="1"/>
  <c r="AT48" i="10"/>
  <c r="AT62" i="10" s="1"/>
  <c r="AT71" i="10" s="1"/>
  <c r="AD48" i="10"/>
  <c r="AD62" i="10" s="1"/>
  <c r="AD71" i="10" s="1"/>
  <c r="BX48" i="10"/>
  <c r="BX62" i="10" s="1"/>
  <c r="BX71" i="10" s="1"/>
  <c r="BH48" i="10"/>
  <c r="BH62" i="10" s="1"/>
  <c r="BH71" i="10" s="1"/>
  <c r="AB48" i="10"/>
  <c r="AB62" i="10" s="1"/>
  <c r="AB71" i="10" s="1"/>
  <c r="L48" i="10"/>
  <c r="L62" i="10" s="1"/>
  <c r="BB48" i="10"/>
  <c r="BB62" i="10" s="1"/>
  <c r="BB71" i="10" s="1"/>
  <c r="F48" i="10"/>
  <c r="F62" i="10" s="1"/>
  <c r="F71" i="10" s="1"/>
  <c r="BP48" i="10"/>
  <c r="BP62" i="10" s="1"/>
  <c r="BP71" i="10" s="1"/>
  <c r="AZ48" i="10"/>
  <c r="AZ62" i="10" s="1"/>
  <c r="AZ71" i="10" s="1"/>
  <c r="T48" i="10"/>
  <c r="T62" i="10" s="1"/>
  <c r="T71" i="10" s="1"/>
  <c r="AE48" i="10"/>
  <c r="AE62" i="10" s="1"/>
  <c r="AE71" i="10" s="1"/>
  <c r="N48" i="10"/>
  <c r="N62" i="10" s="1"/>
  <c r="N71" i="10" s="1"/>
  <c r="AR48" i="10"/>
  <c r="AR62" i="10" s="1"/>
  <c r="D48" i="10"/>
  <c r="D62" i="10" s="1"/>
  <c r="D71" i="10" s="1"/>
  <c r="AL48" i="10"/>
  <c r="AL62" i="10" s="1"/>
  <c r="AL71" i="10" s="1"/>
  <c r="BW48" i="10"/>
  <c r="BW62" i="10" s="1"/>
  <c r="BW71" i="10" s="1"/>
  <c r="BG48" i="10"/>
  <c r="BG62" i="10" s="1"/>
  <c r="BG71" i="10" s="1"/>
  <c r="AQ48" i="10"/>
  <c r="AQ62" i="10" s="1"/>
  <c r="AQ71" i="10" s="1"/>
  <c r="AA48" i="10"/>
  <c r="AA62" i="10" s="1"/>
  <c r="AA71" i="10" s="1"/>
  <c r="K48" i="10"/>
  <c r="K62" i="10" s="1"/>
  <c r="K71" i="10" s="1"/>
  <c r="BS48" i="10"/>
  <c r="BS62" i="10" s="1"/>
  <c r="BS71" i="10" s="1"/>
  <c r="BC48" i="10"/>
  <c r="BC62" i="10" s="1"/>
  <c r="BC71" i="10" s="1"/>
  <c r="AM48" i="10"/>
  <c r="AM62" i="10" s="1"/>
  <c r="AM71" i="10" s="1"/>
  <c r="W48" i="10"/>
  <c r="W62" i="10" s="1"/>
  <c r="W71" i="10" s="1"/>
  <c r="G48" i="10"/>
  <c r="G62" i="10" s="1"/>
  <c r="G71" i="10" s="1"/>
  <c r="V48" i="10"/>
  <c r="V62" i="10" s="1"/>
  <c r="V71" i="10" s="1"/>
  <c r="CE52" i="10"/>
  <c r="B573" i="1"/>
  <c r="A493" i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4" i="1"/>
  <c r="D533" i="1"/>
  <c r="D532" i="1"/>
  <c r="D531" i="1"/>
  <c r="D530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D186" i="9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/>
  <c r="AV75" i="1"/>
  <c r="AP75" i="1"/>
  <c r="G186" i="9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CE73" i="1"/>
  <c r="CE74" i="1"/>
  <c r="C75" i="1"/>
  <c r="C26" i="9" s="1"/>
  <c r="CE80" i="1"/>
  <c r="CE78" i="1"/>
  <c r="I382" i="9" s="1"/>
  <c r="CE69" i="1"/>
  <c r="D361" i="1"/>
  <c r="D372" i="1"/>
  <c r="C125" i="8" s="1"/>
  <c r="D260" i="1"/>
  <c r="D265" i="1"/>
  <c r="C22" i="8" s="1"/>
  <c r="D275" i="1"/>
  <c r="C33" i="8" s="1"/>
  <c r="D290" i="1"/>
  <c r="C49" i="8" s="1"/>
  <c r="D314" i="1"/>
  <c r="C68" i="8" s="1"/>
  <c r="D319" i="1"/>
  <c r="C74" i="8" s="1"/>
  <c r="D328" i="1"/>
  <c r="D329" i="1"/>
  <c r="C85" i="8" s="1"/>
  <c r="D229" i="1"/>
  <c r="B445" i="1" s="1"/>
  <c r="D236" i="1"/>
  <c r="D240" i="1"/>
  <c r="E209" i="1"/>
  <c r="E210" i="1"/>
  <c r="F25" i="6" s="1"/>
  <c r="E211" i="1"/>
  <c r="F26" i="6" s="1"/>
  <c r="E212" i="1"/>
  <c r="E213" i="1"/>
  <c r="F28" i="6" s="1"/>
  <c r="E214" i="1"/>
  <c r="F29" i="6" s="1"/>
  <c r="E215" i="1"/>
  <c r="E216" i="1"/>
  <c r="F31" i="6" s="1"/>
  <c r="D217" i="1"/>
  <c r="E32" i="6" s="1"/>
  <c r="C217" i="1"/>
  <c r="E196" i="1"/>
  <c r="E197" i="1"/>
  <c r="C470" i="1" s="1"/>
  <c r="E198" i="1"/>
  <c r="E199" i="1"/>
  <c r="E200" i="1"/>
  <c r="E201" i="1"/>
  <c r="F13" i="6" s="1"/>
  <c r="E202" i="1"/>
  <c r="C474" i="1" s="1"/>
  <c r="E203" i="1"/>
  <c r="D204" i="1"/>
  <c r="B204" i="1"/>
  <c r="C16" i="6" s="1"/>
  <c r="D190" i="1"/>
  <c r="D437" i="1" s="1"/>
  <c r="D186" i="1"/>
  <c r="D181" i="1"/>
  <c r="C27" i="5" s="1"/>
  <c r="D177" i="1"/>
  <c r="C20" i="5" s="1"/>
  <c r="E154" i="1"/>
  <c r="G28" i="4" s="1"/>
  <c r="E153" i="1"/>
  <c r="E152" i="1"/>
  <c r="E151" i="1"/>
  <c r="C28" i="4" s="1"/>
  <c r="E150" i="1"/>
  <c r="E148" i="1"/>
  <c r="E147" i="1"/>
  <c r="D463" i="1" s="1"/>
  <c r="E146" i="1"/>
  <c r="D19" i="4" s="1"/>
  <c r="E145" i="1"/>
  <c r="C19" i="4" s="1"/>
  <c r="E144" i="1"/>
  <c r="E141" i="1"/>
  <c r="E140" i="1"/>
  <c r="D10" i="4" s="1"/>
  <c r="E139" i="1"/>
  <c r="C10" i="4" s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C472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C429" i="1"/>
  <c r="C431" i="1"/>
  <c r="C432" i="1"/>
  <c r="C434" i="1"/>
  <c r="B438" i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F15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I363" i="9"/>
  <c r="AB48" i="1"/>
  <c r="AB62" i="1" s="1"/>
  <c r="X48" i="1"/>
  <c r="X62" i="1" s="1"/>
  <c r="T48" i="1"/>
  <c r="T62" i="1" s="1"/>
  <c r="P48" i="1"/>
  <c r="P62" i="1" s="1"/>
  <c r="I44" i="9" s="1"/>
  <c r="L48" i="1"/>
  <c r="L62" i="1" s="1"/>
  <c r="E44" i="9" s="1"/>
  <c r="H48" i="1"/>
  <c r="H62" i="1" s="1"/>
  <c r="D48" i="1"/>
  <c r="D62" i="1" s="1"/>
  <c r="D368" i="1"/>
  <c r="C120" i="8" s="1"/>
  <c r="D436" i="1"/>
  <c r="C34" i="5"/>
  <c r="C16" i="8"/>
  <c r="F12" i="6"/>
  <c r="C469" i="1"/>
  <c r="F8" i="6"/>
  <c r="I377" i="9"/>
  <c r="C464" i="1"/>
  <c r="G122" i="9"/>
  <c r="H58" i="9"/>
  <c r="C218" i="9"/>
  <c r="D366" i="9"/>
  <c r="CE64" i="1"/>
  <c r="F612" i="1" s="1"/>
  <c r="D368" i="9"/>
  <c r="C276" i="9"/>
  <c r="CE70" i="1"/>
  <c r="C458" i="1" s="1"/>
  <c r="CE76" i="1"/>
  <c r="D612" i="1" s="1"/>
  <c r="CE77" i="1"/>
  <c r="I29" i="9"/>
  <c r="C95" i="9"/>
  <c r="CE79" i="1"/>
  <c r="J612" i="1" s="1"/>
  <c r="E142" i="1"/>
  <c r="G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F24" i="6"/>
  <c r="BZ48" i="1"/>
  <c r="BZ62" i="1" s="1"/>
  <c r="G48" i="1"/>
  <c r="G62" i="1" s="1"/>
  <c r="AC48" i="1"/>
  <c r="AC62" i="1" s="1"/>
  <c r="H108" i="9" s="1"/>
  <c r="AU48" i="1"/>
  <c r="AU62" i="1" s="1"/>
  <c r="BS48" i="1"/>
  <c r="BS62" i="1" s="1"/>
  <c r="M48" i="1"/>
  <c r="M62" i="1" s="1"/>
  <c r="AE48" i="1"/>
  <c r="AE62" i="1" s="1"/>
  <c r="BC48" i="1"/>
  <c r="BC62" i="1" s="1"/>
  <c r="O48" i="1"/>
  <c r="O62" i="1" s="1"/>
  <c r="AM48" i="1"/>
  <c r="AM62" i="1" s="1"/>
  <c r="BI48" i="1"/>
  <c r="BI62" i="1" s="1"/>
  <c r="E268" i="9" s="1"/>
  <c r="C427" i="1"/>
  <c r="CD71" i="1"/>
  <c r="E373" i="9" s="1"/>
  <c r="BQ48" i="1"/>
  <c r="BQ62" i="1" s="1"/>
  <c r="F300" i="9" s="1"/>
  <c r="BA48" i="1"/>
  <c r="BA62" i="1" s="1"/>
  <c r="D236" i="9" s="1"/>
  <c r="AK48" i="1"/>
  <c r="AK62" i="1" s="1"/>
  <c r="U48" i="1"/>
  <c r="U62" i="1" s="1"/>
  <c r="E48" i="1"/>
  <c r="E62" i="1" s="1"/>
  <c r="BU48" i="1"/>
  <c r="BU62" i="1" s="1"/>
  <c r="C332" i="9" s="1"/>
  <c r="BM48" i="1"/>
  <c r="BM62" i="1" s="1"/>
  <c r="BE48" i="1"/>
  <c r="BE62" i="1" s="1"/>
  <c r="AW48" i="1"/>
  <c r="AW62" i="1" s="1"/>
  <c r="AO48" i="1"/>
  <c r="AO62" i="1" s="1"/>
  <c r="AG48" i="1"/>
  <c r="AG62" i="1" s="1"/>
  <c r="Y48" i="1"/>
  <c r="Y62" i="1" s="1"/>
  <c r="Q48" i="1"/>
  <c r="Q62" i="1" s="1"/>
  <c r="I48" i="1"/>
  <c r="I62" i="1" s="1"/>
  <c r="CC48" i="1"/>
  <c r="CC62" i="1" s="1"/>
  <c r="BW48" i="1"/>
  <c r="BW62" i="1" s="1"/>
  <c r="BO48" i="1"/>
  <c r="BO62" i="1" s="1"/>
  <c r="D300" i="9" s="1"/>
  <c r="BG48" i="1"/>
  <c r="BG62" i="1" s="1"/>
  <c r="C268" i="9" s="1"/>
  <c r="AY48" i="1"/>
  <c r="AY62" i="1" s="1"/>
  <c r="AQ48" i="1"/>
  <c r="AQ62" i="1" s="1"/>
  <c r="AI48" i="1"/>
  <c r="AI62" i="1" s="1"/>
  <c r="AA48" i="1"/>
  <c r="AA62" i="1" s="1"/>
  <c r="F108" i="9" s="1"/>
  <c r="S48" i="1"/>
  <c r="S62" i="1" s="1"/>
  <c r="K48" i="1"/>
  <c r="K62" i="1" s="1"/>
  <c r="C615" i="1"/>
  <c r="C48" i="1"/>
  <c r="C62" i="1" s="1"/>
  <c r="CB48" i="1"/>
  <c r="CB62" i="1" s="1"/>
  <c r="C364" i="9" s="1"/>
  <c r="I612" i="1"/>
  <c r="E372" i="9"/>
  <c r="CA48" i="1"/>
  <c r="CA62" i="1" s="1"/>
  <c r="BY48" i="1"/>
  <c r="BY62" i="1" s="1"/>
  <c r="BX48" i="1"/>
  <c r="BX62" i="1" s="1"/>
  <c r="BV48" i="1"/>
  <c r="BV62" i="1" s="1"/>
  <c r="BT48" i="1"/>
  <c r="BT62" i="1" s="1"/>
  <c r="BR48" i="1"/>
  <c r="BR62" i="1" s="1"/>
  <c r="BP48" i="1"/>
  <c r="BP62" i="1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G236" i="9" s="1"/>
  <c r="BB48" i="1"/>
  <c r="BB62" i="1" s="1"/>
  <c r="AZ48" i="1"/>
  <c r="AZ62" i="1" s="1"/>
  <c r="AX48" i="1"/>
  <c r="AX62" i="1" s="1"/>
  <c r="AV48" i="1"/>
  <c r="AV62" i="1" s="1"/>
  <c r="AT48" i="1"/>
  <c r="AT62" i="1" s="1"/>
  <c r="AR48" i="1"/>
  <c r="AR62" i="1" s="1"/>
  <c r="AP48" i="1"/>
  <c r="AP62" i="1" s="1"/>
  <c r="AN48" i="1"/>
  <c r="AN62" i="1" s="1"/>
  <c r="E172" i="9" s="1"/>
  <c r="AL48" i="1"/>
  <c r="AL62" i="1" s="1"/>
  <c r="AJ48" i="1"/>
  <c r="AJ62" i="1" s="1"/>
  <c r="H140" i="9" s="1"/>
  <c r="AH48" i="1"/>
  <c r="AH62" i="1" s="1"/>
  <c r="AF48" i="1"/>
  <c r="AF62" i="1" s="1"/>
  <c r="D140" i="9" s="1"/>
  <c r="AD48" i="1"/>
  <c r="AD62" i="1" s="1"/>
  <c r="Z48" i="1"/>
  <c r="Z62" i="1" s="1"/>
  <c r="V48" i="1"/>
  <c r="V62" i="1" s="1"/>
  <c r="R48" i="1"/>
  <c r="R62" i="1" s="1"/>
  <c r="N48" i="1"/>
  <c r="N62" i="1" s="1"/>
  <c r="J48" i="1"/>
  <c r="J62" i="1" s="1"/>
  <c r="F48" i="1"/>
  <c r="F62" i="1" s="1"/>
  <c r="C575" i="1"/>
  <c r="I381" i="9"/>
  <c r="D435" i="1" l="1"/>
  <c r="F10" i="4"/>
  <c r="D330" i="1"/>
  <c r="C86" i="8" s="1"/>
  <c r="I372" i="9"/>
  <c r="G612" i="1"/>
  <c r="CF77" i="1"/>
  <c r="C141" i="8"/>
  <c r="D5" i="7"/>
  <c r="C14" i="5"/>
  <c r="B10" i="4"/>
  <c r="I371" i="9"/>
  <c r="CE81" i="1"/>
  <c r="I380" i="9"/>
  <c r="CF76" i="1"/>
  <c r="BZ52" i="1" s="1"/>
  <c r="BZ67" i="1" s="1"/>
  <c r="E300" i="9"/>
  <c r="C430" i="1"/>
  <c r="H12" i="9"/>
  <c r="F76" i="9"/>
  <c r="W48" i="1"/>
  <c r="W62" i="1" s="1"/>
  <c r="I140" i="9"/>
  <c r="AS48" i="1"/>
  <c r="AS62" i="1" s="1"/>
  <c r="C236" i="9"/>
  <c r="E26" i="9"/>
  <c r="I366" i="9"/>
  <c r="I365" i="9"/>
  <c r="I300" i="9"/>
  <c r="E108" i="9"/>
  <c r="G12" i="9"/>
  <c r="I362" i="9"/>
  <c r="H268" i="9"/>
  <c r="G76" i="9"/>
  <c r="I268" i="9"/>
  <c r="D76" i="9"/>
  <c r="I172" i="9"/>
  <c r="C76" i="9"/>
  <c r="F332" i="9"/>
  <c r="C140" i="9"/>
  <c r="I12" i="9"/>
  <c r="D44" i="9"/>
  <c r="C44" i="9"/>
  <c r="C12" i="9"/>
  <c r="F204" i="9"/>
  <c r="D268" i="9"/>
  <c r="D172" i="9"/>
  <c r="I332" i="9"/>
  <c r="H236" i="9"/>
  <c r="B440" i="1"/>
  <c r="H300" i="9"/>
  <c r="E140" i="9"/>
  <c r="E76" i="9"/>
  <c r="F172" i="9"/>
  <c r="H332" i="9"/>
  <c r="G108" i="9"/>
  <c r="D277" i="1"/>
  <c r="C35" i="8" s="1"/>
  <c r="B476" i="1"/>
  <c r="C112" i="8"/>
  <c r="F236" i="9"/>
  <c r="B465" i="1"/>
  <c r="AY71" i="10"/>
  <c r="BE71" i="10"/>
  <c r="C473" i="1"/>
  <c r="F9" i="6"/>
  <c r="C440" i="1"/>
  <c r="I90" i="9"/>
  <c r="AR71" i="10"/>
  <c r="L71" i="10"/>
  <c r="BO71" i="10"/>
  <c r="R71" i="10"/>
  <c r="B511" i="1" s="1"/>
  <c r="AX71" i="10"/>
  <c r="X71" i="10"/>
  <c r="C689" i="10" s="1"/>
  <c r="C646" i="10"/>
  <c r="C571" i="10"/>
  <c r="C704" i="10"/>
  <c r="C532" i="10"/>
  <c r="C531" i="10"/>
  <c r="G531" i="10" s="1"/>
  <c r="C703" i="10"/>
  <c r="C671" i="10"/>
  <c r="C499" i="10"/>
  <c r="G499" i="10" s="1"/>
  <c r="C555" i="10"/>
  <c r="C617" i="10"/>
  <c r="C700" i="10"/>
  <c r="C528" i="10"/>
  <c r="C517" i="10"/>
  <c r="C502" i="10"/>
  <c r="G502" i="10" s="1"/>
  <c r="C674" i="10"/>
  <c r="C641" i="10"/>
  <c r="C566" i="10"/>
  <c r="C551" i="10"/>
  <c r="C629" i="10"/>
  <c r="C710" i="10"/>
  <c r="C538" i="10"/>
  <c r="G538" i="10" s="1"/>
  <c r="C546" i="10"/>
  <c r="C630" i="10"/>
  <c r="C564" i="10"/>
  <c r="C639" i="10"/>
  <c r="C709" i="10"/>
  <c r="C537" i="10"/>
  <c r="G537" i="10" s="1"/>
  <c r="C677" i="10"/>
  <c r="C505" i="10"/>
  <c r="C680" i="10"/>
  <c r="C508" i="10"/>
  <c r="G508" i="10" s="1"/>
  <c r="C627" i="10"/>
  <c r="C560" i="10"/>
  <c r="C705" i="10"/>
  <c r="C533" i="10"/>
  <c r="G533" i="10" s="1"/>
  <c r="C518" i="10"/>
  <c r="C690" i="10"/>
  <c r="C675" i="10"/>
  <c r="C503" i="10"/>
  <c r="G503" i="10" s="1"/>
  <c r="C567" i="10"/>
  <c r="C642" i="10"/>
  <c r="C554" i="10"/>
  <c r="C634" i="10"/>
  <c r="C669" i="10"/>
  <c r="C497" i="10"/>
  <c r="G497" i="10" s="1"/>
  <c r="C619" i="10"/>
  <c r="C559" i="10"/>
  <c r="C676" i="10"/>
  <c r="C504" i="10"/>
  <c r="G504" i="10" s="1"/>
  <c r="C679" i="10"/>
  <c r="C507" i="10"/>
  <c r="C693" i="10"/>
  <c r="C521" i="10"/>
  <c r="C712" i="10"/>
  <c r="C540" i="10"/>
  <c r="G540" i="10" s="1"/>
  <c r="C701" i="10"/>
  <c r="C529" i="10"/>
  <c r="C713" i="10"/>
  <c r="C541" i="10"/>
  <c r="C698" i="10"/>
  <c r="C526" i="10"/>
  <c r="C683" i="10"/>
  <c r="C511" i="10"/>
  <c r="C670" i="10"/>
  <c r="C498" i="10"/>
  <c r="C623" i="10"/>
  <c r="C562" i="10"/>
  <c r="C620" i="10"/>
  <c r="C574" i="10"/>
  <c r="C692" i="10"/>
  <c r="C520" i="10"/>
  <c r="C696" i="10"/>
  <c r="C524" i="10"/>
  <c r="C553" i="10"/>
  <c r="C636" i="10"/>
  <c r="C635" i="10"/>
  <c r="C556" i="10"/>
  <c r="C563" i="10"/>
  <c r="C626" i="10"/>
  <c r="C624" i="10"/>
  <c r="C549" i="10"/>
  <c r="C706" i="10"/>
  <c r="C534" i="10"/>
  <c r="G534" i="10" s="1"/>
  <c r="C691" i="10"/>
  <c r="C519" i="10"/>
  <c r="G519" i="10" s="1"/>
  <c r="C678" i="10"/>
  <c r="C506" i="10"/>
  <c r="G506" i="10" s="1"/>
  <c r="C570" i="10"/>
  <c r="C645" i="10"/>
  <c r="C548" i="10"/>
  <c r="C633" i="10"/>
  <c r="C525" i="10"/>
  <c r="G525" i="10" s="1"/>
  <c r="C697" i="10"/>
  <c r="C687" i="10"/>
  <c r="C515" i="10"/>
  <c r="G515" i="10" s="1"/>
  <c r="C708" i="10"/>
  <c r="C536" i="10"/>
  <c r="G536" i="10" s="1"/>
  <c r="C685" i="10"/>
  <c r="C513" i="10"/>
  <c r="G513" i="10" s="1"/>
  <c r="C569" i="10"/>
  <c r="C644" i="10"/>
  <c r="C572" i="10"/>
  <c r="C647" i="10"/>
  <c r="C557" i="10"/>
  <c r="C637" i="10"/>
  <c r="C542" i="10"/>
  <c r="C631" i="10"/>
  <c r="C699" i="10"/>
  <c r="C527" i="10"/>
  <c r="G527" i="10" s="1"/>
  <c r="C514" i="10"/>
  <c r="C686" i="10"/>
  <c r="C632" i="10"/>
  <c r="C547" i="10"/>
  <c r="C510" i="10"/>
  <c r="G510" i="10" s="1"/>
  <c r="C682" i="10"/>
  <c r="C672" i="10"/>
  <c r="C500" i="10"/>
  <c r="G500" i="10" s="1"/>
  <c r="C552" i="10"/>
  <c r="C618" i="10"/>
  <c r="C545" i="10"/>
  <c r="G545" i="10" s="1"/>
  <c r="C628" i="10"/>
  <c r="C523" i="10"/>
  <c r="G523" i="10" s="1"/>
  <c r="C695" i="10"/>
  <c r="CE48" i="10"/>
  <c r="C62" i="10"/>
  <c r="C673" i="10"/>
  <c r="C501" i="10"/>
  <c r="G501" i="10" s="1"/>
  <c r="C640" i="10"/>
  <c r="C565" i="10"/>
  <c r="C614" i="10"/>
  <c r="C550" i="10"/>
  <c r="C707" i="10"/>
  <c r="C535" i="10"/>
  <c r="C694" i="10"/>
  <c r="C522" i="10"/>
  <c r="C625" i="10"/>
  <c r="C544" i="10"/>
  <c r="C688" i="10"/>
  <c r="C516" i="10"/>
  <c r="C643" i="10"/>
  <c r="C568" i="10"/>
  <c r="C561" i="10"/>
  <c r="C621" i="10"/>
  <c r="C539" i="10"/>
  <c r="G539" i="10" s="1"/>
  <c r="C711" i="10"/>
  <c r="C684" i="10"/>
  <c r="C512" i="10"/>
  <c r="C681" i="10"/>
  <c r="C509" i="10"/>
  <c r="C573" i="10"/>
  <c r="C622" i="10"/>
  <c r="C638" i="10"/>
  <c r="C558" i="10"/>
  <c r="C616" i="10"/>
  <c r="C543" i="10"/>
  <c r="C702" i="10"/>
  <c r="C530" i="10"/>
  <c r="G530" i="10" s="1"/>
  <c r="B525" i="1"/>
  <c r="B551" i="1"/>
  <c r="B543" i="1"/>
  <c r="B549" i="1"/>
  <c r="B557" i="1"/>
  <c r="B501" i="1"/>
  <c r="B517" i="1"/>
  <c r="B509" i="1"/>
  <c r="B513" i="1"/>
  <c r="B537" i="1"/>
  <c r="B547" i="1"/>
  <c r="B534" i="1"/>
  <c r="B538" i="1"/>
  <c r="B566" i="1"/>
  <c r="B524" i="1"/>
  <c r="B558" i="1"/>
  <c r="B542" i="1"/>
  <c r="B506" i="1"/>
  <c r="B531" i="1"/>
  <c r="B570" i="1"/>
  <c r="B514" i="1"/>
  <c r="B562" i="1"/>
  <c r="B546" i="1"/>
  <c r="B518" i="1"/>
  <c r="B532" i="1"/>
  <c r="B516" i="1"/>
  <c r="B561" i="1"/>
  <c r="B550" i="1"/>
  <c r="B555" i="1"/>
  <c r="B540" i="1"/>
  <c r="B560" i="1"/>
  <c r="B548" i="1"/>
  <c r="B497" i="1"/>
  <c r="B545" i="1"/>
  <c r="B571" i="1"/>
  <c r="B541" i="1"/>
  <c r="B554" i="1"/>
  <c r="B530" i="1"/>
  <c r="B556" i="1"/>
  <c r="B568" i="1"/>
  <c r="B553" i="1"/>
  <c r="B559" i="1"/>
  <c r="B507" i="1"/>
  <c r="B563" i="1"/>
  <c r="B569" i="1"/>
  <c r="B498" i="1"/>
  <c r="B564" i="1"/>
  <c r="B567" i="1"/>
  <c r="B574" i="1"/>
  <c r="B499" i="1"/>
  <c r="B527" i="1"/>
  <c r="B505" i="1"/>
  <c r="B572" i="1"/>
  <c r="B503" i="1"/>
  <c r="B522" i="1"/>
  <c r="B544" i="1"/>
  <c r="B519" i="1"/>
  <c r="B504" i="1"/>
  <c r="B528" i="1"/>
  <c r="B533" i="1"/>
  <c r="B521" i="1"/>
  <c r="B510" i="1"/>
  <c r="B508" i="1"/>
  <c r="B520" i="1"/>
  <c r="B552" i="1"/>
  <c r="B539" i="1"/>
  <c r="B512" i="1"/>
  <c r="B515" i="1"/>
  <c r="B526" i="1"/>
  <c r="B502" i="1"/>
  <c r="B565" i="1"/>
  <c r="B536" i="1"/>
  <c r="B500" i="1"/>
  <c r="B523" i="1"/>
  <c r="F140" i="9"/>
  <c r="D12" i="9"/>
  <c r="I108" i="9"/>
  <c r="D204" i="9"/>
  <c r="F268" i="9"/>
  <c r="G332" i="9"/>
  <c r="C300" i="9"/>
  <c r="H76" i="9"/>
  <c r="G172" i="9"/>
  <c r="I236" i="9"/>
  <c r="D332" i="9"/>
  <c r="H204" i="9"/>
  <c r="G44" i="9"/>
  <c r="C172" i="9"/>
  <c r="E236" i="9"/>
  <c r="G300" i="9"/>
  <c r="F44" i="9"/>
  <c r="H44" i="9"/>
  <c r="B446" i="1"/>
  <c r="D242" i="1"/>
  <c r="F12" i="9"/>
  <c r="G140" i="9"/>
  <c r="E332" i="9"/>
  <c r="E12" i="9"/>
  <c r="C418" i="1"/>
  <c r="D438" i="1"/>
  <c r="C108" i="9"/>
  <c r="F14" i="6"/>
  <c r="C471" i="1"/>
  <c r="F10" i="6"/>
  <c r="D339" i="1"/>
  <c r="D26" i="9"/>
  <c r="CE75" i="1"/>
  <c r="G204" i="9"/>
  <c r="D108" i="9"/>
  <c r="E204" i="9"/>
  <c r="F7" i="6"/>
  <c r="E204" i="1"/>
  <c r="C468" i="1"/>
  <c r="I383" i="9"/>
  <c r="D22" i="7"/>
  <c r="C40" i="5"/>
  <c r="I76" i="9"/>
  <c r="C420" i="1"/>
  <c r="B28" i="4"/>
  <c r="F186" i="9"/>
  <c r="I204" i="9"/>
  <c r="H172" i="9"/>
  <c r="BD52" i="1"/>
  <c r="BD67" i="1" s="1"/>
  <c r="BD71" i="1" s="1"/>
  <c r="AM52" i="1"/>
  <c r="AM67" i="1" s="1"/>
  <c r="AM71" i="1" s="1"/>
  <c r="BF52" i="1"/>
  <c r="BF67" i="1" s="1"/>
  <c r="BF71" i="1" s="1"/>
  <c r="BQ52" i="1"/>
  <c r="BQ67" i="1" s="1"/>
  <c r="BQ71" i="1" s="1"/>
  <c r="F52" i="1"/>
  <c r="F67" i="1" s="1"/>
  <c r="F71" i="1" s="1"/>
  <c r="BY52" i="1"/>
  <c r="BY67" i="1" s="1"/>
  <c r="BY71" i="1" s="1"/>
  <c r="AY52" i="1"/>
  <c r="AY67" i="1" s="1"/>
  <c r="AY71" i="1" s="1"/>
  <c r="BM52" i="1"/>
  <c r="BM67" i="1" s="1"/>
  <c r="BM71" i="1" s="1"/>
  <c r="CB52" i="1"/>
  <c r="CB67" i="1" s="1"/>
  <c r="CB71" i="1" s="1"/>
  <c r="AW52" i="1"/>
  <c r="AW67" i="1" s="1"/>
  <c r="AW71" i="1" s="1"/>
  <c r="C631" i="1" s="1"/>
  <c r="T52" i="1"/>
  <c r="T67" i="1" s="1"/>
  <c r="T71" i="1" s="1"/>
  <c r="BN52" i="1"/>
  <c r="BN67" i="1" s="1"/>
  <c r="BN71" i="1" s="1"/>
  <c r="M52" i="1"/>
  <c r="M67" i="1" s="1"/>
  <c r="M71" i="1" s="1"/>
  <c r="AK52" i="1"/>
  <c r="AK67" i="1" s="1"/>
  <c r="AK71" i="1" s="1"/>
  <c r="C530" i="1" s="1"/>
  <c r="G530" i="1" s="1"/>
  <c r="BV52" i="1"/>
  <c r="BV67" i="1" s="1"/>
  <c r="BV71" i="1" s="1"/>
  <c r="D52" i="1"/>
  <c r="D67" i="1" s="1"/>
  <c r="D71" i="1" s="1"/>
  <c r="AA52" i="1"/>
  <c r="AA67" i="1" s="1"/>
  <c r="AA71" i="1" s="1"/>
  <c r="BE52" i="1"/>
  <c r="BE67" i="1" s="1"/>
  <c r="BE71" i="1" s="1"/>
  <c r="AX52" i="1"/>
  <c r="AX67" i="1" s="1"/>
  <c r="AX71" i="1" s="1"/>
  <c r="G52" i="1"/>
  <c r="G67" i="1" s="1"/>
  <c r="G71" i="1" s="1"/>
  <c r="BR52" i="1"/>
  <c r="BR67" i="1" s="1"/>
  <c r="BR71" i="1" s="1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373" i="1"/>
  <c r="D434" i="1"/>
  <c r="D292" i="1"/>
  <c r="C58" i="9"/>
  <c r="K52" i="1" l="1"/>
  <c r="K67" i="1" s="1"/>
  <c r="K71" i="1" s="1"/>
  <c r="C676" i="1" s="1"/>
  <c r="AE52" i="1"/>
  <c r="AE67" i="1" s="1"/>
  <c r="C145" i="9" s="1"/>
  <c r="AD52" i="1"/>
  <c r="AD67" i="1" s="1"/>
  <c r="AD71" i="1" s="1"/>
  <c r="I117" i="9" s="1"/>
  <c r="BL52" i="1"/>
  <c r="BL67" i="1" s="1"/>
  <c r="BL71" i="1" s="1"/>
  <c r="BI52" i="1"/>
  <c r="BI67" i="1" s="1"/>
  <c r="BC52" i="1"/>
  <c r="BC67" i="1" s="1"/>
  <c r="BC71" i="1" s="1"/>
  <c r="C633" i="1" s="1"/>
  <c r="AB52" i="1"/>
  <c r="AB67" i="1" s="1"/>
  <c r="C52" i="1"/>
  <c r="AT52" i="1"/>
  <c r="AT67" i="1" s="1"/>
  <c r="AT71" i="1" s="1"/>
  <c r="C711" i="1" s="1"/>
  <c r="AO52" i="1"/>
  <c r="AO67" i="1" s="1"/>
  <c r="H337" i="9"/>
  <c r="BZ71" i="1"/>
  <c r="BO52" i="1"/>
  <c r="BO67" i="1" s="1"/>
  <c r="BO71" i="1" s="1"/>
  <c r="C627" i="1" s="1"/>
  <c r="BT52" i="1"/>
  <c r="BT67" i="1" s="1"/>
  <c r="H52" i="1"/>
  <c r="H67" i="1" s="1"/>
  <c r="H71" i="1" s="1"/>
  <c r="C501" i="1" s="1"/>
  <c r="G501" i="1" s="1"/>
  <c r="AP52" i="1"/>
  <c r="AP67" i="1" s="1"/>
  <c r="AL52" i="1"/>
  <c r="AL67" i="1" s="1"/>
  <c r="V52" i="1"/>
  <c r="V67" i="1" s="1"/>
  <c r="Z52" i="1"/>
  <c r="Z67" i="1" s="1"/>
  <c r="N52" i="1"/>
  <c r="N67" i="1" s="1"/>
  <c r="AG52" i="1"/>
  <c r="AG67" i="1" s="1"/>
  <c r="BB52" i="1"/>
  <c r="BB67" i="1" s="1"/>
  <c r="AH52" i="1"/>
  <c r="AH67" i="1" s="1"/>
  <c r="BH52" i="1"/>
  <c r="BH67" i="1" s="1"/>
  <c r="BG52" i="1"/>
  <c r="BG67" i="1" s="1"/>
  <c r="AQ52" i="1"/>
  <c r="AQ67" i="1" s="1"/>
  <c r="I52" i="1"/>
  <c r="I67" i="1" s="1"/>
  <c r="AN52" i="1"/>
  <c r="AN67" i="1" s="1"/>
  <c r="CA52" i="1"/>
  <c r="CA67" i="1" s="1"/>
  <c r="X52" i="1"/>
  <c r="X67" i="1" s="1"/>
  <c r="BK52" i="1"/>
  <c r="BK67" i="1" s="1"/>
  <c r="BX52" i="1"/>
  <c r="BX67" i="1" s="1"/>
  <c r="AC52" i="1"/>
  <c r="AC67" i="1" s="1"/>
  <c r="Q52" i="1"/>
  <c r="Q67" i="1" s="1"/>
  <c r="E52" i="1"/>
  <c r="E67" i="1" s="1"/>
  <c r="AJ52" i="1"/>
  <c r="AJ67" i="1" s="1"/>
  <c r="AF52" i="1"/>
  <c r="AF67" i="1" s="1"/>
  <c r="BU52" i="1"/>
  <c r="BU67" i="1" s="1"/>
  <c r="BA52" i="1"/>
  <c r="BA67" i="1" s="1"/>
  <c r="BS52" i="1"/>
  <c r="BS67" i="1" s="1"/>
  <c r="S52" i="1"/>
  <c r="S67" i="1" s="1"/>
  <c r="R52" i="1"/>
  <c r="R67" i="1" s="1"/>
  <c r="AU52" i="1"/>
  <c r="AU67" i="1" s="1"/>
  <c r="CC52" i="1"/>
  <c r="CC67" i="1" s="1"/>
  <c r="W52" i="1"/>
  <c r="W67" i="1" s="1"/>
  <c r="AZ52" i="1"/>
  <c r="AZ67" i="1" s="1"/>
  <c r="AR52" i="1"/>
  <c r="AR67" i="1" s="1"/>
  <c r="J52" i="1"/>
  <c r="J67" i="1" s="1"/>
  <c r="AV52" i="1"/>
  <c r="AV67" i="1" s="1"/>
  <c r="O52" i="1"/>
  <c r="O67" i="1" s="1"/>
  <c r="AI52" i="1"/>
  <c r="AI67" i="1" s="1"/>
  <c r="BJ52" i="1"/>
  <c r="BJ67" i="1" s="1"/>
  <c r="U52" i="1"/>
  <c r="U67" i="1" s="1"/>
  <c r="P52" i="1"/>
  <c r="P67" i="1" s="1"/>
  <c r="BP52" i="1"/>
  <c r="BP67" i="1" s="1"/>
  <c r="L52" i="1"/>
  <c r="L67" i="1" s="1"/>
  <c r="Y52" i="1"/>
  <c r="Y67" i="1" s="1"/>
  <c r="AS52" i="1"/>
  <c r="AS67" i="1" s="1"/>
  <c r="BW52" i="1"/>
  <c r="BW67" i="1" s="1"/>
  <c r="C646" i="1"/>
  <c r="F309" i="9"/>
  <c r="C562" i="1"/>
  <c r="C623" i="1"/>
  <c r="C638" i="1"/>
  <c r="I277" i="9"/>
  <c r="C513" i="1"/>
  <c r="G513" i="1" s="1"/>
  <c r="F85" i="9"/>
  <c r="F21" i="9"/>
  <c r="C499" i="1"/>
  <c r="G499" i="1" s="1"/>
  <c r="C671" i="1"/>
  <c r="C702" i="1"/>
  <c r="BT71" i="1"/>
  <c r="C565" i="1" s="1"/>
  <c r="I149" i="9"/>
  <c r="AE71" i="1"/>
  <c r="CE62" i="1"/>
  <c r="CE48" i="1"/>
  <c r="C685" i="1"/>
  <c r="C558" i="1"/>
  <c r="G213" i="9"/>
  <c r="C542" i="1"/>
  <c r="C204" i="9"/>
  <c r="C504" i="1"/>
  <c r="G504" i="1" s="1"/>
  <c r="I113" i="9"/>
  <c r="F241" i="9"/>
  <c r="C624" i="1"/>
  <c r="C549" i="1"/>
  <c r="G245" i="9"/>
  <c r="H245" i="9"/>
  <c r="C614" i="1"/>
  <c r="C550" i="1"/>
  <c r="G550" i="1" s="1"/>
  <c r="C532" i="1"/>
  <c r="G532" i="1" s="1"/>
  <c r="C704" i="1"/>
  <c r="D181" i="9"/>
  <c r="F511" i="1"/>
  <c r="D49" i="9"/>
  <c r="G520" i="10"/>
  <c r="H520" i="10" s="1"/>
  <c r="G511" i="10"/>
  <c r="H511" i="10" s="1"/>
  <c r="G526" i="10"/>
  <c r="H526" i="10" s="1"/>
  <c r="G521" i="10"/>
  <c r="H521" i="10"/>
  <c r="G505" i="10"/>
  <c r="H505" i="10" s="1"/>
  <c r="C71" i="10"/>
  <c r="CE62" i="10"/>
  <c r="G516" i="10"/>
  <c r="H516" i="10" s="1"/>
  <c r="G550" i="10"/>
  <c r="H550" i="10"/>
  <c r="G518" i="10"/>
  <c r="H518" i="10" s="1"/>
  <c r="G517" i="10"/>
  <c r="H517" i="10"/>
  <c r="D615" i="10"/>
  <c r="C648" i="10"/>
  <c r="M716" i="10" s="1"/>
  <c r="G507" i="10"/>
  <c r="H507" i="10"/>
  <c r="G528" i="10"/>
  <c r="H528" i="10"/>
  <c r="G532" i="10"/>
  <c r="H532" i="10"/>
  <c r="G514" i="10"/>
  <c r="H514" i="10" s="1"/>
  <c r="G546" i="10"/>
  <c r="H546" i="10"/>
  <c r="G512" i="10"/>
  <c r="H512" i="10"/>
  <c r="G544" i="10"/>
  <c r="H544" i="10" s="1"/>
  <c r="G524" i="10"/>
  <c r="H524" i="10"/>
  <c r="G498" i="10"/>
  <c r="H498" i="10" s="1"/>
  <c r="G529" i="10"/>
  <c r="H529" i="10"/>
  <c r="G509" i="10"/>
  <c r="H509" i="10" s="1"/>
  <c r="G535" i="10"/>
  <c r="H535" i="10" s="1"/>
  <c r="G522" i="10"/>
  <c r="H522" i="10" s="1"/>
  <c r="H501" i="1"/>
  <c r="F501" i="1"/>
  <c r="F517" i="1"/>
  <c r="F499" i="1"/>
  <c r="H499" i="1"/>
  <c r="F505" i="1"/>
  <c r="H497" i="1"/>
  <c r="F497" i="1"/>
  <c r="F515" i="1"/>
  <c r="H515" i="1"/>
  <c r="G17" i="9"/>
  <c r="I273" i="9"/>
  <c r="D27" i="7"/>
  <c r="B448" i="1"/>
  <c r="C497" i="1"/>
  <c r="G497" i="1" s="1"/>
  <c r="C669" i="1"/>
  <c r="D21" i="9"/>
  <c r="F544" i="1"/>
  <c r="H536" i="1"/>
  <c r="F536" i="1"/>
  <c r="F528" i="1"/>
  <c r="F520" i="1"/>
  <c r="D341" i="1"/>
  <c r="C481" i="1" s="1"/>
  <c r="C50" i="8"/>
  <c r="D309" i="9"/>
  <c r="C560" i="1"/>
  <c r="H209" i="9"/>
  <c r="D337" i="9"/>
  <c r="F81" i="9"/>
  <c r="I209" i="9"/>
  <c r="I241" i="9"/>
  <c r="I378" i="9"/>
  <c r="K612" i="1"/>
  <c r="C465" i="1"/>
  <c r="C520" i="1"/>
  <c r="G520" i="1" s="1"/>
  <c r="C692" i="1"/>
  <c r="F117" i="9"/>
  <c r="C616" i="1"/>
  <c r="C543" i="1"/>
  <c r="H213" i="9"/>
  <c r="C619" i="1"/>
  <c r="C559" i="1"/>
  <c r="C309" i="9"/>
  <c r="C126" i="8"/>
  <c r="D391" i="1"/>
  <c r="F32" i="6"/>
  <c r="C478" i="1"/>
  <c r="C305" i="9"/>
  <c r="C102" i="8"/>
  <c r="C482" i="1"/>
  <c r="F498" i="1"/>
  <c r="H241" i="9"/>
  <c r="I145" i="9"/>
  <c r="G209" i="9"/>
  <c r="G337" i="9"/>
  <c r="D177" i="9"/>
  <c r="C476" i="1"/>
  <c r="F16" i="6"/>
  <c r="C672" i="1"/>
  <c r="C500" i="1"/>
  <c r="G500" i="1" s="1"/>
  <c r="G21" i="9"/>
  <c r="C563" i="1"/>
  <c r="G309" i="9"/>
  <c r="C626" i="1"/>
  <c r="C642" i="1"/>
  <c r="D341" i="9"/>
  <c r="C567" i="1"/>
  <c r="I245" i="9"/>
  <c r="C629" i="1"/>
  <c r="C551" i="1"/>
  <c r="G341" i="9"/>
  <c r="C570" i="1"/>
  <c r="C645" i="1"/>
  <c r="F516" i="1"/>
  <c r="D17" i="9"/>
  <c r="F305" i="9"/>
  <c r="C622" i="1"/>
  <c r="C373" i="9"/>
  <c r="C573" i="1"/>
  <c r="F540" i="1"/>
  <c r="H540" i="1"/>
  <c r="F532" i="1"/>
  <c r="F524" i="1"/>
  <c r="F550" i="1"/>
  <c r="G305" i="9"/>
  <c r="F113" i="9"/>
  <c r="F49" i="9"/>
  <c r="C369" i="9"/>
  <c r="F17" i="9"/>
  <c r="G241" i="9"/>
  <c r="I213" i="9"/>
  <c r="C625" i="1"/>
  <c r="C544" i="1"/>
  <c r="G544" i="1" s="1"/>
  <c r="C506" i="1"/>
  <c r="G506" i="1" s="1"/>
  <c r="F53" i="9"/>
  <c r="C678" i="1"/>
  <c r="C523" i="1"/>
  <c r="G523" i="1" s="1"/>
  <c r="D305" i="9" l="1"/>
  <c r="F245" i="9"/>
  <c r="H532" i="1"/>
  <c r="C539" i="1"/>
  <c r="G539" i="1" s="1"/>
  <c r="C548" i="1"/>
  <c r="C695" i="1"/>
  <c r="D53" i="9"/>
  <c r="H550" i="1"/>
  <c r="C673" i="1"/>
  <c r="I364" i="9"/>
  <c r="H277" i="9"/>
  <c r="C557" i="1"/>
  <c r="H21" i="9"/>
  <c r="H17" i="9"/>
  <c r="D213" i="9"/>
  <c r="D209" i="9"/>
  <c r="I309" i="9"/>
  <c r="BI71" i="1"/>
  <c r="E273" i="9"/>
  <c r="H273" i="9"/>
  <c r="C637" i="1"/>
  <c r="F177" i="9"/>
  <c r="AO71" i="1"/>
  <c r="C67" i="1"/>
  <c r="CE52" i="1"/>
  <c r="AB71" i="1"/>
  <c r="G113" i="9"/>
  <c r="BW71" i="1"/>
  <c r="E337" i="9"/>
  <c r="E305" i="9"/>
  <c r="BP71" i="1"/>
  <c r="G145" i="9"/>
  <c r="AI71" i="1"/>
  <c r="AR71" i="1"/>
  <c r="I177" i="9"/>
  <c r="E209" i="9"/>
  <c r="AU71" i="1"/>
  <c r="BA71" i="1"/>
  <c r="D241" i="9"/>
  <c r="E71" i="1"/>
  <c r="E17" i="9"/>
  <c r="BK71" i="1"/>
  <c r="G273" i="9"/>
  <c r="I71" i="1"/>
  <c r="I17" i="9"/>
  <c r="F145" i="9"/>
  <c r="AH71" i="1"/>
  <c r="E113" i="9"/>
  <c r="Z71" i="1"/>
  <c r="C209" i="9"/>
  <c r="I49" i="9"/>
  <c r="P71" i="1"/>
  <c r="H49" i="9"/>
  <c r="O71" i="1"/>
  <c r="C241" i="9"/>
  <c r="AZ71" i="1"/>
  <c r="R71" i="1"/>
  <c r="D81" i="9"/>
  <c r="BU71" i="1"/>
  <c r="C337" i="9"/>
  <c r="C81" i="9"/>
  <c r="Q71" i="1"/>
  <c r="C113" i="9"/>
  <c r="X71" i="1"/>
  <c r="H177" i="9"/>
  <c r="AQ71" i="1"/>
  <c r="E241" i="9"/>
  <c r="BB71" i="1"/>
  <c r="V71" i="1"/>
  <c r="H81" i="9"/>
  <c r="C571" i="1"/>
  <c r="H341" i="9"/>
  <c r="AS71" i="1"/>
  <c r="C710" i="1" s="1"/>
  <c r="D113" i="9"/>
  <c r="Y71" i="1"/>
  <c r="U71" i="1"/>
  <c r="G81" i="9"/>
  <c r="AV71" i="1"/>
  <c r="F209" i="9"/>
  <c r="I81" i="9"/>
  <c r="W71" i="1"/>
  <c r="S71" i="1"/>
  <c r="E81" i="9"/>
  <c r="AF71" i="1"/>
  <c r="D145" i="9"/>
  <c r="AC71" i="1"/>
  <c r="H113" i="9"/>
  <c r="CA71" i="1"/>
  <c r="I337" i="9"/>
  <c r="C273" i="9"/>
  <c r="BG71" i="1"/>
  <c r="AG71" i="1"/>
  <c r="E145" i="9"/>
  <c r="C177" i="9"/>
  <c r="AL71" i="1"/>
  <c r="I305" i="9"/>
  <c r="L71" i="1"/>
  <c r="E49" i="9"/>
  <c r="BJ71" i="1"/>
  <c r="F273" i="9"/>
  <c r="J71" i="1"/>
  <c r="C49" i="9"/>
  <c r="CC71" i="1"/>
  <c r="D369" i="9"/>
  <c r="H305" i="9"/>
  <c r="BS71" i="1"/>
  <c r="H145" i="9"/>
  <c r="AJ71" i="1"/>
  <c r="F337" i="9"/>
  <c r="BX71" i="1"/>
  <c r="AN71" i="1"/>
  <c r="E177" i="9"/>
  <c r="D273" i="9"/>
  <c r="BH71" i="1"/>
  <c r="G49" i="9"/>
  <c r="N71" i="1"/>
  <c r="AP71" i="1"/>
  <c r="G177" i="9"/>
  <c r="C524" i="1"/>
  <c r="C696" i="1"/>
  <c r="C149" i="9"/>
  <c r="C640" i="1"/>
  <c r="C428" i="1"/>
  <c r="H520" i="1"/>
  <c r="H544" i="1"/>
  <c r="D615" i="1"/>
  <c r="D710" i="10"/>
  <c r="D702" i="10"/>
  <c r="D709" i="10"/>
  <c r="D701" i="10"/>
  <c r="D693" i="10"/>
  <c r="D685" i="10"/>
  <c r="D677" i="10"/>
  <c r="D669" i="10"/>
  <c r="D706" i="10"/>
  <c r="D698" i="10"/>
  <c r="D690" i="10"/>
  <c r="D682" i="10"/>
  <c r="D674" i="10"/>
  <c r="D711" i="10"/>
  <c r="D703" i="10"/>
  <c r="D713" i="10"/>
  <c r="D705" i="10"/>
  <c r="D697" i="10"/>
  <c r="D689" i="10"/>
  <c r="D681" i="10"/>
  <c r="D673" i="10"/>
  <c r="D712" i="10"/>
  <c r="D708" i="10"/>
  <c r="D699" i="10"/>
  <c r="D692" i="10"/>
  <c r="D678" i="10"/>
  <c r="D671" i="10"/>
  <c r="D646" i="10"/>
  <c r="D643" i="10"/>
  <c r="D635" i="10"/>
  <c r="D627" i="10"/>
  <c r="D704" i="10"/>
  <c r="D686" i="10"/>
  <c r="D679" i="10"/>
  <c r="D638" i="10"/>
  <c r="D630" i="10"/>
  <c r="D623" i="10"/>
  <c r="D619" i="10"/>
  <c r="D700" i="10"/>
  <c r="D694" i="10"/>
  <c r="D687" i="10"/>
  <c r="D672" i="10"/>
  <c r="D641" i="10"/>
  <c r="D633" i="10"/>
  <c r="D625" i="10"/>
  <c r="D716" i="10"/>
  <c r="D695" i="10"/>
  <c r="D680" i="10"/>
  <c r="D647" i="10"/>
  <c r="D644" i="10"/>
  <c r="D636" i="10"/>
  <c r="D628" i="10"/>
  <c r="D622" i="10"/>
  <c r="D618" i="10"/>
  <c r="D707" i="10"/>
  <c r="D688" i="10"/>
  <c r="D639" i="10"/>
  <c r="D631" i="10"/>
  <c r="D696" i="10"/>
  <c r="D675" i="10"/>
  <c r="D668" i="10"/>
  <c r="D645" i="10"/>
  <c r="D642" i="10"/>
  <c r="D634" i="10"/>
  <c r="D629" i="10"/>
  <c r="D626" i="10"/>
  <c r="D621" i="10"/>
  <c r="D617" i="10"/>
  <c r="D691" i="10"/>
  <c r="D684" i="10"/>
  <c r="D670" i="10"/>
  <c r="D640" i="10"/>
  <c r="D632" i="10"/>
  <c r="D620" i="10"/>
  <c r="D616" i="10"/>
  <c r="D637" i="10"/>
  <c r="D624" i="10"/>
  <c r="D676" i="10"/>
  <c r="D683" i="10"/>
  <c r="C428" i="10"/>
  <c r="C441" i="10" s="1"/>
  <c r="CE71" i="10"/>
  <c r="C716" i="10" s="1"/>
  <c r="C668" i="10"/>
  <c r="C715" i="10" s="1"/>
  <c r="C496" i="10"/>
  <c r="G496" i="10" s="1"/>
  <c r="B496" i="1"/>
  <c r="H496" i="1" s="1"/>
  <c r="F522" i="1"/>
  <c r="F510" i="1"/>
  <c r="H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H508" i="1"/>
  <c r="F508" i="1"/>
  <c r="F514" i="1"/>
  <c r="F507" i="1"/>
  <c r="F518" i="1"/>
  <c r="F546" i="1"/>
  <c r="F506" i="1"/>
  <c r="H506" i="1"/>
  <c r="H500" i="1"/>
  <c r="F500" i="1"/>
  <c r="F509" i="1"/>
  <c r="C538" i="1" l="1"/>
  <c r="G538" i="1" s="1"/>
  <c r="C213" i="9"/>
  <c r="C634" i="1"/>
  <c r="E277" i="9"/>
  <c r="C554" i="1"/>
  <c r="C71" i="1"/>
  <c r="CE67" i="1"/>
  <c r="C17" i="9"/>
  <c r="C521" i="1"/>
  <c r="G521" i="1" s="1"/>
  <c r="C693" i="1"/>
  <c r="G117" i="9"/>
  <c r="F181" i="9"/>
  <c r="C534" i="1"/>
  <c r="G534" i="1" s="1"/>
  <c r="C706" i="1"/>
  <c r="F341" i="9"/>
  <c r="C644" i="1"/>
  <c r="C569" i="1"/>
  <c r="F277" i="9"/>
  <c r="C555" i="1"/>
  <c r="C617" i="1"/>
  <c r="C677" i="1"/>
  <c r="E53" i="9"/>
  <c r="C505" i="1"/>
  <c r="C698" i="1"/>
  <c r="E149" i="9"/>
  <c r="C526" i="1"/>
  <c r="C522" i="1"/>
  <c r="C694" i="1"/>
  <c r="H117" i="9"/>
  <c r="C697" i="1"/>
  <c r="D149" i="9"/>
  <c r="C525" i="1"/>
  <c r="G525" i="1" s="1"/>
  <c r="C516" i="1"/>
  <c r="I85" i="9"/>
  <c r="C688" i="1"/>
  <c r="C687" i="1"/>
  <c r="C515" i="1"/>
  <c r="G515" i="1" s="1"/>
  <c r="H85" i="9"/>
  <c r="C117" i="9"/>
  <c r="C689" i="1"/>
  <c r="C517" i="1"/>
  <c r="C641" i="1"/>
  <c r="C341" i="9"/>
  <c r="C566" i="1"/>
  <c r="C628" i="1"/>
  <c r="C545" i="1"/>
  <c r="G545" i="1" s="1"/>
  <c r="C245" i="9"/>
  <c r="C670" i="1"/>
  <c r="C498" i="1"/>
  <c r="E21" i="9"/>
  <c r="C535" i="1"/>
  <c r="G535" i="1" s="1"/>
  <c r="C707" i="1"/>
  <c r="G181" i="9"/>
  <c r="C53" i="9"/>
  <c r="C675" i="1"/>
  <c r="C503" i="1"/>
  <c r="G503" i="1" s="1"/>
  <c r="C277" i="9"/>
  <c r="C618" i="1"/>
  <c r="C552" i="1"/>
  <c r="I341" i="9"/>
  <c r="C647" i="1"/>
  <c r="C572" i="1"/>
  <c r="F213" i="9"/>
  <c r="C541" i="1"/>
  <c r="C713" i="1"/>
  <c r="C690" i="1"/>
  <c r="D117" i="9"/>
  <c r="C518" i="1"/>
  <c r="C536" i="1"/>
  <c r="G536" i="1" s="1"/>
  <c r="H181" i="9"/>
  <c r="C708" i="1"/>
  <c r="E213" i="9"/>
  <c r="C540" i="1"/>
  <c r="G540" i="1" s="1"/>
  <c r="C712" i="1"/>
  <c r="C553" i="1"/>
  <c r="D277" i="9"/>
  <c r="C636" i="1"/>
  <c r="E181" i="9"/>
  <c r="C533" i="1"/>
  <c r="G533" i="1" s="1"/>
  <c r="C705" i="1"/>
  <c r="C639" i="1"/>
  <c r="H309" i="9"/>
  <c r="C564" i="1"/>
  <c r="C574" i="1"/>
  <c r="D373" i="9"/>
  <c r="C620" i="1"/>
  <c r="C632" i="1"/>
  <c r="C547" i="1"/>
  <c r="E245" i="9"/>
  <c r="I21" i="9"/>
  <c r="C502" i="1"/>
  <c r="G502" i="1" s="1"/>
  <c r="C674" i="1"/>
  <c r="G277" i="9"/>
  <c r="C635" i="1"/>
  <c r="C556" i="1"/>
  <c r="I181" i="9"/>
  <c r="C537" i="1"/>
  <c r="G537" i="1" s="1"/>
  <c r="C709" i="1"/>
  <c r="C561" i="1"/>
  <c r="C621" i="1"/>
  <c r="E309" i="9"/>
  <c r="C568" i="1"/>
  <c r="C643" i="1"/>
  <c r="E341" i="9"/>
  <c r="C507" i="1"/>
  <c r="C679" i="1"/>
  <c r="G53" i="9"/>
  <c r="C529" i="1"/>
  <c r="G529" i="1" s="1"/>
  <c r="H149" i="9"/>
  <c r="C701" i="1"/>
  <c r="C531" i="1"/>
  <c r="G531" i="1" s="1"/>
  <c r="C181" i="9"/>
  <c r="C703" i="1"/>
  <c r="E85" i="9"/>
  <c r="C512" i="1"/>
  <c r="C684" i="1"/>
  <c r="C686" i="1"/>
  <c r="C514" i="1"/>
  <c r="G85" i="9"/>
  <c r="C682" i="1"/>
  <c r="C85" i="9"/>
  <c r="C510" i="1"/>
  <c r="G510" i="1" s="1"/>
  <c r="D85" i="9"/>
  <c r="C511" i="1"/>
  <c r="C683" i="1"/>
  <c r="H53" i="9"/>
  <c r="C680" i="1"/>
  <c r="C508" i="1"/>
  <c r="G508" i="1" s="1"/>
  <c r="I53" i="9"/>
  <c r="C681" i="1"/>
  <c r="C509" i="1"/>
  <c r="C691" i="1"/>
  <c r="E117" i="9"/>
  <c r="C519" i="1"/>
  <c r="G519" i="1" s="1"/>
  <c r="C699" i="1"/>
  <c r="C527" i="1"/>
  <c r="G527" i="1" s="1"/>
  <c r="F149" i="9"/>
  <c r="C546" i="1"/>
  <c r="D245" i="9"/>
  <c r="C630" i="1"/>
  <c r="C528" i="1"/>
  <c r="C700" i="1"/>
  <c r="G149" i="9"/>
  <c r="G524" i="1"/>
  <c r="H524" i="1" s="1"/>
  <c r="D634" i="1"/>
  <c r="D624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29" i="1"/>
  <c r="D620" i="1"/>
  <c r="D638" i="1"/>
  <c r="D703" i="1"/>
  <c r="D670" i="1"/>
  <c r="D627" i="1"/>
  <c r="D621" i="1"/>
  <c r="D712" i="1"/>
  <c r="D678" i="1"/>
  <c r="D672" i="1"/>
  <c r="D626" i="1"/>
  <c r="D641" i="1"/>
  <c r="D633" i="1"/>
  <c r="D646" i="1"/>
  <c r="D708" i="1"/>
  <c r="D688" i="1"/>
  <c r="D679" i="1"/>
  <c r="D625" i="1"/>
  <c r="D681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71" i="1"/>
  <c r="D669" i="1"/>
  <c r="D691" i="1"/>
  <c r="D673" i="1"/>
  <c r="D677" i="1"/>
  <c r="D640" i="1"/>
  <c r="D689" i="1"/>
  <c r="D701" i="1"/>
  <c r="D696" i="1"/>
  <c r="D710" i="1"/>
  <c r="D668" i="1"/>
  <c r="D680" i="1"/>
  <c r="D643" i="1"/>
  <c r="D619" i="1"/>
  <c r="D695" i="1"/>
  <c r="D683" i="1"/>
  <c r="D693" i="1"/>
  <c r="D618" i="1"/>
  <c r="E612" i="10"/>
  <c r="D715" i="10"/>
  <c r="E623" i="10"/>
  <c r="H545" i="1"/>
  <c r="F545" i="1"/>
  <c r="H525" i="1"/>
  <c r="F525" i="1"/>
  <c r="F529" i="1"/>
  <c r="C146" i="8"/>
  <c r="D396" i="1"/>
  <c r="C151" i="8" s="1"/>
  <c r="F521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H529" i="1" l="1"/>
  <c r="E623" i="1"/>
  <c r="E716" i="1" s="1"/>
  <c r="C648" i="1"/>
  <c r="M716" i="1" s="1"/>
  <c r="H535" i="1"/>
  <c r="H521" i="1"/>
  <c r="C433" i="1"/>
  <c r="C441" i="1" s="1"/>
  <c r="I369" i="9"/>
  <c r="CE71" i="1"/>
  <c r="C668" i="1"/>
  <c r="C21" i="9"/>
  <c r="C496" i="1"/>
  <c r="G496" i="1" s="1"/>
  <c r="G528" i="1"/>
  <c r="H528" i="1"/>
  <c r="G507" i="1"/>
  <c r="H507" i="1"/>
  <c r="G526" i="1"/>
  <c r="H526" i="1" s="1"/>
  <c r="G511" i="1"/>
  <c r="H511" i="1" s="1"/>
  <c r="G498" i="1"/>
  <c r="H498" i="1" s="1"/>
  <c r="G517" i="1"/>
  <c r="H517" i="1" s="1"/>
  <c r="G516" i="1"/>
  <c r="H516" i="1" s="1"/>
  <c r="G509" i="1"/>
  <c r="H509" i="1" s="1"/>
  <c r="G512" i="1"/>
  <c r="H512" i="1"/>
  <c r="G518" i="1"/>
  <c r="H518" i="1" s="1"/>
  <c r="G546" i="1"/>
  <c r="H546" i="1"/>
  <c r="G514" i="1"/>
  <c r="H514" i="1" s="1"/>
  <c r="G522" i="1"/>
  <c r="H522" i="1" s="1"/>
  <c r="G505" i="1"/>
  <c r="H505" i="1"/>
  <c r="D715" i="1"/>
  <c r="E716" i="10"/>
  <c r="E707" i="10"/>
  <c r="E706" i="10"/>
  <c r="E698" i="10"/>
  <c r="E690" i="10"/>
  <c r="E682" i="10"/>
  <c r="E674" i="10"/>
  <c r="E711" i="10"/>
  <c r="E703" i="10"/>
  <c r="E695" i="10"/>
  <c r="E687" i="10"/>
  <c r="E679" i="10"/>
  <c r="E671" i="10"/>
  <c r="E708" i="10"/>
  <c r="E710" i="10"/>
  <c r="E702" i="10"/>
  <c r="E694" i="10"/>
  <c r="E686" i="10"/>
  <c r="E678" i="10"/>
  <c r="E670" i="10"/>
  <c r="E647" i="10"/>
  <c r="E646" i="10"/>
  <c r="E645" i="10"/>
  <c r="E629" i="10"/>
  <c r="E704" i="10"/>
  <c r="E685" i="10"/>
  <c r="E638" i="10"/>
  <c r="E630" i="10"/>
  <c r="E700" i="10"/>
  <c r="E693" i="10"/>
  <c r="E672" i="10"/>
  <c r="E641" i="10"/>
  <c r="E633" i="10"/>
  <c r="E625" i="10"/>
  <c r="E680" i="10"/>
  <c r="E673" i="10"/>
  <c r="E644" i="10"/>
  <c r="E636" i="10"/>
  <c r="E628" i="10"/>
  <c r="E713" i="10"/>
  <c r="E688" i="10"/>
  <c r="E681" i="10"/>
  <c r="E639" i="10"/>
  <c r="E631" i="10"/>
  <c r="E709" i="10"/>
  <c r="E705" i="10"/>
  <c r="E696" i="10"/>
  <c r="E689" i="10"/>
  <c r="E675" i="10"/>
  <c r="E668" i="10"/>
  <c r="E642" i="10"/>
  <c r="E634" i="10"/>
  <c r="E626" i="10"/>
  <c r="E701" i="10"/>
  <c r="E697" i="10"/>
  <c r="E683" i="10"/>
  <c r="E676" i="10"/>
  <c r="E637" i="10"/>
  <c r="E624" i="10"/>
  <c r="E712" i="10"/>
  <c r="E699" i="10"/>
  <c r="E692" i="10"/>
  <c r="E677" i="10"/>
  <c r="E643" i="10"/>
  <c r="E635" i="10"/>
  <c r="E627" i="10"/>
  <c r="E640" i="10"/>
  <c r="E669" i="10"/>
  <c r="E684" i="10"/>
  <c r="E632" i="10"/>
  <c r="E691" i="10"/>
  <c r="I373" i="9" l="1"/>
  <c r="C716" i="1"/>
  <c r="C715" i="1"/>
  <c r="E612" i="1"/>
  <c r="E715" i="10"/>
  <c r="F624" i="10"/>
  <c r="E710" i="1" l="1"/>
  <c r="E695" i="1"/>
  <c r="E673" i="1"/>
  <c r="E692" i="1"/>
  <c r="E629" i="1"/>
  <c r="E698" i="1"/>
  <c r="E705" i="1"/>
  <c r="E668" i="1"/>
  <c r="E677" i="1"/>
  <c r="E691" i="1"/>
  <c r="E681" i="1"/>
  <c r="E641" i="1"/>
  <c r="E707" i="1"/>
  <c r="E624" i="1"/>
  <c r="F624" i="1" s="1"/>
  <c r="E701" i="1"/>
  <c r="E631" i="1"/>
  <c r="E637" i="1"/>
  <c r="E699" i="1"/>
  <c r="E672" i="1"/>
  <c r="E644" i="1"/>
  <c r="E625" i="1"/>
  <c r="E675" i="1"/>
  <c r="E713" i="1"/>
  <c r="E636" i="1"/>
  <c r="E632" i="1"/>
  <c r="E669" i="1"/>
  <c r="E647" i="1"/>
  <c r="E684" i="1"/>
  <c r="E640" i="1"/>
  <c r="E643" i="1"/>
  <c r="E630" i="1"/>
  <c r="E697" i="1"/>
  <c r="E704" i="1"/>
  <c r="E638" i="1"/>
  <c r="E685" i="1"/>
  <c r="E682" i="1"/>
  <c r="E708" i="1"/>
  <c r="E700" i="1"/>
  <c r="E689" i="1"/>
  <c r="E706" i="1"/>
  <c r="E690" i="1"/>
  <c r="E688" i="1"/>
  <c r="E626" i="1"/>
  <c r="E709" i="1"/>
  <c r="E680" i="1"/>
  <c r="E686" i="1"/>
  <c r="E696" i="1"/>
  <c r="E646" i="1"/>
  <c r="E712" i="1"/>
  <c r="E642" i="1"/>
  <c r="E678" i="1"/>
  <c r="E676" i="1"/>
  <c r="E634" i="1"/>
  <c r="E639" i="1"/>
  <c r="E687" i="1"/>
  <c r="E671" i="1"/>
  <c r="E670" i="1"/>
  <c r="E633" i="1"/>
  <c r="E702" i="1"/>
  <c r="E683" i="1"/>
  <c r="E693" i="1"/>
  <c r="E635" i="1"/>
  <c r="E627" i="1"/>
  <c r="E711" i="1"/>
  <c r="E645" i="1"/>
  <c r="E674" i="1"/>
  <c r="E679" i="1"/>
  <c r="E703" i="1"/>
  <c r="E628" i="1"/>
  <c r="E694" i="1"/>
  <c r="F712" i="10"/>
  <c r="F704" i="10"/>
  <c r="F711" i="10"/>
  <c r="F703" i="10"/>
  <c r="F695" i="10"/>
  <c r="F687" i="10"/>
  <c r="F679" i="10"/>
  <c r="F671" i="10"/>
  <c r="F708" i="10"/>
  <c r="F700" i="10"/>
  <c r="F692" i="10"/>
  <c r="F684" i="10"/>
  <c r="F676" i="10"/>
  <c r="F668" i="10"/>
  <c r="F713" i="10"/>
  <c r="F705" i="10"/>
  <c r="F716" i="10"/>
  <c r="F707" i="10"/>
  <c r="F699" i="10"/>
  <c r="F691" i="10"/>
  <c r="F683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706" i="10"/>
  <c r="F702" i="10"/>
  <c r="F693" i="10"/>
  <c r="F686" i="10"/>
  <c r="F672" i="10"/>
  <c r="F625" i="10"/>
  <c r="F694" i="10"/>
  <c r="F680" i="10"/>
  <c r="F673" i="10"/>
  <c r="F628" i="10"/>
  <c r="F688" i="10"/>
  <c r="F681" i="10"/>
  <c r="F647" i="10"/>
  <c r="F709" i="10"/>
  <c r="F696" i="10"/>
  <c r="F689" i="10"/>
  <c r="F674" i="10"/>
  <c r="F626" i="10"/>
  <c r="F701" i="10"/>
  <c r="F697" i="10"/>
  <c r="F682" i="10"/>
  <c r="F645" i="10"/>
  <c r="F629" i="10"/>
  <c r="F690" i="10"/>
  <c r="F669" i="10"/>
  <c r="F710" i="10"/>
  <c r="F685" i="10"/>
  <c r="F678" i="10"/>
  <c r="F646" i="10"/>
  <c r="F627" i="10"/>
  <c r="F698" i="10"/>
  <c r="F670" i="10"/>
  <c r="F677" i="10"/>
  <c r="F711" i="1" l="1"/>
  <c r="F634" i="1"/>
  <c r="F676" i="1"/>
  <c r="F704" i="1"/>
  <c r="F700" i="1"/>
  <c r="F712" i="1"/>
  <c r="F674" i="1"/>
  <c r="F670" i="1"/>
  <c r="F630" i="1"/>
  <c r="F695" i="1"/>
  <c r="F686" i="1"/>
  <c r="F671" i="1"/>
  <c r="F631" i="1"/>
  <c r="F697" i="1"/>
  <c r="F703" i="1"/>
  <c r="F681" i="1"/>
  <c r="F643" i="1"/>
  <c r="F705" i="1"/>
  <c r="F696" i="1"/>
  <c r="F640" i="1"/>
  <c r="F646" i="1"/>
  <c r="F632" i="1"/>
  <c r="F713" i="1"/>
  <c r="F639" i="1"/>
  <c r="F625" i="1"/>
  <c r="G625" i="1" s="1"/>
  <c r="F709" i="1"/>
  <c r="F672" i="1"/>
  <c r="F710" i="1"/>
  <c r="F683" i="1"/>
  <c r="F687" i="1"/>
  <c r="F641" i="1"/>
  <c r="F668" i="1"/>
  <c r="F628" i="1"/>
  <c r="F716" i="1"/>
  <c r="F684" i="1"/>
  <c r="F680" i="1"/>
  <c r="F708" i="1"/>
  <c r="F679" i="1"/>
  <c r="F682" i="1"/>
  <c r="F675" i="1"/>
  <c r="F706" i="1"/>
  <c r="F644" i="1"/>
  <c r="F691" i="1"/>
  <c r="F645" i="1"/>
  <c r="F677" i="1"/>
  <c r="F701" i="1"/>
  <c r="F707" i="1"/>
  <c r="F693" i="1"/>
  <c r="F688" i="1"/>
  <c r="F669" i="1"/>
  <c r="F673" i="1"/>
  <c r="F698" i="1"/>
  <c r="F647" i="1"/>
  <c r="F629" i="1"/>
  <c r="F642" i="1"/>
  <c r="F626" i="1"/>
  <c r="F678" i="1"/>
  <c r="F636" i="1"/>
  <c r="F633" i="1"/>
  <c r="F692" i="1"/>
  <c r="F638" i="1"/>
  <c r="F627" i="1"/>
  <c r="F637" i="1"/>
  <c r="F689" i="1"/>
  <c r="F690" i="1"/>
  <c r="F694" i="1"/>
  <c r="F685" i="1"/>
  <c r="F699" i="1"/>
  <c r="F635" i="1"/>
  <c r="F702" i="1"/>
  <c r="E715" i="1"/>
  <c r="F715" i="10"/>
  <c r="G625" i="10"/>
  <c r="G688" i="1" l="1"/>
  <c r="G644" i="1"/>
  <c r="G711" i="1"/>
  <c r="G638" i="1"/>
  <c r="G690" i="1"/>
  <c r="G702" i="1"/>
  <c r="G695" i="1"/>
  <c r="G669" i="1"/>
  <c r="G710" i="1"/>
  <c r="G645" i="1"/>
  <c r="G646" i="1"/>
  <c r="G640" i="1"/>
  <c r="G636" i="1"/>
  <c r="G626" i="1"/>
  <c r="G634" i="1"/>
  <c r="G689" i="1"/>
  <c r="G706" i="1"/>
  <c r="G628" i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G712" i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F715" i="1"/>
  <c r="G709" i="10"/>
  <c r="G701" i="10"/>
  <c r="G708" i="10"/>
  <c r="G700" i="10"/>
  <c r="G692" i="10"/>
  <c r="G684" i="10"/>
  <c r="G676" i="10"/>
  <c r="G668" i="10"/>
  <c r="G713" i="10"/>
  <c r="G705" i="10"/>
  <c r="G697" i="10"/>
  <c r="G689" i="10"/>
  <c r="G681" i="10"/>
  <c r="G673" i="10"/>
  <c r="G710" i="10"/>
  <c r="G702" i="10"/>
  <c r="G712" i="10"/>
  <c r="G704" i="10"/>
  <c r="G696" i="10"/>
  <c r="G688" i="10"/>
  <c r="G680" i="10"/>
  <c r="G672" i="10"/>
  <c r="G694" i="10"/>
  <c r="G679" i="10"/>
  <c r="G641" i="10"/>
  <c r="G633" i="10"/>
  <c r="G628" i="10"/>
  <c r="G687" i="10"/>
  <c r="G647" i="10"/>
  <c r="G644" i="10"/>
  <c r="G636" i="10"/>
  <c r="G716" i="10"/>
  <c r="G695" i="10"/>
  <c r="G674" i="10"/>
  <c r="G639" i="10"/>
  <c r="G631" i="10"/>
  <c r="G626" i="10"/>
  <c r="G711" i="10"/>
  <c r="G707" i="10"/>
  <c r="G682" i="10"/>
  <c r="G675" i="10"/>
  <c r="G645" i="10"/>
  <c r="G642" i="10"/>
  <c r="G634" i="10"/>
  <c r="G629" i="10"/>
  <c r="G703" i="10"/>
  <c r="G690" i="10"/>
  <c r="G683" i="10"/>
  <c r="G669" i="10"/>
  <c r="G637" i="10"/>
  <c r="G698" i="10"/>
  <c r="G691" i="10"/>
  <c r="G677" i="10"/>
  <c r="G670" i="10"/>
  <c r="G640" i="10"/>
  <c r="G632" i="10"/>
  <c r="G627" i="10"/>
  <c r="G706" i="10"/>
  <c r="G693" i="10"/>
  <c r="G686" i="10"/>
  <c r="G671" i="10"/>
  <c r="G638" i="10"/>
  <c r="G630" i="10"/>
  <c r="G699" i="10"/>
  <c r="G678" i="10"/>
  <c r="G635" i="10"/>
  <c r="G685" i="10"/>
  <c r="G646" i="10"/>
  <c r="G643" i="10"/>
  <c r="H628" i="1" l="1"/>
  <c r="H683" i="1" s="1"/>
  <c r="H699" i="1"/>
  <c r="H681" i="1"/>
  <c r="H693" i="1"/>
  <c r="H668" i="1"/>
  <c r="H716" i="1"/>
  <c r="H677" i="1"/>
  <c r="H709" i="1"/>
  <c r="H678" i="1"/>
  <c r="H673" i="1"/>
  <c r="H704" i="1"/>
  <c r="G715" i="1"/>
  <c r="G715" i="10"/>
  <c r="H628" i="10"/>
  <c r="H643" i="1" l="1"/>
  <c r="H635" i="1"/>
  <c r="H644" i="1"/>
  <c r="H630" i="1"/>
  <c r="H676" i="1"/>
  <c r="H686" i="1"/>
  <c r="H629" i="1"/>
  <c r="I629" i="1" s="1"/>
  <c r="H696" i="1"/>
  <c r="H691" i="1"/>
  <c r="H671" i="1"/>
  <c r="H646" i="1"/>
  <c r="H692" i="1"/>
  <c r="H708" i="1"/>
  <c r="H670" i="1"/>
  <c r="H713" i="1"/>
  <c r="H640" i="1"/>
  <c r="H645" i="1"/>
  <c r="H700" i="1"/>
  <c r="H669" i="1"/>
  <c r="H632" i="1"/>
  <c r="H679" i="1"/>
  <c r="H701" i="1"/>
  <c r="H642" i="1"/>
  <c r="H710" i="1"/>
  <c r="H641" i="1"/>
  <c r="H631" i="1"/>
  <c r="H674" i="1"/>
  <c r="H711" i="1"/>
  <c r="H687" i="1"/>
  <c r="H702" i="1"/>
  <c r="H694" i="1"/>
  <c r="H688" i="1"/>
  <c r="H697" i="1"/>
  <c r="H639" i="1"/>
  <c r="H672" i="1"/>
  <c r="H695" i="1"/>
  <c r="H637" i="1"/>
  <c r="H690" i="1"/>
  <c r="H705" i="1"/>
  <c r="H684" i="1"/>
  <c r="H706" i="1"/>
  <c r="H703" i="1"/>
  <c r="H689" i="1"/>
  <c r="H638" i="1"/>
  <c r="H634" i="1"/>
  <c r="H685" i="1"/>
  <c r="H647" i="1"/>
  <c r="H707" i="1"/>
  <c r="H680" i="1"/>
  <c r="H698" i="1"/>
  <c r="H636" i="1"/>
  <c r="H682" i="1"/>
  <c r="H675" i="1"/>
  <c r="H633" i="1"/>
  <c r="H712" i="1"/>
  <c r="H706" i="10"/>
  <c r="H713" i="10"/>
  <c r="H705" i="10"/>
  <c r="H697" i="10"/>
  <c r="H689" i="10"/>
  <c r="H681" i="10"/>
  <c r="H673" i="10"/>
  <c r="H710" i="10"/>
  <c r="H702" i="10"/>
  <c r="H694" i="10"/>
  <c r="H686" i="10"/>
  <c r="H678" i="10"/>
  <c r="H670" i="10"/>
  <c r="H647" i="10"/>
  <c r="H646" i="10"/>
  <c r="H645" i="10"/>
  <c r="H629" i="10"/>
  <c r="H716" i="10"/>
  <c r="H707" i="10"/>
  <c r="H709" i="10"/>
  <c r="H701" i="10"/>
  <c r="H693" i="10"/>
  <c r="H685" i="10"/>
  <c r="H677" i="10"/>
  <c r="H669" i="10"/>
  <c r="H700" i="10"/>
  <c r="H687" i="10"/>
  <c r="H680" i="10"/>
  <c r="H644" i="10"/>
  <c r="H636" i="10"/>
  <c r="H695" i="10"/>
  <c r="H688" i="10"/>
  <c r="H674" i="10"/>
  <c r="H639" i="10"/>
  <c r="H631" i="10"/>
  <c r="H711" i="10"/>
  <c r="H696" i="10"/>
  <c r="H682" i="10"/>
  <c r="H675" i="10"/>
  <c r="H642" i="10"/>
  <c r="H634" i="10"/>
  <c r="H703" i="10"/>
  <c r="H690" i="10"/>
  <c r="H683" i="10"/>
  <c r="H668" i="10"/>
  <c r="H637" i="10"/>
  <c r="H698" i="10"/>
  <c r="H691" i="10"/>
  <c r="H676" i="10"/>
  <c r="H640" i="10"/>
  <c r="H632" i="10"/>
  <c r="H699" i="10"/>
  <c r="H684" i="10"/>
  <c r="H643" i="10"/>
  <c r="H635" i="10"/>
  <c r="H708" i="10"/>
  <c r="H704" i="10"/>
  <c r="H679" i="10"/>
  <c r="H672" i="10"/>
  <c r="H641" i="10"/>
  <c r="H633" i="10"/>
  <c r="H671" i="10"/>
  <c r="H712" i="10"/>
  <c r="H638" i="10"/>
  <c r="H692" i="10"/>
  <c r="H630" i="10"/>
  <c r="H715" i="1" l="1"/>
  <c r="I635" i="1"/>
  <c r="I668" i="1"/>
  <c r="I696" i="1"/>
  <c r="I703" i="1"/>
  <c r="I644" i="1"/>
  <c r="I682" i="1"/>
  <c r="I680" i="1"/>
  <c r="I687" i="1"/>
  <c r="I695" i="1"/>
  <c r="I710" i="1"/>
  <c r="I713" i="1"/>
  <c r="I671" i="1"/>
  <c r="I643" i="1"/>
  <c r="I706" i="1"/>
  <c r="I678" i="1"/>
  <c r="I707" i="1"/>
  <c r="I633" i="1"/>
  <c r="I689" i="1"/>
  <c r="I641" i="1"/>
  <c r="I694" i="1"/>
  <c r="I702" i="1"/>
  <c r="I645" i="1"/>
  <c r="I637" i="1"/>
  <c r="I670" i="1"/>
  <c r="I692" i="1"/>
  <c r="I642" i="1"/>
  <c r="I647" i="1"/>
  <c r="I681" i="1"/>
  <c r="I676" i="1"/>
  <c r="I684" i="1"/>
  <c r="I672" i="1"/>
  <c r="I711" i="1"/>
  <c r="I640" i="1"/>
  <c r="I693" i="1"/>
  <c r="I709" i="1"/>
  <c r="I634" i="1"/>
  <c r="I630" i="1"/>
  <c r="J630" i="1" s="1"/>
  <c r="I697" i="1"/>
  <c r="I704" i="1"/>
  <c r="I712" i="1"/>
  <c r="I708" i="1"/>
  <c r="I673" i="1"/>
  <c r="I636" i="1"/>
  <c r="I669" i="1"/>
  <c r="I716" i="1"/>
  <c r="I705" i="1"/>
  <c r="I677" i="1"/>
  <c r="I674" i="1"/>
  <c r="I683" i="1"/>
  <c r="I646" i="1"/>
  <c r="I700" i="1"/>
  <c r="I685" i="1"/>
  <c r="I699" i="1"/>
  <c r="I675" i="1"/>
  <c r="I691" i="1"/>
  <c r="I690" i="1"/>
  <c r="I688" i="1"/>
  <c r="I686" i="1"/>
  <c r="I698" i="1"/>
  <c r="I639" i="1"/>
  <c r="I701" i="1"/>
  <c r="I631" i="1"/>
  <c r="I679" i="1"/>
  <c r="I638" i="1"/>
  <c r="I632" i="1"/>
  <c r="H715" i="10"/>
  <c r="I629" i="10"/>
  <c r="J678" i="1" l="1"/>
  <c r="J687" i="1"/>
  <c r="J669" i="1"/>
  <c r="J704" i="1"/>
  <c r="J699" i="1"/>
  <c r="J674" i="1"/>
  <c r="J632" i="1"/>
  <c r="J691" i="1"/>
  <c r="J634" i="1"/>
  <c r="J695" i="1"/>
  <c r="J693" i="1"/>
  <c r="J707" i="1"/>
  <c r="J638" i="1"/>
  <c r="J701" i="1"/>
  <c r="J685" i="1"/>
  <c r="J675" i="1"/>
  <c r="J643" i="1"/>
  <c r="J700" i="1"/>
  <c r="J696" i="1"/>
  <c r="J636" i="1"/>
  <c r="J639" i="1"/>
  <c r="J646" i="1"/>
  <c r="J644" i="1"/>
  <c r="J694" i="1"/>
  <c r="J698" i="1"/>
  <c r="J682" i="1"/>
  <c r="J670" i="1"/>
  <c r="J709" i="1"/>
  <c r="J676" i="1"/>
  <c r="J668" i="1"/>
  <c r="J708" i="1"/>
  <c r="J716" i="1"/>
  <c r="J688" i="1"/>
  <c r="J684" i="1"/>
  <c r="J689" i="1"/>
  <c r="J647" i="1"/>
  <c r="J672" i="1"/>
  <c r="J640" i="1"/>
  <c r="J711" i="1"/>
  <c r="J637" i="1"/>
  <c r="J705" i="1"/>
  <c r="J692" i="1"/>
  <c r="J706" i="1"/>
  <c r="J712" i="1"/>
  <c r="J645" i="1"/>
  <c r="J683" i="1"/>
  <c r="J680" i="1"/>
  <c r="J679" i="1"/>
  <c r="J697" i="1"/>
  <c r="J686" i="1"/>
  <c r="J633" i="1"/>
  <c r="J673" i="1"/>
  <c r="J642" i="1"/>
  <c r="J713" i="1"/>
  <c r="J710" i="1"/>
  <c r="J641" i="1"/>
  <c r="J677" i="1"/>
  <c r="J631" i="1"/>
  <c r="J702" i="1"/>
  <c r="J703" i="1"/>
  <c r="J690" i="1"/>
  <c r="J681" i="1"/>
  <c r="J671" i="1"/>
  <c r="J635" i="1"/>
  <c r="I715" i="1"/>
  <c r="I711" i="10"/>
  <c r="I703" i="10"/>
  <c r="I710" i="10"/>
  <c r="I702" i="10"/>
  <c r="I694" i="10"/>
  <c r="I686" i="10"/>
  <c r="I678" i="10"/>
  <c r="I670" i="10"/>
  <c r="I647" i="10"/>
  <c r="I646" i="10"/>
  <c r="I645" i="10"/>
  <c r="I716" i="10"/>
  <c r="I707" i="10"/>
  <c r="I699" i="10"/>
  <c r="I691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12" i="10"/>
  <c r="I704" i="10"/>
  <c r="I706" i="10"/>
  <c r="I698" i="10"/>
  <c r="I690" i="10"/>
  <c r="I682" i="10"/>
  <c r="I674" i="10"/>
  <c r="I695" i="10"/>
  <c r="I688" i="10"/>
  <c r="I673" i="10"/>
  <c r="I696" i="10"/>
  <c r="I681" i="10"/>
  <c r="I713" i="10"/>
  <c r="I709" i="10"/>
  <c r="I689" i="10"/>
  <c r="I668" i="10"/>
  <c r="I705" i="10"/>
  <c r="I701" i="10"/>
  <c r="I697" i="10"/>
  <c r="I676" i="10"/>
  <c r="I669" i="10"/>
  <c r="I684" i="10"/>
  <c r="I677" i="10"/>
  <c r="I692" i="10"/>
  <c r="I685" i="10"/>
  <c r="I671" i="10"/>
  <c r="I700" i="10"/>
  <c r="I687" i="10"/>
  <c r="I680" i="10"/>
  <c r="I679" i="10"/>
  <c r="I708" i="10"/>
  <c r="I693" i="10"/>
  <c r="I672" i="10"/>
  <c r="L647" i="1" l="1"/>
  <c r="L705" i="1" s="1"/>
  <c r="K644" i="1"/>
  <c r="K709" i="1" s="1"/>
  <c r="J715" i="1"/>
  <c r="I715" i="10"/>
  <c r="J630" i="10"/>
  <c r="K692" i="1" l="1"/>
  <c r="K703" i="1"/>
  <c r="K669" i="1"/>
  <c r="K712" i="1"/>
  <c r="K683" i="1"/>
  <c r="K680" i="1"/>
  <c r="K708" i="1"/>
  <c r="M708" i="1" s="1"/>
  <c r="H183" i="9" s="1"/>
  <c r="K689" i="1"/>
  <c r="K668" i="1"/>
  <c r="K690" i="1"/>
  <c r="K687" i="1"/>
  <c r="K678" i="1"/>
  <c r="K670" i="1"/>
  <c r="K688" i="1"/>
  <c r="K707" i="1"/>
  <c r="K686" i="1"/>
  <c r="K677" i="1"/>
  <c r="K710" i="1"/>
  <c r="K673" i="1"/>
  <c r="K684" i="1"/>
  <c r="K681" i="1"/>
  <c r="K671" i="1"/>
  <c r="K715" i="1" s="1"/>
  <c r="K679" i="1"/>
  <c r="K674" i="1"/>
  <c r="K695" i="1"/>
  <c r="K697" i="1"/>
  <c r="K711" i="1"/>
  <c r="K716" i="1"/>
  <c r="K702" i="1"/>
  <c r="K696" i="1"/>
  <c r="K704" i="1"/>
  <c r="K699" i="1"/>
  <c r="K701" i="1"/>
  <c r="K691" i="1"/>
  <c r="K698" i="1"/>
  <c r="K705" i="1"/>
  <c r="K694" i="1"/>
  <c r="K675" i="1"/>
  <c r="M675" i="1" s="1"/>
  <c r="K672" i="1"/>
  <c r="K693" i="1"/>
  <c r="K713" i="1"/>
  <c r="K676" i="1"/>
  <c r="K682" i="1"/>
  <c r="K700" i="1"/>
  <c r="K685" i="1"/>
  <c r="L677" i="1"/>
  <c r="K706" i="1"/>
  <c r="M706" i="1" s="1"/>
  <c r="L711" i="1"/>
  <c r="L708" i="1"/>
  <c r="L674" i="1"/>
  <c r="L687" i="1"/>
  <c r="L710" i="1"/>
  <c r="L680" i="1"/>
  <c r="L671" i="1"/>
  <c r="M671" i="1" s="1"/>
  <c r="L702" i="1"/>
  <c r="M702" i="1" s="1"/>
  <c r="L688" i="1"/>
  <c r="L675" i="1"/>
  <c r="L701" i="1"/>
  <c r="L700" i="1"/>
  <c r="L683" i="1"/>
  <c r="L685" i="1"/>
  <c r="L694" i="1"/>
  <c r="L669" i="1"/>
  <c r="M669" i="1" s="1"/>
  <c r="L690" i="1"/>
  <c r="L695" i="1"/>
  <c r="M695" i="1" s="1"/>
  <c r="L686" i="1"/>
  <c r="L668" i="1"/>
  <c r="L670" i="1"/>
  <c r="L672" i="1"/>
  <c r="M674" i="1"/>
  <c r="I23" i="9" s="1"/>
  <c r="M710" i="1"/>
  <c r="C215" i="9" s="1"/>
  <c r="M705" i="1"/>
  <c r="L698" i="1"/>
  <c r="M698" i="1" s="1"/>
  <c r="L692" i="1"/>
  <c r="L713" i="1"/>
  <c r="M713" i="1" s="1"/>
  <c r="L684" i="1"/>
  <c r="M684" i="1" s="1"/>
  <c r="L689" i="1"/>
  <c r="M689" i="1" s="1"/>
  <c r="L691" i="1"/>
  <c r="M691" i="1" s="1"/>
  <c r="L712" i="1"/>
  <c r="M712" i="1" s="1"/>
  <c r="L676" i="1"/>
  <c r="M676" i="1" s="1"/>
  <c r="D55" i="9" s="1"/>
  <c r="L693" i="1"/>
  <c r="M693" i="1" s="1"/>
  <c r="L704" i="1"/>
  <c r="L709" i="1"/>
  <c r="L678" i="1"/>
  <c r="M678" i="1" s="1"/>
  <c r="M711" i="1"/>
  <c r="D215" i="9" s="1"/>
  <c r="M672" i="1"/>
  <c r="L699" i="1"/>
  <c r="L681" i="1"/>
  <c r="M681" i="1" s="1"/>
  <c r="L673" i="1"/>
  <c r="L703" i="1"/>
  <c r="M703" i="1" s="1"/>
  <c r="L697" i="1"/>
  <c r="L716" i="1"/>
  <c r="L682" i="1"/>
  <c r="L696" i="1"/>
  <c r="M696" i="1" s="1"/>
  <c r="L679" i="1"/>
  <c r="L707" i="1"/>
  <c r="L706" i="1"/>
  <c r="M700" i="1"/>
  <c r="G151" i="9" s="1"/>
  <c r="M701" i="1"/>
  <c r="H151" i="9" s="1"/>
  <c r="M683" i="1"/>
  <c r="D87" i="9" s="1"/>
  <c r="M685" i="1"/>
  <c r="M694" i="1"/>
  <c r="H119" i="9" s="1"/>
  <c r="M692" i="1"/>
  <c r="M709" i="1"/>
  <c r="I183" i="9" s="1"/>
  <c r="M677" i="1"/>
  <c r="E55" i="9" s="1"/>
  <c r="M688" i="1"/>
  <c r="M687" i="1"/>
  <c r="M668" i="1"/>
  <c r="M699" i="1"/>
  <c r="M673" i="1"/>
  <c r="H23" i="9" s="1"/>
  <c r="M697" i="1"/>
  <c r="M682" i="1"/>
  <c r="C87" i="9" s="1"/>
  <c r="M679" i="1"/>
  <c r="J708" i="10"/>
  <c r="J700" i="10"/>
  <c r="J716" i="10"/>
  <c r="J707" i="10"/>
  <c r="J699" i="10"/>
  <c r="J691" i="10"/>
  <c r="J683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12" i="10"/>
  <c r="J704" i="10"/>
  <c r="J696" i="10"/>
  <c r="J688" i="10"/>
  <c r="J680" i="10"/>
  <c r="J672" i="10"/>
  <c r="J709" i="10"/>
  <c r="J701" i="10"/>
  <c r="J711" i="10"/>
  <c r="J703" i="10"/>
  <c r="J695" i="10"/>
  <c r="J687" i="10"/>
  <c r="J679" i="10"/>
  <c r="J671" i="10"/>
  <c r="J681" i="10"/>
  <c r="J674" i="10"/>
  <c r="J647" i="10"/>
  <c r="J713" i="10"/>
  <c r="J689" i="10"/>
  <c r="J682" i="10"/>
  <c r="J668" i="10"/>
  <c r="J705" i="10"/>
  <c r="J697" i="10"/>
  <c r="J690" i="10"/>
  <c r="J676" i="10"/>
  <c r="J669" i="10"/>
  <c r="J645" i="10"/>
  <c r="J698" i="10"/>
  <c r="J684" i="10"/>
  <c r="J677" i="10"/>
  <c r="J692" i="10"/>
  <c r="J685" i="10"/>
  <c r="J670" i="10"/>
  <c r="J693" i="10"/>
  <c r="J678" i="10"/>
  <c r="J646" i="10"/>
  <c r="J702" i="10"/>
  <c r="J694" i="10"/>
  <c r="J673" i="10"/>
  <c r="J710" i="10"/>
  <c r="J686" i="10"/>
  <c r="J706" i="10"/>
  <c r="M707" i="1" l="1"/>
  <c r="M704" i="1"/>
  <c r="M686" i="1"/>
  <c r="F119" i="9"/>
  <c r="M690" i="1"/>
  <c r="D119" i="9" s="1"/>
  <c r="E215" i="9"/>
  <c r="F87" i="9"/>
  <c r="M680" i="1"/>
  <c r="M715" i="1" s="1"/>
  <c r="I119" i="9"/>
  <c r="M670" i="1"/>
  <c r="F23" i="9"/>
  <c r="C119" i="9"/>
  <c r="I87" i="9"/>
  <c r="I55" i="9"/>
  <c r="G55" i="9"/>
  <c r="E119" i="9"/>
  <c r="I151" i="9"/>
  <c r="F151" i="9"/>
  <c r="G87" i="9"/>
  <c r="C151" i="9"/>
  <c r="D23" i="9"/>
  <c r="F183" i="9"/>
  <c r="D151" i="9"/>
  <c r="C183" i="9"/>
  <c r="F55" i="9"/>
  <c r="E87" i="9"/>
  <c r="D183" i="9"/>
  <c r="H87" i="9"/>
  <c r="L715" i="1"/>
  <c r="G23" i="9"/>
  <c r="E183" i="9"/>
  <c r="E151" i="9"/>
  <c r="C55" i="9"/>
  <c r="G119" i="9"/>
  <c r="F215" i="9"/>
  <c r="G183" i="9"/>
  <c r="C23" i="9"/>
  <c r="L647" i="10"/>
  <c r="J715" i="10"/>
  <c r="L710" i="10"/>
  <c r="L702" i="10"/>
  <c r="L709" i="10"/>
  <c r="L701" i="10"/>
  <c r="L693" i="10"/>
  <c r="L685" i="10"/>
  <c r="L677" i="10"/>
  <c r="L669" i="10"/>
  <c r="L706" i="10"/>
  <c r="L698" i="10"/>
  <c r="L690" i="10"/>
  <c r="L682" i="10"/>
  <c r="L674" i="10"/>
  <c r="L711" i="10"/>
  <c r="L703" i="10"/>
  <c r="L713" i="10"/>
  <c r="L705" i="10"/>
  <c r="L697" i="10"/>
  <c r="L689" i="10"/>
  <c r="L681" i="10"/>
  <c r="L673" i="10"/>
  <c r="L716" i="10"/>
  <c r="L696" i="10"/>
  <c r="L675" i="10"/>
  <c r="L668" i="10"/>
  <c r="L707" i="10"/>
  <c r="L683" i="10"/>
  <c r="L676" i="10"/>
  <c r="L691" i="10"/>
  <c r="L684" i="10"/>
  <c r="L670" i="10"/>
  <c r="L699" i="10"/>
  <c r="L692" i="10"/>
  <c r="L678" i="10"/>
  <c r="L671" i="10"/>
  <c r="L686" i="10"/>
  <c r="L679" i="10"/>
  <c r="L712" i="10"/>
  <c r="L708" i="10"/>
  <c r="L694" i="10"/>
  <c r="L687" i="10"/>
  <c r="L672" i="10"/>
  <c r="L688" i="10"/>
  <c r="L680" i="10"/>
  <c r="L695" i="10"/>
  <c r="L704" i="10"/>
  <c r="L700" i="10"/>
  <c r="K644" i="10"/>
  <c r="H55" i="9" l="1"/>
  <c r="E23" i="9"/>
  <c r="M686" i="10"/>
  <c r="L715" i="10"/>
  <c r="K713" i="10"/>
  <c r="K705" i="10"/>
  <c r="M705" i="10" s="1"/>
  <c r="K712" i="10"/>
  <c r="M712" i="10" s="1"/>
  <c r="K704" i="10"/>
  <c r="M704" i="10" s="1"/>
  <c r="K696" i="10"/>
  <c r="M696" i="10" s="1"/>
  <c r="K688" i="10"/>
  <c r="M688" i="10" s="1"/>
  <c r="K680" i="10"/>
  <c r="M680" i="10" s="1"/>
  <c r="K672" i="10"/>
  <c r="M672" i="10" s="1"/>
  <c r="K709" i="10"/>
  <c r="M709" i="10" s="1"/>
  <c r="K701" i="10"/>
  <c r="M701" i="10" s="1"/>
  <c r="K693" i="10"/>
  <c r="M693" i="10" s="1"/>
  <c r="K685" i="10"/>
  <c r="M685" i="10" s="1"/>
  <c r="K677" i="10"/>
  <c r="M677" i="10" s="1"/>
  <c r="K669" i="10"/>
  <c r="M669" i="10" s="1"/>
  <c r="K706" i="10"/>
  <c r="M706" i="10" s="1"/>
  <c r="K708" i="10"/>
  <c r="M708" i="10" s="1"/>
  <c r="K700" i="10"/>
  <c r="M700" i="10" s="1"/>
  <c r="K692" i="10"/>
  <c r="M692" i="10" s="1"/>
  <c r="K684" i="10"/>
  <c r="M684" i="10" s="1"/>
  <c r="K676" i="10"/>
  <c r="M676" i="10" s="1"/>
  <c r="K668" i="10"/>
  <c r="K689" i="10"/>
  <c r="M689" i="10" s="1"/>
  <c r="K682" i="10"/>
  <c r="M682" i="10" s="1"/>
  <c r="K716" i="10"/>
  <c r="K711" i="10"/>
  <c r="M711" i="10" s="1"/>
  <c r="K697" i="10"/>
  <c r="M697" i="10" s="1"/>
  <c r="K690" i="10"/>
  <c r="M690" i="10" s="1"/>
  <c r="K675" i="10"/>
  <c r="M675" i="10" s="1"/>
  <c r="K707" i="10"/>
  <c r="M707" i="10" s="1"/>
  <c r="K703" i="10"/>
  <c r="M703" i="10" s="1"/>
  <c r="K698" i="10"/>
  <c r="M698" i="10" s="1"/>
  <c r="K683" i="10"/>
  <c r="M683" i="10" s="1"/>
  <c r="K691" i="10"/>
  <c r="M691" i="10" s="1"/>
  <c r="K670" i="10"/>
  <c r="M670" i="10" s="1"/>
  <c r="K699" i="10"/>
  <c r="M699" i="10" s="1"/>
  <c r="K678" i="10"/>
  <c r="M678" i="10" s="1"/>
  <c r="K671" i="10"/>
  <c r="M671" i="10" s="1"/>
  <c r="K710" i="10"/>
  <c r="M710" i="10" s="1"/>
  <c r="K686" i="10"/>
  <c r="K679" i="10"/>
  <c r="M679" i="10" s="1"/>
  <c r="K695" i="10"/>
  <c r="M695" i="10" s="1"/>
  <c r="K681" i="10"/>
  <c r="M681" i="10" s="1"/>
  <c r="K674" i="10"/>
  <c r="M674" i="10" s="1"/>
  <c r="K687" i="10"/>
  <c r="M687" i="10" s="1"/>
  <c r="K694" i="10"/>
  <c r="M694" i="10" s="1"/>
  <c r="K702" i="10"/>
  <c r="M702" i="10" s="1"/>
  <c r="K673" i="10"/>
  <c r="M673" i="10" s="1"/>
  <c r="M713" i="10"/>
  <c r="K715" i="10" l="1"/>
  <c r="M668" i="10"/>
  <c r="M715" i="10" s="1"/>
</calcChain>
</file>

<file path=xl/sharedStrings.xml><?xml version="1.0" encoding="utf-8"?>
<sst xmlns="http://schemas.openxmlformats.org/spreadsheetml/2006/main" count="4413" uniqueCount="1020">
  <si>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</si>
  <si>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</si>
  <si>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</si>
  <si>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</si>
  <si>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</si>
  <si>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</si>
  <si>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</si>
  <si>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</si>
  <si>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</si>
  <si>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</si>
  <si>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</si>
  <si>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</si>
  <si>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</si>
  <si>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</si>
  <si>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</si>
  <si>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</si>
  <si>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</si>
  <si>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</si>
  <si>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</si>
  <si>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</si>
  <si>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</si>
  <si>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</si>
  <si>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</si>
  <si>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</si>
  <si>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</si>
  <si>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</si>
  <si>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</si>
  <si>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</si>
  <si>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</si>
  <si>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</si>
  <si>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</si>
  <si>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</si>
  <si>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</si>
  <si>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</si>
  <si>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</si>
  <si>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</si>
  <si>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</si>
  <si>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</si>
  <si>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</si>
  <si>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</si>
  <si>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</si>
  <si>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</si>
  <si>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</si>
  <si>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</si>
  <si>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</si>
  <si>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</si>
  <si>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</si>
  <si>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</si>
  <si>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</si>
  <si>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</si>
  <si>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</si>
  <si>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</si>
  <si>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</si>
  <si>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</si>
  <si>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</si>
  <si>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</si>
  <si>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</si>
  <si>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</si>
  <si>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</si>
  <si>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</si>
  <si>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</si>
  <si>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</si>
  <si>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</si>
  <si>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</si>
  <si>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</si>
  <si>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</si>
  <si>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</si>
  <si>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</si>
  <si>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</si>
  <si>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</si>
  <si>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</si>
  <si>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</si>
  <si>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</si>
  <si>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</si>
  <si>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</si>
  <si>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</si>
  <si>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</si>
  <si>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</si>
  <si>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</si>
  <si>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</si>
  <si>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</si>
  <si>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</si>
  <si>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</si>
  <si>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</si>
  <si>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</si>
  <si>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</si>
  <si>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</si>
  <si>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</si>
  <si>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</si>
  <si>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</si>
  <si>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</si>
  <si>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</si>
  <si>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</si>
  <si>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</si>
  <si>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</si>
  <si>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</si>
  <si>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</si>
  <si>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</si>
  <si>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</si>
  <si>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</si>
  <si>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</si>
  <si>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</si>
  <si>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</si>
  <si>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</si>
  <si>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</si>
  <si>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</si>
  <si>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</si>
  <si>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</si>
  <si>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</si>
  <si>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</si>
  <si>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</si>
  <si>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</si>
  <si>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</si>
  <si>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</si>
  <si>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</si>
  <si>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</si>
  <si>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</si>
  <si>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</si>
  <si>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</si>
  <si>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</si>
  <si>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</si>
  <si>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</si>
  <si>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</si>
  <si>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</si>
  <si>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</si>
  <si>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</si>
  <si>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</si>
  <si>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</si>
  <si>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</si>
  <si>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</si>
  <si>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</si>
  <si>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</si>
  <si>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</si>
  <si>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</si>
  <si>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</si>
  <si>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</si>
  <si>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</si>
  <si>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</si>
  <si>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</si>
  <si>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</si>
  <si>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</si>
  <si>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</si>
  <si>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</si>
  <si>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</si>
  <si>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</si>
  <si>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</si>
  <si>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</si>
  <si>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</si>
  <si>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</si>
  <si>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</si>
  <si>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</si>
  <si>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</si>
  <si>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</si>
  <si>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</si>
  <si>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</si>
  <si>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</si>
  <si>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</si>
  <si>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</si>
  <si>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</si>
  <si>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</si>
  <si>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</si>
  <si>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</si>
  <si>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</si>
  <si>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</si>
  <si>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</si>
  <si>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</si>
  <si>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</si>
  <si>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</si>
  <si>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</si>
  <si>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</si>
  <si>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</si>
  <si>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</si>
  <si>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</si>
  <si>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</si>
  <si>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</si>
  <si>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</si>
  <si>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</si>
  <si>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</si>
  <si>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</si>
  <si>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</si>
  <si>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</si>
  <si>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</si>
  <si>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</si>
  <si>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</si>
  <si>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</si>
  <si>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</si>
  <si>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</si>
  <si>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</si>
  <si>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</si>
  <si>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</si>
  <si>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</si>
  <si>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</si>
  <si>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</si>
  <si>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</si>
  <si>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</si>
  <si>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</si>
  <si>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</si>
  <si>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</si>
  <si>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</si>
  <si>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</si>
  <si>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</si>
  <si>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</si>
  <si>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</si>
  <si>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</si>
  <si>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</si>
  <si>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</si>
  <si>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</si>
  <si>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</si>
  <si>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</si>
  <si>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</si>
  <si>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</si>
  <si>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</si>
  <si>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</si>
  <si>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</si>
  <si>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</si>
  <si>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</si>
  <si>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</si>
  <si>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</si>
  <si>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</si>
  <si>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</si>
  <si>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</si>
  <si>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</si>
  <si>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</si>
  <si>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</si>
  <si>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</si>
  <si>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</si>
  <si>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</si>
  <si>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</si>
  <si>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</si>
  <si>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</si>
  <si>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</si>
  <si>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</si>
  <si>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</si>
  <si>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</si>
  <si>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</si>
  <si>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</si>
  <si>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</si>
  <si>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</si>
  <si>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</si>
  <si>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</si>
  <si>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</si>
  <si>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</si>
  <si>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</si>
  <si>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</si>
  <si>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</si>
  <si>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</si>
  <si>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</si>
  <si>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</si>
  <si>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</si>
  <si>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</si>
  <si>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</si>
  <si>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</si>
  <si>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</si>
  <si>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</si>
  <si>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</si>
  <si>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</si>
  <si>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</si>
  <si>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</si>
  <si>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</si>
  <si>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</si>
  <si>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</si>
  <si>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</si>
  <si>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</si>
  <si>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</si>
  <si>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</si>
  <si>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</si>
  <si>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</si>
  <si>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</si>
  <si>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</si>
  <si>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</si>
  <si>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</si>
  <si>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</si>
  <si>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</si>
  <si>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</si>
  <si>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</si>
  <si>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</si>
  <si>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</si>
  <si>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</si>
  <si>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</si>
  <si>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</si>
  <si>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</si>
  <si>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</si>
  <si>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</si>
  <si>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</si>
  <si>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</si>
  <si>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</si>
  <si>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</si>
  <si>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</si>
  <si>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</si>
  <si>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</si>
  <si>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</si>
  <si>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</si>
  <si>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</si>
  <si>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</si>
  <si>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</si>
  <si>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</si>
  <si>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</si>
  <si>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</si>
  <si>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</si>
  <si>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</si>
  <si>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</si>
  <si>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</si>
  <si>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</si>
  <si>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</si>
  <si>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</si>
  <si>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</si>
  <si>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</si>
  <si>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</si>
  <si>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</si>
  <si>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</si>
  <si>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</si>
  <si>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</si>
  <si>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</si>
  <si>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</si>
  <si>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</si>
  <si>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</si>
  <si>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</si>
  <si>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</si>
  <si>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</si>
  <si>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</si>
  <si>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</si>
  <si>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</si>
  <si>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</si>
  <si>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</si>
  <si>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</si>
  <si>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</si>
  <si>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</si>
  <si>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</si>
  <si>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</si>
  <si>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</si>
  <si>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</si>
  <si>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</si>
  <si>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</si>
  <si>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</si>
  <si>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</si>
  <si>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</si>
  <si>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</si>
  <si>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</si>
  <si>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</si>
  <si>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</si>
  <si>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</si>
  <si>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</si>
  <si>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</si>
  <si>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</si>
  <si>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</si>
  <si>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</si>
  <si>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</si>
  <si>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</si>
  <si>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</si>
  <si>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</si>
  <si>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</si>
  <si>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</si>
  <si>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</si>
  <si>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</si>
  <si>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</si>
  <si>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</si>
  <si>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</si>
  <si>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</si>
  <si>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</si>
  <si>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</si>
  <si>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</si>
  <si>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</si>
  <si>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</si>
  <si>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</si>
  <si>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</si>
  <si>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</si>
  <si>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</si>
  <si>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</si>
  <si>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</si>
  <si>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</si>
  <si>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</si>
  <si>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</si>
  <si>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</si>
  <si>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</si>
  <si>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</si>
  <si>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</si>
  <si>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</si>
  <si>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</si>
  <si>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</si>
  <si>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</si>
  <si>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</si>
  <si>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</si>
  <si>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</si>
  <si>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</si>
  <si>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</si>
  <si>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</si>
  <si>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</si>
  <si>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</si>
  <si>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</si>
  <si>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</si>
  <si>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</si>
  <si>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</si>
  <si>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</si>
  <si>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</si>
  <si>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</si>
  <si>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</si>
  <si>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</si>
  <si>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</si>
  <si>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</si>
  <si>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</si>
  <si>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</si>
  <si>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</si>
  <si>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</si>
  <si>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</si>
  <si>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</si>
  <si>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</si>
  <si>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</si>
  <si>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</si>
  <si>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</si>
  <si>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</si>
  <si>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</si>
  <si>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</si>
  <si>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</si>
  <si>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</si>
  <si>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</si>
  <si>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</si>
  <si>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</si>
  <si>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</si>
  <si>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</si>
  <si>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</si>
  <si>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</si>
  <si>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</si>
  <si>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</si>
  <si>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</si>
  <si>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</si>
  <si>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</si>
  <si>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</si>
  <si>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</si>
  <si>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</si>
  <si>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</si>
  <si>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</si>
  <si>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</si>
  <si>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</si>
  <si>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</si>
  <si>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</si>
  <si>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</si>
  <si>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</si>
  <si>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</si>
  <si>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</si>
  <si>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</si>
  <si>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</si>
  <si>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</si>
  <si>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</si>
  <si>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</si>
  <si>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</si>
  <si>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</si>
  <si>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</si>
  <si>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</si>
  <si>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</si>
  <si>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</si>
  <si>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</si>
  <si>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</si>
  <si>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</si>
  <si>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</si>
  <si>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</si>
  <si>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</si>
  <si>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</si>
  <si>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</si>
  <si>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</si>
  <si>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</si>
  <si>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</si>
  <si>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</si>
  <si>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</si>
  <si>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</si>
  <si>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</si>
  <si>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</si>
  <si>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</si>
  <si>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</si>
  <si>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</si>
  <si>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</si>
  <si>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</si>
  <si>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</si>
  <si>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</si>
  <si>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</si>
  <si>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</si>
  <si>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</si>
  <si>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</si>
  <si>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</si>
  <si>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</si>
  <si>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</si>
  <si>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</si>
  <si>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</si>
  <si>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</si>
  <si>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</si>
  <si>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</si>
  <si>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</si>
  <si>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</si>
  <si>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</si>
  <si>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</si>
  <si>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</si>
  <si>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</si>
  <si>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</si>
  <si>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</si>
  <si>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</si>
  <si>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</si>
  <si>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</si>
  <si>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</si>
  <si>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</si>
  <si>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</si>
  <si>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</si>
  <si>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</si>
  <si>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</si>
  <si>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</si>
  <si>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</si>
  <si>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</si>
  <si>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</si>
  <si>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</si>
  <si>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</si>
  <si>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</si>
  <si>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</si>
  <si>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</si>
  <si>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</si>
  <si>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</si>
  <si>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</si>
  <si>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</si>
  <si>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</si>
  <si>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</si>
  <si>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</si>
  <si>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</si>
  <si>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</si>
  <si>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</si>
  <si>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</si>
  <si>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</si>
  <si>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</si>
  <si>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</si>
  <si>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</si>
  <si>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</si>
  <si>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</si>
  <si>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</si>
  <si>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</si>
  <si>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</si>
  <si>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</si>
  <si>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</si>
  <si>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</si>
  <si>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</si>
  <si>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</si>
  <si>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</si>
  <si>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</si>
  <si>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</si>
  <si>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</si>
  <si>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</si>
  <si>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</si>
  <si>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</si>
  <si>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</si>
  <si>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</si>
  <si>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</si>
  <si>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</si>
  <si>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</si>
  <si>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</si>
  <si>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</si>
  <si>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</si>
  <si>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</si>
  <si>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</si>
  <si>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</si>
  <si>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</si>
  <si>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</si>
  <si>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</si>
  <si>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</si>
  <si>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</si>
  <si>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</si>
  <si>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</si>
  <si>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</si>
  <si>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</si>
  <si>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</si>
  <si>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</si>
  <si>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</si>
  <si>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</si>
  <si>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</si>
  <si>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</si>
  <si>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</si>
  <si>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</si>
  <si>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</si>
  <si>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</si>
  <si>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</si>
  <si>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</si>
  <si>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</si>
  <si>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</si>
  <si>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</si>
  <si>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</si>
  <si>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</si>
  <si>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</si>
  <si>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</si>
  <si>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</si>
  <si>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</si>
  <si>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</si>
  <si>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</si>
  <si>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</si>
  <si>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</si>
  <si>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</si>
  <si>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</si>
  <si>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</si>
  <si>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</si>
  <si>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</si>
  <si>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</si>
  <si>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</si>
  <si>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</si>
  <si>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</si>
  <si>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</si>
  <si>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</si>
  <si>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</si>
  <si>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</si>
  <si>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</si>
  <si>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</si>
  <si>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</si>
  <si>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</si>
  <si>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</si>
  <si>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</si>
  <si>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</si>
  <si>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</si>
  <si>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</si>
  <si>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</si>
  <si>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</si>
  <si>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</si>
  <si>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</si>
  <si>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</si>
  <si>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</si>
  <si>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</si>
  <si>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</si>
  <si>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</si>
  <si>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</si>
  <si>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</si>
  <si>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</si>
  <si>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</si>
  <si>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</si>
  <si>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</si>
  <si>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</si>
  <si>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</si>
  <si>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</si>
  <si>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</si>
  <si>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</si>
  <si>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</si>
  <si>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</si>
  <si>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</si>
  <si>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</si>
  <si>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</si>
  <si>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</si>
  <si>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</si>
  <si>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</si>
  <si>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</si>
  <si>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</si>
  <si>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</si>
  <si>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</si>
  <si>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</si>
  <si>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</si>
  <si>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</si>
  <si>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</si>
  <si>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</si>
  <si>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</si>
  <si>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</si>
  <si>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</si>
  <si>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</si>
  <si>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</si>
  <si>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</si>
  <si>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</si>
  <si>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</si>
  <si>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</si>
  <si>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</si>
  <si>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</si>
  <si>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</si>
  <si>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</si>
  <si>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</si>
  <si>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</si>
  <si>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</si>
  <si>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</si>
  <si>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</si>
  <si>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</si>
  <si>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</si>
  <si>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</si>
  <si>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</si>
  <si>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</si>
  <si>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</si>
  <si>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</si>
  <si>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</si>
  <si>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</si>
  <si>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</si>
  <si>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</si>
  <si>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</si>
  <si>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</si>
  <si>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</si>
  <si>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</si>
  <si>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</si>
  <si>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</si>
  <si>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</si>
  <si>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</si>
  <si>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</si>
  <si>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</si>
  <si>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</si>
  <si>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</si>
  <si>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</si>
  <si>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</si>
  <si>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</si>
  <si>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</si>
  <si>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</si>
  <si>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</si>
  <si>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</si>
  <si>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</si>
  <si>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</si>
  <si>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</si>
  <si>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</si>
  <si>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</si>
  <si>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</si>
  <si>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</si>
  <si>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</si>
  <si>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</si>
  <si>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</si>
  <si>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</si>
  <si>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</si>
  <si>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</si>
  <si>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</si>
  <si>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</si>
  <si>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</si>
  <si>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</si>
  <si>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</si>
  <si>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</si>
  <si>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</si>
  <si>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</si>
  <si>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</si>
  <si>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</si>
  <si>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</si>
  <si>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</si>
  <si>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</si>
  <si>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</si>
  <si>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</si>
  <si>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</si>
  <si>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</si>
  <si>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</si>
  <si>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</si>
  <si>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</si>
  <si>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</si>
  <si>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</si>
  <si>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</si>
  <si>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</si>
  <si>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</si>
  <si>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</si>
  <si>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</si>
  <si>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</si>
  <si>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</si>
  <si>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</si>
  <si>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</si>
  <si>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</si>
  <si>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</si>
  <si>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</si>
  <si>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</si>
  <si>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</si>
  <si>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</si>
  <si>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</si>
  <si>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</si>
  <si>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</si>
  <si>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</si>
  <si>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</si>
  <si>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</si>
  <si>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</si>
  <si>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</si>
  <si>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</si>
  <si>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</si>
  <si>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</si>
  <si>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</si>
  <si>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</si>
  <si>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</si>
  <si>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</si>
  <si>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</si>
  <si>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</si>
  <si>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</si>
  <si>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</si>
  <si>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</si>
  <si>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</si>
  <si>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</si>
  <si>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</si>
  <si>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</si>
  <si>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</si>
  <si>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</si>
  <si>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</si>
  <si>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</si>
  <si>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</si>
  <si>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</si>
  <si>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</si>
  <si>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</si>
  <si>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</si>
  <si>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</si>
  <si>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</si>
  <si>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</si>
  <si>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</si>
  <si>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</si>
  <si>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</si>
  <si>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</si>
  <si>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</si>
  <si>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</si>
  <si>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</si>
  <si>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</si>
  <si>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</si>
  <si>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</si>
  <si>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</si>
  <si>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</si>
  <si>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</si>
  <si>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</si>
  <si>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</si>
  <si>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</si>
  <si>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</si>
  <si>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</si>
  <si>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</si>
  <si>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</si>
  <si>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</si>
  <si>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</si>
  <si>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</si>
  <si>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</si>
  <si>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</si>
  <si>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</si>
  <si>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</si>
  <si>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</si>
  <si>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</si>
  <si>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</si>
  <si>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</si>
  <si>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</si>
  <si>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</si>
  <si>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</si>
  <si>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</si>
  <si>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</si>
  <si>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</si>
  <si>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</si>
  <si>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</si>
  <si>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</si>
  <si>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</si>
  <si>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</si>
  <si>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</si>
  <si>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</si>
  <si>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</si>
  <si>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</si>
  <si>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</si>
  <si>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</si>
  <si>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</si>
  <si>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</si>
  <si>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</si>
  <si>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</si>
  <si>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</si>
  <si>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</si>
  <si>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</si>
  <si>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</si>
  <si>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</si>
  <si>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</si>
  <si>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</si>
  <si>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</si>
  <si>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</si>
  <si>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</si>
  <si>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</si>
  <si>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</si>
  <si>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</si>
  <si>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</si>
  <si>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</si>
  <si>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</si>
  <si>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</si>
  <si>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</si>
  <si>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</si>
  <si>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</si>
  <si>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</si>
  <si>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</si>
  <si>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</si>
  <si>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</si>
  <si>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</si>
  <si>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</si>
  <si>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</si>
  <si>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</si>
  <si>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</si>
  <si>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</si>
  <si>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</si>
  <si>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</si>
  <si>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</si>
  <si>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</si>
  <si>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</si>
  <si>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</si>
  <si>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</si>
  <si>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</si>
  <si>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</si>
  <si>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</si>
  <si>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</si>
  <si>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</si>
  <si>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</si>
  <si>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</si>
  <si>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</si>
  <si>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</si>
  <si>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</si>
  <si>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</si>
  <si>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</si>
  <si>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</si>
  <si>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</si>
  <si>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</si>
  <si>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</si>
  <si>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</si>
  <si>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</si>
  <si>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</si>
  <si>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</si>
  <si>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</si>
  <si>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</si>
  <si>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</si>
  <si>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</si>
  <si>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</si>
  <si>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</si>
  <si>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</si>
  <si>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</si>
  <si>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</si>
  <si>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</si>
  <si>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</si>
  <si>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</si>
  <si>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</si>
  <si>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</si>
  <si>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</si>
  <si>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</si>
  <si>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</si>
  <si>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</si>
  <si>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</si>
  <si>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</si>
  <si>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</si>
  <si>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</si>
  <si>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</si>
  <si>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</si>
  <si>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</si>
  <si>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</si>
  <si>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</si>
  <si>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</si>
  <si>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</si>
  <si>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</si>
  <si>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</si>
  <si>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</si>
  <si>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</si>
  <si>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</si>
  <si>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</si>
  <si>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</si>
  <si>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</si>
  <si>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</si>
  <si>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</si>
  <si>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</si>
  <si>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</si>
  <si>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</si>
  <si>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</si>
  <si>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</si>
  <si>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</si>
  <si>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</si>
  <si>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</si>
  <si>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</si>
  <si>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</si>
  <si>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</si>
  <si>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</si>
  <si>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</si>
  <si>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</si>
  <si>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</si>
  <si>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</si>
  <si>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</si>
  <si>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</si>
  <si>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</si>
  <si>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</si>
  <si>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</si>
  <si>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</si>
  <si>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</si>
  <si>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</si>
  <si>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</si>
  <si>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</si>
  <si>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</si>
  <si>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</si>
  <si>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</si>
  <si>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</si>
  <si>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</si>
  <si>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</si>
  <si>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</si>
  <si>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</si>
  <si>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</si>
  <si>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</si>
  <si>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</si>
  <si>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</si>
  <si>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</si>
  <si>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</si>
  <si>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</si>
  <si>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</si>
  <si>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</si>
  <si>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</si>
  <si>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</si>
  <si>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</si>
  <si>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</si>
  <si>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</si>
  <si>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</si>
  <si>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</si>
  <si>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</si>
  <si>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</si>
  <si>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</si>
  <si>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</si>
  <si>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</si>
  <si>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</si>
  <si>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</si>
  <si>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</si>
  <si>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</si>
  <si>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</si>
  <si>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</si>
  <si>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</si>
  <si>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</si>
  <si>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</si>
  <si>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</si>
  <si>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</si>
  <si>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</si>
  <si>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</si>
  <si>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</si>
  <si>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</si>
  <si>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</si>
  <si>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</si>
  <si>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</si>
  <si>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 xml:space="preserve"> </t>
  </si>
  <si>
    <t>2017</t>
  </si>
  <si>
    <t>172</t>
  </si>
  <si>
    <t>Morton General Hospital</t>
  </si>
  <si>
    <t>521 Adams Ave</t>
  </si>
  <si>
    <t>PO Box 1138</t>
  </si>
  <si>
    <t>Morton WA 98356</t>
  </si>
  <si>
    <t>Lewis</t>
  </si>
  <si>
    <t>Leianne Everett</t>
  </si>
  <si>
    <t>Richard Boggess</t>
  </si>
  <si>
    <t>Shelly Fritz</t>
  </si>
  <si>
    <t>360-496-5112</t>
  </si>
  <si>
    <t>360-496-3511</t>
  </si>
  <si>
    <t>Reducing our non-skilled swing bed census in 2018</t>
  </si>
  <si>
    <t>Changed prior year since was total surg time, now able to break out Anes time from Surg time.</t>
  </si>
  <si>
    <t>173</t>
  </si>
  <si>
    <t>Arbor Health</t>
  </si>
  <si>
    <t>Morton, WA 98356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</si>
</sst>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37" fontId="15" fillId="0" borderId="0"/>
    <xf numFmtId="9" fontId="2" fillId="0" borderId="0" applyFont="0" applyFill="0" applyBorder="0" applyAlignment="0" applyProtection="0"/>
    <xf numFmtId="37" fontId="15" fillId="0" borderId="0"/>
    <xf numFmtId="37" fontId="15" fillId="0" borderId="0"/>
    <xf numFmtId="37" fontId="15" fillId="0" borderId="0"/>
    <xf numFmtId="43" fontId="1" fillId="0" borderId="0" applyFont="0" applyFill="0" applyBorder="0" applyAlignment="0" applyProtection="0"/>
    <xf numFmtId="37" fontId="15" fillId="0" borderId="0"/>
  </cellStyleXfs>
  <cellXfs count="277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4" fillId="7" borderId="0" xfId="0" applyFont="1" applyFill="1" applyProtection="1"/>
    <xf numFmtId="37" fontId="4" fillId="7" borderId="0" xfId="0" quotePrefix="1" applyFont="1" applyFill="1" applyAlignment="1" applyProtection="1">
      <alignment horizontal="left"/>
    </xf>
    <xf numFmtId="38" fontId="4" fillId="7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8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49" fontId="10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/>
    <xf numFmtId="38" fontId="4" fillId="8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49" fontId="10" fillId="4" borderId="1" xfId="0" quotePrefix="1" applyNumberFormat="1" applyFont="1" applyFill="1" applyBorder="1" applyAlignment="1" applyProtection="1">
      <alignment horizontal="left"/>
      <protection locked="0"/>
    </xf>
    <xf numFmtId="37" fontId="10" fillId="3" borderId="0" xfId="0" applyFont="1" applyFill="1" applyAlignment="1" applyProtection="1">
      <alignment horizontal="center" vertical="center"/>
    </xf>
  </cellXfs>
  <cellStyles count="11">
    <cellStyle name="Comma" xfId="1" builtinId="3"/>
    <cellStyle name="Comma 10 10" xfId="9"/>
    <cellStyle name="Hyperlink" xfId="2" builtinId="8"/>
    <cellStyle name="Normal" xfId="0" builtinId="0"/>
    <cellStyle name="Normal 11" xfId="4"/>
    <cellStyle name="Normal 557" xfId="6"/>
    <cellStyle name="Normal 561" xfId="7"/>
    <cellStyle name="Normal 568" xfId="8"/>
    <cellStyle name="Normal 576" xfId="10"/>
    <cellStyle name="Percent" xfId="3" builtinId="5"/>
    <cellStyle name="Percent 460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968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969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993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964</v>
      </c>
      <c r="C10" s="232"/>
    </row>
    <row r="11" spans="1:6" ht="12.75" customHeight="1" x14ac:dyDescent="0.25">
      <c r="A11" s="198" t="s">
        <v>967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995</v>
      </c>
      <c r="C16" s="232"/>
      <c r="F16" s="272" t="s">
        <v>994</v>
      </c>
    </row>
    <row r="17" spans="1:6" ht="12.75" customHeight="1" x14ac:dyDescent="0.25">
      <c r="A17" s="180" t="s">
        <v>966</v>
      </c>
      <c r="C17" s="272" t="s">
        <v>994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8" t="s">
        <v>970</v>
      </c>
      <c r="B20" s="268"/>
      <c r="C20" s="273"/>
      <c r="D20" s="268"/>
      <c r="E20" s="268"/>
      <c r="F20" s="268"/>
    </row>
    <row r="21" spans="1:6" ht="22.5" customHeight="1" x14ac:dyDescent="0.25">
      <c r="A21" s="199"/>
      <c r="C21" s="232"/>
    </row>
    <row r="22" spans="1:6" ht="12.6" customHeight="1" x14ac:dyDescent="0.25">
      <c r="A22" s="233" t="s">
        <v>990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971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972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973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974</v>
      </c>
      <c r="C36" s="232"/>
    </row>
    <row r="37" spans="1:83" ht="12.6" customHeight="1" x14ac:dyDescent="0.25">
      <c r="A37" s="199" t="s">
        <v>965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>
        <v>7130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>
        <v>170919</v>
      </c>
      <c r="F47" s="184"/>
      <c r="G47" s="184"/>
      <c r="H47" s="184"/>
      <c r="I47" s="184"/>
      <c r="J47" s="184"/>
      <c r="K47" s="184">
        <v>93696</v>
      </c>
      <c r="L47" s="184"/>
      <c r="M47" s="184"/>
      <c r="N47" s="184"/>
      <c r="O47" s="184"/>
      <c r="P47" s="184">
        <v>30693</v>
      </c>
      <c r="Q47" s="184"/>
      <c r="R47" s="184">
        <v>45732</v>
      </c>
      <c r="S47" s="184">
        <v>2630</v>
      </c>
      <c r="T47" s="184"/>
      <c r="U47" s="184">
        <v>59374</v>
      </c>
      <c r="V47" s="184"/>
      <c r="W47" s="184"/>
      <c r="X47" s="184"/>
      <c r="Y47" s="184">
        <v>64043</v>
      </c>
      <c r="Z47" s="184"/>
      <c r="AA47" s="184"/>
      <c r="AB47" s="184">
        <v>18798</v>
      </c>
      <c r="AC47" s="184">
        <f>23711+2087</f>
        <v>25798</v>
      </c>
      <c r="AD47" s="184"/>
      <c r="AE47" s="184">
        <v>48062</v>
      </c>
      <c r="AF47" s="184"/>
      <c r="AG47" s="184">
        <f>90603+39521</f>
        <v>130124</v>
      </c>
      <c r="AH47" s="184"/>
      <c r="AI47" s="184">
        <v>2035</v>
      </c>
      <c r="AJ47" s="184">
        <f>1163+200494</f>
        <v>201657</v>
      </c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>
        <f>13394+5449+7862</f>
        <v>26705</v>
      </c>
      <c r="AW47" s="184"/>
      <c r="AX47" s="184"/>
      <c r="AY47" s="184">
        <v>33951</v>
      </c>
      <c r="AZ47" s="184"/>
      <c r="BA47" s="184">
        <v>10661</v>
      </c>
      <c r="BB47" s="184">
        <v>10014</v>
      </c>
      <c r="BC47" s="184">
        <v>2447</v>
      </c>
      <c r="BD47" s="184">
        <v>11584</v>
      </c>
      <c r="BE47" s="184">
        <v>32611</v>
      </c>
      <c r="BF47" s="184">
        <v>30807</v>
      </c>
      <c r="BG47" s="184">
        <v>6329</v>
      </c>
      <c r="BH47" s="184">
        <f>24479+31519</f>
        <v>55998</v>
      </c>
      <c r="BI47" s="184"/>
      <c r="BJ47" s="184">
        <v>35425</v>
      </c>
      <c r="BK47" s="184">
        <v>51961</v>
      </c>
      <c r="BL47" s="184">
        <v>37342</v>
      </c>
      <c r="BM47" s="184"/>
      <c r="BN47" s="184">
        <v>60048</v>
      </c>
      <c r="BO47" s="184">
        <v>10562</v>
      </c>
      <c r="BP47" s="184"/>
      <c r="BQ47" s="184"/>
      <c r="BR47" s="184">
        <v>37212</v>
      </c>
      <c r="BS47" s="184"/>
      <c r="BT47" s="184"/>
      <c r="BU47" s="184"/>
      <c r="BV47" s="184">
        <v>14776</v>
      </c>
      <c r="BW47" s="184"/>
      <c r="BX47" s="184">
        <v>14250</v>
      </c>
      <c r="BY47" s="184">
        <v>40900</v>
      </c>
      <c r="BZ47" s="184"/>
      <c r="CA47" s="184"/>
      <c r="CB47" s="184"/>
      <c r="CC47" s="184">
        <f>1486+2651+22032+5765</f>
        <v>31934</v>
      </c>
      <c r="CD47" s="195"/>
      <c r="CE47" s="195">
        <f>SUM(C47:CC47)</f>
        <v>1449078</v>
      </c>
    </row>
    <row r="48" spans="1:83" ht="12.6" customHeight="1" x14ac:dyDescent="0.25">
      <c r="A48" s="175" t="s">
        <v>205</v>
      </c>
      <c r="B48" s="183">
        <f>1933538+86189-4</f>
        <v>2019723</v>
      </c>
      <c r="C48" s="241">
        <f>ROUND(((B48/CE61)*C61),0)</f>
        <v>0</v>
      </c>
      <c r="D48" s="241">
        <f>ROUND(((B48/CE61)*D61),0)</f>
        <v>0</v>
      </c>
      <c r="E48" s="195">
        <f>ROUND(((B48/CE61)*E61),0)</f>
        <v>257924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118298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35223</v>
      </c>
      <c r="Q48" s="195">
        <f>ROUND(((B48/CE61)*Q61),0)</f>
        <v>0</v>
      </c>
      <c r="R48" s="195">
        <f>ROUND(((B48/CE61)*R61),0)</f>
        <v>59546</v>
      </c>
      <c r="S48" s="195">
        <f>ROUND(((B48/CE61)*S61),0)</f>
        <v>5006</v>
      </c>
      <c r="T48" s="195">
        <f>ROUND(((B48/CE61)*T61),0)</f>
        <v>0</v>
      </c>
      <c r="U48" s="195">
        <f>ROUND(((B48/CE61)*U61),0)</f>
        <v>73482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72898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30214</v>
      </c>
      <c r="AC48" s="195">
        <f>ROUND(((B48/CE61)*AC61),0)</f>
        <v>33260</v>
      </c>
      <c r="AD48" s="195">
        <f>ROUND(((B48/CE61)*AD61),0)</f>
        <v>0</v>
      </c>
      <c r="AE48" s="195">
        <f>ROUND(((B48/CE61)*AE61),0)</f>
        <v>140405</v>
      </c>
      <c r="AF48" s="195">
        <f>ROUND(((B48/CE61)*AF61),0)</f>
        <v>0</v>
      </c>
      <c r="AG48" s="195">
        <f>ROUND(((B48/CE61)*AG61),0)</f>
        <v>184696</v>
      </c>
      <c r="AH48" s="195">
        <f>ROUND(((B48/CE61)*AH61),0)</f>
        <v>0</v>
      </c>
      <c r="AI48" s="195">
        <f>ROUND(((B48/CE61)*AI61),0)</f>
        <v>2024</v>
      </c>
      <c r="AJ48" s="195">
        <f>ROUND(((B48/CE61)*AJ61),0)</f>
        <v>323203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33500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42525</v>
      </c>
      <c r="AZ48" s="195">
        <f>ROUND(((B48/CE61)*AZ61),0)</f>
        <v>0</v>
      </c>
      <c r="BA48" s="195">
        <f>ROUND(((B48/CE61)*BA61),0)</f>
        <v>12639</v>
      </c>
      <c r="BB48" s="195">
        <f>ROUND(((B48/CE61)*BB61),0)</f>
        <v>9422</v>
      </c>
      <c r="BC48" s="195">
        <f>ROUND(((B48/CE61)*BC61),0)</f>
        <v>4246</v>
      </c>
      <c r="BD48" s="195">
        <f>ROUND(((B48/CE61)*BD61),0)</f>
        <v>11539</v>
      </c>
      <c r="BE48" s="195">
        <f>ROUND(((B48/CE61)*BE61),0)</f>
        <v>43626</v>
      </c>
      <c r="BF48" s="195">
        <f>ROUND(((B48/CE61)*BF61),0)</f>
        <v>45772</v>
      </c>
      <c r="BG48" s="195">
        <f>ROUND(((B48/CE61)*BG61),0)</f>
        <v>6467</v>
      </c>
      <c r="BH48" s="195">
        <f>ROUND(((B48/CE61)*BH61),0)</f>
        <v>72128</v>
      </c>
      <c r="BI48" s="195">
        <f>ROUND(((B48/CE61)*BI61),0)</f>
        <v>0</v>
      </c>
      <c r="BJ48" s="195">
        <f>ROUND(((B48/CE61)*BJ61),0)</f>
        <v>36855</v>
      </c>
      <c r="BK48" s="195">
        <f>ROUND(((B48/CE61)*BK61),0)</f>
        <v>63703</v>
      </c>
      <c r="BL48" s="195">
        <f>ROUND(((B48/CE61)*BL61),0)</f>
        <v>47921</v>
      </c>
      <c r="BM48" s="195">
        <f>ROUND(((B48/CE61)*BM61),0)</f>
        <v>0</v>
      </c>
      <c r="BN48" s="195">
        <f>ROUND(((B48/CE61)*BN61),0)</f>
        <v>83354</v>
      </c>
      <c r="BO48" s="195">
        <f>ROUND(((B48/CE61)*BO61),0)</f>
        <v>11494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33446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20100</v>
      </c>
      <c r="BW48" s="195">
        <f>ROUND(((B48/CE61)*BW61),0)</f>
        <v>0</v>
      </c>
      <c r="BX48" s="195">
        <f>ROUND(((B48/CE61)*BX61),0)</f>
        <v>14390</v>
      </c>
      <c r="BY48" s="195">
        <f>ROUND(((B48/CE61)*BY61),0)</f>
        <v>53970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36448</v>
      </c>
      <c r="CD48" s="195"/>
      <c r="CE48" s="195">
        <f>SUM(C48:CD48)</f>
        <v>2019724</v>
      </c>
    </row>
    <row r="49" spans="1:84" ht="12.6" customHeight="1" x14ac:dyDescent="0.25">
      <c r="A49" s="175" t="s">
        <v>206</v>
      </c>
      <c r="B49" s="195">
        <f>B47+B48</f>
        <v>2019723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1753600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409851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28973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23541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54839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11133</v>
      </c>
      <c r="AC52" s="195">
        <f>ROUND((B52/(CE76+CF76)*AC76),0)</f>
        <v>22177</v>
      </c>
      <c r="AD52" s="195">
        <f>ROUND((B52/(CE76+CF76)*AD76),0)</f>
        <v>0</v>
      </c>
      <c r="AE52" s="195">
        <f>ROUND((B52/(CE76+CF76)*AE76),0)</f>
        <v>63178</v>
      </c>
      <c r="AF52" s="195">
        <f>ROUND((B52/(CE76+CF76)*AF76),0)</f>
        <v>0</v>
      </c>
      <c r="AG52" s="195">
        <f>ROUND((B52/(CE76+CF76)*AG76),0)</f>
        <v>79095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180457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74065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62954</v>
      </c>
      <c r="AZ52" s="195">
        <f>ROUND((B52/(CE76+CF76)*AZ76),0)</f>
        <v>0</v>
      </c>
      <c r="BA52" s="195">
        <f>ROUND((B52/(CE76+CF76)*BA76),0)</f>
        <v>15135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16856</v>
      </c>
      <c r="BE52" s="195">
        <f>ROUND((B52/(CE76+CF76)*BE76),0)</f>
        <v>541774</v>
      </c>
      <c r="BF52" s="195">
        <f>ROUND((B52/(CE76+CF76)*BF76),0)</f>
        <v>8920</v>
      </c>
      <c r="BG52" s="195">
        <f>ROUND((B52/(CE76+CF76)*BG76),0)</f>
        <v>10194</v>
      </c>
      <c r="BH52" s="195">
        <f>ROUND((B52/(CE76+CF76)*BH76),0)</f>
        <v>1788</v>
      </c>
      <c r="BI52" s="195">
        <f>ROUND((B52/(CE76+CF76)*BI76),0)</f>
        <v>0</v>
      </c>
      <c r="BJ52" s="195">
        <f>ROUND((B52/(CE76+CF76)*BJ76),0)</f>
        <v>30628</v>
      </c>
      <c r="BK52" s="195">
        <f>ROUND((B52/(CE76+CF76)*BK76),0)</f>
        <v>30628</v>
      </c>
      <c r="BL52" s="195">
        <f>ROUND((B52/(CE76+CF76)*BL76),0)</f>
        <v>13771</v>
      </c>
      <c r="BM52" s="195">
        <f>ROUND((B52/(CE76+CF76)*BM76),0)</f>
        <v>0</v>
      </c>
      <c r="BN52" s="195">
        <f>ROUND((B52/(CE76+CF76)*BN76),0)</f>
        <v>19919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12564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25352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15806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1753598</v>
      </c>
    </row>
    <row r="53" spans="1:84" ht="12.6" customHeight="1" x14ac:dyDescent="0.25">
      <c r="A53" s="175" t="s">
        <v>206</v>
      </c>
      <c r="B53" s="195">
        <f>B51+B52</f>
        <v>1753600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631</v>
      </c>
      <c r="F59" s="184"/>
      <c r="G59" s="184"/>
      <c r="H59" s="184"/>
      <c r="I59" s="184"/>
      <c r="J59" s="184"/>
      <c r="K59" s="184">
        <f>1366+2723</f>
        <v>4089</v>
      </c>
      <c r="L59" s="184" t="s">
        <v>1002</v>
      </c>
      <c r="M59" s="184"/>
      <c r="N59" s="184"/>
      <c r="O59" s="184"/>
      <c r="P59" s="185">
        <v>12536</v>
      </c>
      <c r="Q59" s="185"/>
      <c r="R59" s="185">
        <v>21310</v>
      </c>
      <c r="S59" s="244"/>
      <c r="T59" s="244"/>
      <c r="U59" s="220">
        <v>44807</v>
      </c>
      <c r="V59" s="185"/>
      <c r="W59" s="185">
        <v>277</v>
      </c>
      <c r="X59" s="185">
        <v>1589</v>
      </c>
      <c r="Y59" s="185">
        <f>3944-63+569</f>
        <v>4450</v>
      </c>
      <c r="Z59" s="185"/>
      <c r="AA59" s="185">
        <v>63</v>
      </c>
      <c r="AB59" s="244"/>
      <c r="AC59" s="185">
        <v>9815</v>
      </c>
      <c r="AD59" s="185"/>
      <c r="AE59" s="185">
        <v>21340</v>
      </c>
      <c r="AF59" s="185"/>
      <c r="AG59" s="185">
        <v>4721</v>
      </c>
      <c r="AH59" s="185"/>
      <c r="AI59" s="185"/>
      <c r="AJ59" s="185">
        <v>12631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4"/>
      <c r="AW59" s="244"/>
      <c r="AX59" s="244"/>
      <c r="AY59" s="185">
        <v>58125</v>
      </c>
      <c r="AZ59" s="185" t="s">
        <v>1002</v>
      </c>
      <c r="BA59" s="244"/>
      <c r="BB59" s="244"/>
      <c r="BC59" s="244"/>
      <c r="BD59" s="244"/>
      <c r="BE59" s="185">
        <v>78440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/>
      <c r="D60" s="187"/>
      <c r="E60" s="187">
        <v>18</v>
      </c>
      <c r="F60" s="219"/>
      <c r="G60" s="187"/>
      <c r="H60" s="187"/>
      <c r="I60" s="187"/>
      <c r="J60" s="219"/>
      <c r="K60" s="187">
        <v>16</v>
      </c>
      <c r="L60" s="187"/>
      <c r="M60" s="187"/>
      <c r="N60" s="187"/>
      <c r="O60" s="187"/>
      <c r="P60" s="217">
        <v>2</v>
      </c>
      <c r="Q60" s="217"/>
      <c r="R60" s="217"/>
      <c r="S60" s="217">
        <v>1</v>
      </c>
      <c r="T60" s="217"/>
      <c r="U60" s="217">
        <v>7</v>
      </c>
      <c r="V60" s="217"/>
      <c r="W60" s="217"/>
      <c r="X60" s="217"/>
      <c r="Y60" s="217">
        <v>6</v>
      </c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/>
      <c r="AZ60" s="217"/>
      <c r="BA60" s="217"/>
      <c r="BB60" s="217"/>
      <c r="BC60" s="217"/>
      <c r="BD60" s="217"/>
      <c r="BE60" s="217"/>
      <c r="BF60" s="217"/>
      <c r="BG60" s="217"/>
      <c r="BH60" s="217"/>
      <c r="BI60" s="217"/>
      <c r="BJ60" s="217"/>
      <c r="BK60" s="217"/>
      <c r="BL60" s="217"/>
      <c r="BM60" s="217"/>
      <c r="BN60" s="217"/>
      <c r="BO60" s="217"/>
      <c r="BP60" s="217"/>
      <c r="BQ60" s="217"/>
      <c r="BR60" s="217"/>
      <c r="BS60" s="217"/>
      <c r="BT60" s="217"/>
      <c r="BU60" s="217"/>
      <c r="BV60" s="217"/>
      <c r="BW60" s="217"/>
      <c r="BX60" s="217"/>
      <c r="BY60" s="217"/>
      <c r="BZ60" s="217"/>
      <c r="CA60" s="217"/>
      <c r="CB60" s="217"/>
      <c r="CC60" s="217"/>
      <c r="CD60" s="245" t="s">
        <v>221</v>
      </c>
      <c r="CE60" s="247">
        <f t="shared" ref="CE60:CE70" si="0">SUM(C60:CD60)</f>
        <v>50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1890861</v>
      </c>
      <c r="F61" s="185"/>
      <c r="G61" s="184"/>
      <c r="H61" s="184"/>
      <c r="I61" s="185"/>
      <c r="J61" s="185"/>
      <c r="K61" s="185">
        <v>867248</v>
      </c>
      <c r="L61" s="185"/>
      <c r="M61" s="184"/>
      <c r="N61" s="184"/>
      <c r="O61" s="184"/>
      <c r="P61" s="185">
        <v>258224</v>
      </c>
      <c r="Q61" s="185"/>
      <c r="R61" s="185">
        <f>-25154+461693</f>
        <v>436539</v>
      </c>
      <c r="S61" s="185">
        <v>36698</v>
      </c>
      <c r="T61" s="185"/>
      <c r="U61" s="185">
        <v>538702</v>
      </c>
      <c r="V61" s="185"/>
      <c r="W61" s="185"/>
      <c r="X61" s="185"/>
      <c r="Y61" s="185">
        <v>534420</v>
      </c>
      <c r="Z61" s="185"/>
      <c r="AA61" s="185"/>
      <c r="AB61" s="185">
        <v>221499</v>
      </c>
      <c r="AC61" s="185">
        <f>193692+50138</f>
        <v>243830</v>
      </c>
      <c r="AD61" s="185"/>
      <c r="AE61" s="185">
        <v>1029315</v>
      </c>
      <c r="AF61" s="185"/>
      <c r="AG61" s="185">
        <f>840325+513692</f>
        <v>1354017</v>
      </c>
      <c r="AH61" s="185"/>
      <c r="AI61" s="185">
        <v>14841</v>
      </c>
      <c r="AJ61" s="185">
        <f>112899+2256526</f>
        <v>2369425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f>95003+47696+102891</f>
        <v>245590</v>
      </c>
      <c r="AW61" s="185"/>
      <c r="AX61" s="185"/>
      <c r="AY61" s="185">
        <v>311750</v>
      </c>
      <c r="AZ61" s="185"/>
      <c r="BA61" s="185">
        <v>92655</v>
      </c>
      <c r="BB61" s="185">
        <v>69074</v>
      </c>
      <c r="BC61" s="185">
        <v>31130</v>
      </c>
      <c r="BD61" s="185">
        <v>84595</v>
      </c>
      <c r="BE61" s="185">
        <v>319827</v>
      </c>
      <c r="BF61" s="185">
        <v>335554</v>
      </c>
      <c r="BG61" s="185">
        <v>47408</v>
      </c>
      <c r="BH61" s="185">
        <f>208058+320715</f>
        <v>528773</v>
      </c>
      <c r="BI61" s="185"/>
      <c r="BJ61" s="185">
        <v>270187</v>
      </c>
      <c r="BK61" s="185">
        <v>467014</v>
      </c>
      <c r="BL61" s="185">
        <v>351309</v>
      </c>
      <c r="BM61" s="185"/>
      <c r="BN61" s="185">
        <v>611073</v>
      </c>
      <c r="BO61" s="185">
        <v>84262</v>
      </c>
      <c r="BP61" s="185"/>
      <c r="BQ61" s="185"/>
      <c r="BR61" s="185">
        <v>245196</v>
      </c>
      <c r="BS61" s="185"/>
      <c r="BT61" s="185"/>
      <c r="BU61" s="185"/>
      <c r="BV61" s="185">
        <v>147352</v>
      </c>
      <c r="BW61" s="185"/>
      <c r="BX61" s="185">
        <v>105494</v>
      </c>
      <c r="BY61" s="185">
        <v>395659</v>
      </c>
      <c r="BZ61" s="185"/>
      <c r="CA61" s="185"/>
      <c r="CB61" s="185"/>
      <c r="CC61" s="185">
        <f>18994+20113+185133+42962+2</f>
        <v>267204</v>
      </c>
      <c r="CD61" s="245" t="s">
        <v>221</v>
      </c>
      <c r="CE61" s="195">
        <f t="shared" si="0"/>
        <v>14806725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428843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211994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65916</v>
      </c>
      <c r="Q62" s="195">
        <f t="shared" si="1"/>
        <v>0</v>
      </c>
      <c r="R62" s="195">
        <f t="shared" si="1"/>
        <v>105278</v>
      </c>
      <c r="S62" s="195">
        <f t="shared" si="1"/>
        <v>7636</v>
      </c>
      <c r="T62" s="195">
        <f t="shared" si="1"/>
        <v>0</v>
      </c>
      <c r="U62" s="195">
        <f t="shared" si="1"/>
        <v>132856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136941</v>
      </c>
      <c r="Z62" s="195">
        <f t="shared" si="1"/>
        <v>0</v>
      </c>
      <c r="AA62" s="195">
        <f t="shared" si="1"/>
        <v>0</v>
      </c>
      <c r="AB62" s="195">
        <f t="shared" si="1"/>
        <v>49012</v>
      </c>
      <c r="AC62" s="195">
        <f t="shared" si="1"/>
        <v>59058</v>
      </c>
      <c r="AD62" s="195">
        <f t="shared" si="1"/>
        <v>0</v>
      </c>
      <c r="AE62" s="195">
        <f t="shared" si="1"/>
        <v>188467</v>
      </c>
      <c r="AF62" s="195">
        <f t="shared" si="1"/>
        <v>0</v>
      </c>
      <c r="AG62" s="195">
        <f t="shared" si="1"/>
        <v>314820</v>
      </c>
      <c r="AH62" s="195">
        <f t="shared" si="1"/>
        <v>0</v>
      </c>
      <c r="AI62" s="195">
        <f t="shared" si="1"/>
        <v>4059</v>
      </c>
      <c r="AJ62" s="195">
        <f t="shared" si="1"/>
        <v>524860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60205</v>
      </c>
      <c r="AW62" s="195">
        <f t="shared" si="1"/>
        <v>0</v>
      </c>
      <c r="AX62" s="195">
        <f t="shared" si="1"/>
        <v>0</v>
      </c>
      <c r="AY62" s="195">
        <f>ROUND(AY47+AY48,0)</f>
        <v>76476</v>
      </c>
      <c r="AZ62" s="195">
        <f>ROUND(AZ47+AZ48,0)</f>
        <v>0</v>
      </c>
      <c r="BA62" s="195">
        <f>ROUND(BA47+BA48,0)</f>
        <v>23300</v>
      </c>
      <c r="BB62" s="195">
        <f t="shared" si="1"/>
        <v>19436</v>
      </c>
      <c r="BC62" s="195">
        <f t="shared" si="1"/>
        <v>6693</v>
      </c>
      <c r="BD62" s="195">
        <f t="shared" si="1"/>
        <v>23123</v>
      </c>
      <c r="BE62" s="195">
        <f t="shared" si="1"/>
        <v>76237</v>
      </c>
      <c r="BF62" s="195">
        <f t="shared" si="1"/>
        <v>76579</v>
      </c>
      <c r="BG62" s="195">
        <f t="shared" si="1"/>
        <v>12796</v>
      </c>
      <c r="BH62" s="195">
        <f t="shared" si="1"/>
        <v>128126</v>
      </c>
      <c r="BI62" s="195">
        <f t="shared" si="1"/>
        <v>0</v>
      </c>
      <c r="BJ62" s="195">
        <f t="shared" si="1"/>
        <v>72280</v>
      </c>
      <c r="BK62" s="195">
        <f t="shared" si="1"/>
        <v>115664</v>
      </c>
      <c r="BL62" s="195">
        <f t="shared" si="1"/>
        <v>85263</v>
      </c>
      <c r="BM62" s="195">
        <f t="shared" si="1"/>
        <v>0</v>
      </c>
      <c r="BN62" s="195">
        <f t="shared" si="1"/>
        <v>143402</v>
      </c>
      <c r="BO62" s="195">
        <f t="shared" ref="BO62:CC62" si="2">ROUND(BO47+BO48,0)</f>
        <v>22056</v>
      </c>
      <c r="BP62" s="195">
        <f t="shared" si="2"/>
        <v>0</v>
      </c>
      <c r="BQ62" s="195">
        <f t="shared" si="2"/>
        <v>0</v>
      </c>
      <c r="BR62" s="195">
        <f t="shared" si="2"/>
        <v>70658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34876</v>
      </c>
      <c r="BW62" s="195">
        <f t="shared" si="2"/>
        <v>0</v>
      </c>
      <c r="BX62" s="195">
        <f t="shared" si="2"/>
        <v>28640</v>
      </c>
      <c r="BY62" s="195">
        <f t="shared" si="2"/>
        <v>94870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68382</v>
      </c>
      <c r="CD62" s="245" t="s">
        <v>221</v>
      </c>
      <c r="CE62" s="195">
        <f t="shared" si="0"/>
        <v>3468802</v>
      </c>
      <c r="CF62" s="248"/>
    </row>
    <row r="63" spans="1:84" ht="12.6" customHeight="1" x14ac:dyDescent="0.25">
      <c r="A63" s="171" t="s">
        <v>236</v>
      </c>
      <c r="B63" s="175"/>
      <c r="C63" s="184"/>
      <c r="D63" s="184"/>
      <c r="E63" s="184">
        <v>-32031</v>
      </c>
      <c r="F63" s="185"/>
      <c r="G63" s="184"/>
      <c r="H63" s="184"/>
      <c r="I63" s="185"/>
      <c r="J63" s="185"/>
      <c r="K63" s="185">
        <v>310</v>
      </c>
      <c r="L63" s="185"/>
      <c r="M63" s="184"/>
      <c r="N63" s="184"/>
      <c r="O63" s="184"/>
      <c r="P63" s="185">
        <v>501</v>
      </c>
      <c r="Q63" s="185"/>
      <c r="R63" s="185"/>
      <c r="S63" s="185"/>
      <c r="T63" s="185"/>
      <c r="U63" s="185">
        <v>9184</v>
      </c>
      <c r="V63" s="185"/>
      <c r="W63" s="185"/>
      <c r="X63" s="185"/>
      <c r="Y63" s="185"/>
      <c r="Z63" s="185"/>
      <c r="AA63" s="185"/>
      <c r="AB63" s="185">
        <v>191353</v>
      </c>
      <c r="AC63" s="185">
        <f>72539+88082</f>
        <v>160621</v>
      </c>
      <c r="AD63" s="185"/>
      <c r="AE63" s="185">
        <v>645</v>
      </c>
      <c r="AF63" s="185"/>
      <c r="AG63" s="185">
        <f>38950+680262</f>
        <v>719212</v>
      </c>
      <c r="AH63" s="185"/>
      <c r="AI63" s="185"/>
      <c r="AJ63" s="185">
        <f>22256+369716</f>
        <v>391972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75594</v>
      </c>
      <c r="AW63" s="185"/>
      <c r="AX63" s="185"/>
      <c r="AY63" s="185">
        <v>10615</v>
      </c>
      <c r="AZ63" s="185"/>
      <c r="BA63" s="185"/>
      <c r="BB63" s="185"/>
      <c r="BC63" s="185"/>
      <c r="BD63" s="185"/>
      <c r="BE63" s="185">
        <v>550</v>
      </c>
      <c r="BF63" s="185"/>
      <c r="BG63" s="185"/>
      <c r="BH63" s="185">
        <v>106052</v>
      </c>
      <c r="BI63" s="185"/>
      <c r="BJ63" s="185">
        <v>71796</v>
      </c>
      <c r="BK63" s="185">
        <v>227575</v>
      </c>
      <c r="BL63" s="185"/>
      <c r="BM63" s="185"/>
      <c r="BN63" s="185">
        <v>71269</v>
      </c>
      <c r="BO63" s="185"/>
      <c r="BP63" s="185"/>
      <c r="BQ63" s="185"/>
      <c r="BR63" s="185">
        <v>99668</v>
      </c>
      <c r="BS63" s="185"/>
      <c r="BT63" s="185"/>
      <c r="BU63" s="185"/>
      <c r="BV63" s="185"/>
      <c r="BW63" s="185"/>
      <c r="BX63" s="185">
        <v>2000</v>
      </c>
      <c r="BY63" s="185"/>
      <c r="BZ63" s="185"/>
      <c r="CA63" s="185"/>
      <c r="CB63" s="185"/>
      <c r="CC63" s="185">
        <f>8415+2000</f>
        <v>10415</v>
      </c>
      <c r="CD63" s="245" t="s">
        <v>221</v>
      </c>
      <c r="CE63" s="195">
        <f t="shared" si="0"/>
        <v>2117301</v>
      </c>
      <c r="CF63" s="248"/>
    </row>
    <row r="64" spans="1:84" ht="12.6" customHeight="1" x14ac:dyDescent="0.25">
      <c r="A64" s="171" t="s">
        <v>237</v>
      </c>
      <c r="B64" s="175"/>
      <c r="C64" s="184"/>
      <c r="D64" s="184"/>
      <c r="E64" s="185">
        <v>55273</v>
      </c>
      <c r="F64" s="185"/>
      <c r="G64" s="184"/>
      <c r="H64" s="184"/>
      <c r="I64" s="185"/>
      <c r="J64" s="185"/>
      <c r="K64" s="185">
        <v>57721</v>
      </c>
      <c r="L64" s="185"/>
      <c r="M64" s="184"/>
      <c r="N64" s="184"/>
      <c r="O64" s="184"/>
      <c r="P64" s="185">
        <v>55951</v>
      </c>
      <c r="Q64" s="185"/>
      <c r="R64" s="185">
        <v>4758</v>
      </c>
      <c r="S64" s="185">
        <v>16704</v>
      </c>
      <c r="T64" s="185"/>
      <c r="U64" s="185">
        <v>203549</v>
      </c>
      <c r="V64" s="185"/>
      <c r="W64" s="185"/>
      <c r="X64" s="185">
        <v>17139</v>
      </c>
      <c r="Y64" s="185">
        <f>4392+10500+1733+423+9572</f>
        <v>26620</v>
      </c>
      <c r="Z64" s="185"/>
      <c r="AA64" s="185"/>
      <c r="AB64" s="185">
        <v>572382</v>
      </c>
      <c r="AC64" s="185">
        <f>20846+2900</f>
        <v>23746</v>
      </c>
      <c r="AD64" s="185"/>
      <c r="AE64" s="185">
        <v>11672</v>
      </c>
      <c r="AF64" s="185"/>
      <c r="AG64" s="185">
        <f>87137+1707</f>
        <v>88844</v>
      </c>
      <c r="AH64" s="185">
        <v>348</v>
      </c>
      <c r="AI64" s="185">
        <v>14033</v>
      </c>
      <c r="AJ64" s="185">
        <f>4213+161846</f>
        <v>166059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f>86548+1198</f>
        <v>87746</v>
      </c>
      <c r="AW64" s="185"/>
      <c r="AX64" s="185"/>
      <c r="AY64" s="185">
        <v>222917</v>
      </c>
      <c r="AZ64" s="185"/>
      <c r="BA64" s="185">
        <v>19003</v>
      </c>
      <c r="BB64" s="185"/>
      <c r="BC64" s="185">
        <v>34</v>
      </c>
      <c r="BD64" s="185">
        <v>1643</v>
      </c>
      <c r="BE64" s="185">
        <v>26780</v>
      </c>
      <c r="BF64" s="185">
        <v>44384</v>
      </c>
      <c r="BG64" s="185"/>
      <c r="BH64" s="185">
        <f>97+53419</f>
        <v>53516</v>
      </c>
      <c r="BI64" s="185"/>
      <c r="BJ64" s="185">
        <v>5525</v>
      </c>
      <c r="BK64" s="185"/>
      <c r="BL64" s="185"/>
      <c r="BM64" s="185"/>
      <c r="BN64" s="185">
        <v>16499</v>
      </c>
      <c r="BO64" s="185">
        <v>12962</v>
      </c>
      <c r="BP64" s="185"/>
      <c r="BQ64" s="185"/>
      <c r="BR64" s="185">
        <v>8017</v>
      </c>
      <c r="BS64" s="185"/>
      <c r="BT64" s="185"/>
      <c r="BU64" s="185"/>
      <c r="BV64" s="185"/>
      <c r="BW64" s="185"/>
      <c r="BX64" s="185"/>
      <c r="BY64" s="185">
        <v>7734</v>
      </c>
      <c r="BZ64" s="185"/>
      <c r="CA64" s="185"/>
      <c r="CB64" s="185"/>
      <c r="CC64" s="185">
        <f>7542+3188+37359+152+285+443+323+22431</f>
        <v>71723</v>
      </c>
      <c r="CD64" s="245" t="s">
        <v>221</v>
      </c>
      <c r="CE64" s="195">
        <f t="shared" si="0"/>
        <v>1893282</v>
      </c>
      <c r="CF64" s="248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>
        <v>896</v>
      </c>
      <c r="AC65" s="185"/>
      <c r="AD65" s="185"/>
      <c r="AE65" s="185"/>
      <c r="AF65" s="185"/>
      <c r="AG65" s="185"/>
      <c r="AH65" s="185"/>
      <c r="AI65" s="185"/>
      <c r="AJ65" s="185">
        <v>17966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>
        <v>105</v>
      </c>
      <c r="AZ65" s="185"/>
      <c r="BA65" s="185"/>
      <c r="BB65" s="185"/>
      <c r="BC65" s="185">
        <v>3628</v>
      </c>
      <c r="BD65" s="185"/>
      <c r="BE65" s="185">
        <v>229700</v>
      </c>
      <c r="BF65" s="185"/>
      <c r="BG65" s="185"/>
      <c r="BH65" s="185">
        <v>162860</v>
      </c>
      <c r="BI65" s="185">
        <v>500</v>
      </c>
      <c r="BJ65" s="185"/>
      <c r="BK65" s="185"/>
      <c r="BL65" s="185">
        <v>2227</v>
      </c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5" t="s">
        <v>221</v>
      </c>
      <c r="CE65" s="195">
        <f t="shared" si="0"/>
        <v>417882</v>
      </c>
      <c r="CF65" s="248"/>
    </row>
    <row r="66" spans="1:84" ht="12.6" customHeight="1" x14ac:dyDescent="0.25">
      <c r="A66" s="171" t="s">
        <v>239</v>
      </c>
      <c r="B66" s="175"/>
      <c r="C66" s="184"/>
      <c r="D66" s="184"/>
      <c r="E66" s="184">
        <v>165696</v>
      </c>
      <c r="F66" s="184"/>
      <c r="G66" s="184"/>
      <c r="H66" s="184"/>
      <c r="I66" s="184"/>
      <c r="J66" s="184"/>
      <c r="K66" s="185">
        <v>2211</v>
      </c>
      <c r="L66" s="185"/>
      <c r="M66" s="184"/>
      <c r="N66" s="184"/>
      <c r="O66" s="185"/>
      <c r="P66" s="185">
        <v>23302</v>
      </c>
      <c r="Q66" s="185"/>
      <c r="R66" s="185">
        <f>2403+2558</f>
        <v>4961</v>
      </c>
      <c r="S66" s="184">
        <v>16947</v>
      </c>
      <c r="T66" s="184"/>
      <c r="U66" s="185">
        <v>232408</v>
      </c>
      <c r="V66" s="185"/>
      <c r="W66" s="185">
        <v>141945</v>
      </c>
      <c r="X66" s="185">
        <f>92653-50000</f>
        <v>42653</v>
      </c>
      <c r="Y66" s="185">
        <f>27256+1092+14808+34582+91615-101186+50000</f>
        <v>118167</v>
      </c>
      <c r="Z66" s="185"/>
      <c r="AA66" s="185">
        <v>101186</v>
      </c>
      <c r="AB66" s="185">
        <v>117081</v>
      </c>
      <c r="AC66" s="185">
        <f>25325+60067-72540</f>
        <v>12852</v>
      </c>
      <c r="AD66" s="185"/>
      <c r="AE66" s="185">
        <v>35072</v>
      </c>
      <c r="AF66" s="185"/>
      <c r="AG66" s="185">
        <f>22517+10736</f>
        <v>33253</v>
      </c>
      <c r="AH66" s="185">
        <v>41858</v>
      </c>
      <c r="AI66" s="185">
        <v>1035</v>
      </c>
      <c r="AJ66" s="185">
        <f>6649+44049</f>
        <v>50698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f>2000+291</f>
        <v>2291</v>
      </c>
      <c r="AW66" s="185"/>
      <c r="AX66" s="185"/>
      <c r="AY66" s="185">
        <v>166221</v>
      </c>
      <c r="AZ66" s="185"/>
      <c r="BA66" s="185">
        <v>6561</v>
      </c>
      <c r="BB66" s="185">
        <v>1075</v>
      </c>
      <c r="BC66" s="185">
        <v>14</v>
      </c>
      <c r="BD66" s="185">
        <v>18849</v>
      </c>
      <c r="BE66" s="185">
        <v>186038</v>
      </c>
      <c r="BF66" s="185">
        <v>4364</v>
      </c>
      <c r="BG66" s="185">
        <v>181434</v>
      </c>
      <c r="BH66" s="185">
        <f>7018+738871</f>
        <v>745889</v>
      </c>
      <c r="BI66" s="185"/>
      <c r="BJ66" s="185">
        <v>12826</v>
      </c>
      <c r="BK66" s="185">
        <v>43400</v>
      </c>
      <c r="BL66" s="185">
        <v>16456</v>
      </c>
      <c r="BM66" s="185"/>
      <c r="BN66" s="185">
        <v>405645</v>
      </c>
      <c r="BO66" s="185">
        <f>141169-42664</f>
        <v>98505</v>
      </c>
      <c r="BP66" s="185"/>
      <c r="BQ66" s="185"/>
      <c r="BR66" s="185">
        <f>39519+81204</f>
        <v>120723</v>
      </c>
      <c r="BS66" s="185"/>
      <c r="BT66" s="185"/>
      <c r="BU66" s="185"/>
      <c r="BV66" s="185">
        <v>22715</v>
      </c>
      <c r="BW66" s="185"/>
      <c r="BX66" s="185">
        <v>2922</v>
      </c>
      <c r="BY66" s="185">
        <v>24313</v>
      </c>
      <c r="BZ66" s="185"/>
      <c r="CA66" s="185"/>
      <c r="CB66" s="185"/>
      <c r="CC66" s="185">
        <f>23250+15230+10804+3165+13+34095+19462+30209-69499</f>
        <v>66729</v>
      </c>
      <c r="CD66" s="245" t="s">
        <v>221</v>
      </c>
      <c r="CE66" s="195">
        <f t="shared" si="0"/>
        <v>3268295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409851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28973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23541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54839</v>
      </c>
      <c r="Z67" s="195">
        <f t="shared" si="3"/>
        <v>0</v>
      </c>
      <c r="AA67" s="195">
        <f t="shared" si="3"/>
        <v>0</v>
      </c>
      <c r="AB67" s="195">
        <f t="shared" si="3"/>
        <v>11133</v>
      </c>
      <c r="AC67" s="195">
        <f t="shared" si="3"/>
        <v>22177</v>
      </c>
      <c r="AD67" s="195">
        <f t="shared" si="3"/>
        <v>0</v>
      </c>
      <c r="AE67" s="195">
        <f t="shared" si="3"/>
        <v>63178</v>
      </c>
      <c r="AF67" s="195">
        <f t="shared" si="3"/>
        <v>0</v>
      </c>
      <c r="AG67" s="195">
        <f t="shared" si="3"/>
        <v>79095</v>
      </c>
      <c r="AH67" s="195">
        <f t="shared" si="3"/>
        <v>0</v>
      </c>
      <c r="AI67" s="195">
        <f t="shared" si="3"/>
        <v>0</v>
      </c>
      <c r="AJ67" s="195">
        <f t="shared" si="3"/>
        <v>180457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74065</v>
      </c>
      <c r="AW67" s="195">
        <f t="shared" si="3"/>
        <v>0</v>
      </c>
      <c r="AX67" s="195">
        <f t="shared" si="3"/>
        <v>0</v>
      </c>
      <c r="AY67" s="195">
        <f t="shared" si="3"/>
        <v>62954</v>
      </c>
      <c r="AZ67" s="195">
        <f>ROUND(AZ51+AZ52,0)</f>
        <v>0</v>
      </c>
      <c r="BA67" s="195">
        <f>ROUND(BA51+BA52,0)</f>
        <v>15135</v>
      </c>
      <c r="BB67" s="195">
        <f t="shared" si="3"/>
        <v>0</v>
      </c>
      <c r="BC67" s="195">
        <f t="shared" si="3"/>
        <v>0</v>
      </c>
      <c r="BD67" s="195">
        <f t="shared" si="3"/>
        <v>16856</v>
      </c>
      <c r="BE67" s="195">
        <f t="shared" si="3"/>
        <v>541774</v>
      </c>
      <c r="BF67" s="195">
        <f t="shared" si="3"/>
        <v>8920</v>
      </c>
      <c r="BG67" s="195">
        <f t="shared" si="3"/>
        <v>10194</v>
      </c>
      <c r="BH67" s="195">
        <f t="shared" si="3"/>
        <v>1788</v>
      </c>
      <c r="BI67" s="195">
        <f t="shared" si="3"/>
        <v>0</v>
      </c>
      <c r="BJ67" s="195">
        <f t="shared" si="3"/>
        <v>30628</v>
      </c>
      <c r="BK67" s="195">
        <f t="shared" si="3"/>
        <v>30628</v>
      </c>
      <c r="BL67" s="195">
        <f t="shared" si="3"/>
        <v>13771</v>
      </c>
      <c r="BM67" s="195">
        <f t="shared" si="3"/>
        <v>0</v>
      </c>
      <c r="BN67" s="195">
        <f t="shared" si="3"/>
        <v>19919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12564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25352</v>
      </c>
      <c r="BW67" s="195">
        <f t="shared" si="4"/>
        <v>0</v>
      </c>
      <c r="BX67" s="195">
        <f t="shared" si="4"/>
        <v>0</v>
      </c>
      <c r="BY67" s="195">
        <f t="shared" si="4"/>
        <v>15806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5" t="s">
        <v>221</v>
      </c>
      <c r="CE67" s="195">
        <f t="shared" si="0"/>
        <v>1753598</v>
      </c>
      <c r="CF67" s="248"/>
    </row>
    <row r="68" spans="1:84" ht="12.6" customHeight="1" x14ac:dyDescent="0.25">
      <c r="A68" s="171" t="s">
        <v>240</v>
      </c>
      <c r="B68" s="175"/>
      <c r="C68" s="184"/>
      <c r="D68" s="184"/>
      <c r="E68" s="184">
        <v>0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>
        <v>0</v>
      </c>
      <c r="V68" s="185"/>
      <c r="W68" s="185"/>
      <c r="X68" s="185"/>
      <c r="Y68" s="185">
        <v>0</v>
      </c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>
        <v>128088</v>
      </c>
      <c r="CD68" s="245" t="s">
        <v>221</v>
      </c>
      <c r="CE68" s="195">
        <f t="shared" si="0"/>
        <v>128088</v>
      </c>
      <c r="CF68" s="248"/>
    </row>
    <row r="69" spans="1:84" ht="12.6" customHeight="1" x14ac:dyDescent="0.25">
      <c r="A69" s="171" t="s">
        <v>241</v>
      </c>
      <c r="B69" s="175"/>
      <c r="C69" s="184"/>
      <c r="D69" s="184"/>
      <c r="E69" s="185">
        <v>0</v>
      </c>
      <c r="F69" s="185"/>
      <c r="G69" s="184"/>
      <c r="H69" s="184"/>
      <c r="I69" s="185"/>
      <c r="J69" s="185"/>
      <c r="K69" s="185">
        <v>0</v>
      </c>
      <c r="L69" s="185"/>
      <c r="M69" s="184"/>
      <c r="N69" s="184"/>
      <c r="O69" s="184"/>
      <c r="P69" s="185">
        <v>526</v>
      </c>
      <c r="Q69" s="185"/>
      <c r="R69" s="220">
        <f>5442-2154</f>
        <v>3288</v>
      </c>
      <c r="S69" s="185"/>
      <c r="T69" s="184"/>
      <c r="U69" s="185">
        <f>119628-116710</f>
        <v>2918</v>
      </c>
      <c r="V69" s="185"/>
      <c r="W69" s="184"/>
      <c r="X69" s="185">
        <f>80750-251</f>
        <v>80499</v>
      </c>
      <c r="Y69" s="185">
        <v>0</v>
      </c>
      <c r="Z69" s="185"/>
      <c r="AA69" s="185"/>
      <c r="AB69" s="185">
        <v>1686</v>
      </c>
      <c r="AC69" s="185"/>
      <c r="AD69" s="185"/>
      <c r="AE69" s="185">
        <v>714</v>
      </c>
      <c r="AF69" s="185"/>
      <c r="AG69" s="185">
        <v>14324</v>
      </c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11841</v>
      </c>
      <c r="AZ69" s="185"/>
      <c r="BA69" s="185"/>
      <c r="BB69" s="185"/>
      <c r="BC69" s="185"/>
      <c r="BD69" s="185"/>
      <c r="BE69" s="185"/>
      <c r="BF69" s="185"/>
      <c r="BG69" s="185">
        <f>4480+13569</f>
        <v>18049</v>
      </c>
      <c r="BH69" s="220"/>
      <c r="BI69" s="185"/>
      <c r="BJ69" s="185"/>
      <c r="BK69" s="185">
        <v>3851</v>
      </c>
      <c r="BL69" s="185">
        <v>8835</v>
      </c>
      <c r="BM69" s="185"/>
      <c r="BN69" s="185">
        <f>522570-249720</f>
        <v>272850</v>
      </c>
      <c r="BO69" s="185"/>
      <c r="BP69" s="185"/>
      <c r="BQ69" s="185"/>
      <c r="BR69" s="185"/>
      <c r="BS69" s="185"/>
      <c r="BT69" s="185"/>
      <c r="BU69" s="185"/>
      <c r="BV69" s="185">
        <v>2734</v>
      </c>
      <c r="BW69" s="185"/>
      <c r="BX69" s="185"/>
      <c r="BY69" s="185"/>
      <c r="BZ69" s="185"/>
      <c r="CA69" s="185"/>
      <c r="CB69" s="185"/>
      <c r="CC69" s="185" t="s">
        <v>1002</v>
      </c>
      <c r="CD69" s="188">
        <f>405368+249720-58582</f>
        <v>596506</v>
      </c>
      <c r="CE69" s="195">
        <f t="shared" si="0"/>
        <v>1018621</v>
      </c>
      <c r="CF69" s="248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>
        <v>0</v>
      </c>
      <c r="CD70" s="188">
        <f>879741-128088</f>
        <v>751653</v>
      </c>
      <c r="CE70" s="195">
        <f t="shared" si="0"/>
        <v>751653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2918493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1139484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433393</v>
      </c>
      <c r="Q71" s="195">
        <f t="shared" si="5"/>
        <v>0</v>
      </c>
      <c r="R71" s="195">
        <f t="shared" si="5"/>
        <v>554824</v>
      </c>
      <c r="S71" s="195">
        <f t="shared" si="5"/>
        <v>77985</v>
      </c>
      <c r="T71" s="195">
        <f t="shared" si="5"/>
        <v>0</v>
      </c>
      <c r="U71" s="195">
        <f t="shared" si="5"/>
        <v>1143158</v>
      </c>
      <c r="V71" s="195">
        <f t="shared" si="5"/>
        <v>0</v>
      </c>
      <c r="W71" s="195">
        <f t="shared" si="5"/>
        <v>141945</v>
      </c>
      <c r="X71" s="195">
        <f t="shared" si="5"/>
        <v>140291</v>
      </c>
      <c r="Y71" s="195">
        <f t="shared" si="5"/>
        <v>870987</v>
      </c>
      <c r="Z71" s="195">
        <f t="shared" si="5"/>
        <v>0</v>
      </c>
      <c r="AA71" s="195">
        <f t="shared" si="5"/>
        <v>101186</v>
      </c>
      <c r="AB71" s="195">
        <f t="shared" si="5"/>
        <v>1165042</v>
      </c>
      <c r="AC71" s="195">
        <f t="shared" si="5"/>
        <v>522284</v>
      </c>
      <c r="AD71" s="195">
        <f t="shared" si="5"/>
        <v>0</v>
      </c>
      <c r="AE71" s="195">
        <f t="shared" si="5"/>
        <v>1329063</v>
      </c>
      <c r="AF71" s="195">
        <f t="shared" si="5"/>
        <v>0</v>
      </c>
      <c r="AG71" s="195">
        <f t="shared" si="5"/>
        <v>2603565</v>
      </c>
      <c r="AH71" s="195">
        <f t="shared" si="5"/>
        <v>42206</v>
      </c>
      <c r="AI71" s="195">
        <f t="shared" si="5"/>
        <v>33968</v>
      </c>
      <c r="AJ71" s="195">
        <f t="shared" ref="AJ71:BO71" si="6">SUM(AJ61:AJ69)-AJ70</f>
        <v>3701437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545491</v>
      </c>
      <c r="AW71" s="195">
        <f t="shared" si="6"/>
        <v>0</v>
      </c>
      <c r="AX71" s="195">
        <f t="shared" si="6"/>
        <v>0</v>
      </c>
      <c r="AY71" s="195">
        <f t="shared" si="6"/>
        <v>862879</v>
      </c>
      <c r="AZ71" s="195">
        <f t="shared" si="6"/>
        <v>0</v>
      </c>
      <c r="BA71" s="195">
        <f t="shared" si="6"/>
        <v>156654</v>
      </c>
      <c r="BB71" s="195">
        <f t="shared" si="6"/>
        <v>89585</v>
      </c>
      <c r="BC71" s="195">
        <f t="shared" si="6"/>
        <v>41499</v>
      </c>
      <c r="BD71" s="195">
        <f t="shared" si="6"/>
        <v>145066</v>
      </c>
      <c r="BE71" s="195">
        <f t="shared" si="6"/>
        <v>1380906</v>
      </c>
      <c r="BF71" s="195">
        <f t="shared" si="6"/>
        <v>469801</v>
      </c>
      <c r="BG71" s="195">
        <f t="shared" si="6"/>
        <v>269881</v>
      </c>
      <c r="BH71" s="195">
        <f t="shared" si="6"/>
        <v>1727004</v>
      </c>
      <c r="BI71" s="195">
        <f t="shared" si="6"/>
        <v>500</v>
      </c>
      <c r="BJ71" s="195">
        <f t="shared" si="6"/>
        <v>463242</v>
      </c>
      <c r="BK71" s="195">
        <f t="shared" si="6"/>
        <v>888132</v>
      </c>
      <c r="BL71" s="195">
        <f t="shared" si="6"/>
        <v>477861</v>
      </c>
      <c r="BM71" s="195">
        <f t="shared" si="6"/>
        <v>0</v>
      </c>
      <c r="BN71" s="195">
        <f t="shared" si="6"/>
        <v>1540657</v>
      </c>
      <c r="BO71" s="195">
        <f t="shared" si="6"/>
        <v>217785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556826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233029</v>
      </c>
      <c r="BW71" s="195">
        <f t="shared" si="7"/>
        <v>0</v>
      </c>
      <c r="BX71" s="195">
        <f t="shared" si="7"/>
        <v>139056</v>
      </c>
      <c r="BY71" s="195">
        <f t="shared" si="7"/>
        <v>538382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612541</v>
      </c>
      <c r="CD71" s="241">
        <f>CD69-CD70</f>
        <v>-155147</v>
      </c>
      <c r="CE71" s="195">
        <f>SUM(CE61:CE69)-CE70</f>
        <v>28120941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>
        <v>1761236</v>
      </c>
      <c r="CF72" s="248"/>
    </row>
    <row r="73" spans="1:84" ht="12.6" customHeight="1" x14ac:dyDescent="0.25">
      <c r="A73" s="171" t="s">
        <v>245</v>
      </c>
      <c r="B73" s="175"/>
      <c r="C73" s="184"/>
      <c r="D73" s="184"/>
      <c r="E73" s="185">
        <v>2668832</v>
      </c>
      <c r="F73" s="185"/>
      <c r="G73" s="184"/>
      <c r="H73" s="184"/>
      <c r="I73" s="185"/>
      <c r="J73" s="185"/>
      <c r="K73" s="185">
        <f>1363522+1051424</f>
        <v>2414946</v>
      </c>
      <c r="L73" s="185" t="s">
        <v>1002</v>
      </c>
      <c r="M73" s="184"/>
      <c r="N73" s="184"/>
      <c r="O73" s="184"/>
      <c r="P73" s="185">
        <v>169373</v>
      </c>
      <c r="Q73" s="185">
        <v>10272</v>
      </c>
      <c r="R73" s="185">
        <f>24421+35454</f>
        <v>59875</v>
      </c>
      <c r="S73" s="185"/>
      <c r="T73" s="185"/>
      <c r="U73" s="185">
        <v>634504</v>
      </c>
      <c r="V73" s="185"/>
      <c r="W73" s="185">
        <v>13066</v>
      </c>
      <c r="X73" s="185">
        <v>257372</v>
      </c>
      <c r="Y73" s="185">
        <v>142578</v>
      </c>
      <c r="Z73" s="185"/>
      <c r="AA73" s="185"/>
      <c r="AB73" s="185">
        <f>2235016+5658</f>
        <v>2240674</v>
      </c>
      <c r="AC73" s="185">
        <v>345899</v>
      </c>
      <c r="AD73" s="185"/>
      <c r="AE73" s="185">
        <v>621936</v>
      </c>
      <c r="AF73" s="185"/>
      <c r="AG73" s="185">
        <v>277304</v>
      </c>
      <c r="AH73" s="185"/>
      <c r="AI73" s="185">
        <v>17460</v>
      </c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f>22486+172350</f>
        <v>194836</v>
      </c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10068927</v>
      </c>
      <c r="CF73" s="248"/>
    </row>
    <row r="74" spans="1:84" ht="12.6" customHeight="1" x14ac:dyDescent="0.25">
      <c r="A74" s="171" t="s">
        <v>246</v>
      </c>
      <c r="B74" s="175"/>
      <c r="C74" s="184"/>
      <c r="D74" s="184"/>
      <c r="E74" s="185">
        <v>1144376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f>1177097+1600</f>
        <v>1178697</v>
      </c>
      <c r="Q74" s="185">
        <v>35173</v>
      </c>
      <c r="R74" s="185">
        <f>269742+374572</f>
        <v>644314</v>
      </c>
      <c r="S74" s="185"/>
      <c r="T74" s="185"/>
      <c r="U74" s="185">
        <f>4647868+148</f>
        <v>4648016</v>
      </c>
      <c r="V74" s="185"/>
      <c r="W74" s="185">
        <v>571182</v>
      </c>
      <c r="X74" s="185">
        <v>3283126</v>
      </c>
      <c r="Y74" s="185">
        <f>3132879-277058</f>
        <v>2855821</v>
      </c>
      <c r="Z74" s="185"/>
      <c r="AA74" s="185">
        <v>277058</v>
      </c>
      <c r="AB74" s="185">
        <v>4385422</v>
      </c>
      <c r="AC74" s="185">
        <v>1381852</v>
      </c>
      <c r="AD74" s="185"/>
      <c r="AE74" s="185">
        <v>2479218</v>
      </c>
      <c r="AF74" s="185"/>
      <c r="AG74" s="185">
        <f>7415711+1278585</f>
        <v>8694296</v>
      </c>
      <c r="AH74" s="185"/>
      <c r="AI74" s="185">
        <v>51955</v>
      </c>
      <c r="AJ74" s="185">
        <f>381457+95688+2584549</f>
        <v>3061694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f>165230+120430+92858</f>
        <v>378518</v>
      </c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35070718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3813208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2414946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1348070</v>
      </c>
      <c r="Q75" s="195">
        <f t="shared" si="9"/>
        <v>45445</v>
      </c>
      <c r="R75" s="195">
        <f t="shared" si="9"/>
        <v>704189</v>
      </c>
      <c r="S75" s="195">
        <f t="shared" si="9"/>
        <v>0</v>
      </c>
      <c r="T75" s="195">
        <f t="shared" si="9"/>
        <v>0</v>
      </c>
      <c r="U75" s="195">
        <f t="shared" si="9"/>
        <v>5282520</v>
      </c>
      <c r="V75" s="195">
        <f t="shared" si="9"/>
        <v>0</v>
      </c>
      <c r="W75" s="195">
        <f t="shared" si="9"/>
        <v>584248</v>
      </c>
      <c r="X75" s="195">
        <f t="shared" si="9"/>
        <v>3540498</v>
      </c>
      <c r="Y75" s="195">
        <f t="shared" si="9"/>
        <v>2998399</v>
      </c>
      <c r="Z75" s="195">
        <f t="shared" si="9"/>
        <v>0</v>
      </c>
      <c r="AA75" s="195">
        <f t="shared" si="9"/>
        <v>277058</v>
      </c>
      <c r="AB75" s="195">
        <f t="shared" si="9"/>
        <v>6626096</v>
      </c>
      <c r="AC75" s="195">
        <f t="shared" si="9"/>
        <v>1727751</v>
      </c>
      <c r="AD75" s="195">
        <f t="shared" si="9"/>
        <v>0</v>
      </c>
      <c r="AE75" s="195">
        <f t="shared" si="9"/>
        <v>3101154</v>
      </c>
      <c r="AF75" s="195">
        <f t="shared" si="9"/>
        <v>0</v>
      </c>
      <c r="AG75" s="195">
        <f t="shared" si="9"/>
        <v>8971600</v>
      </c>
      <c r="AH75" s="195">
        <f t="shared" si="9"/>
        <v>0</v>
      </c>
      <c r="AI75" s="195">
        <f t="shared" si="9"/>
        <v>69415</v>
      </c>
      <c r="AJ75" s="195">
        <f t="shared" si="9"/>
        <v>3061694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573354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45139645</v>
      </c>
      <c r="CF75" s="248"/>
    </row>
    <row r="76" spans="1:84" ht="12.6" customHeight="1" x14ac:dyDescent="0.25">
      <c r="A76" s="171" t="s">
        <v>248</v>
      </c>
      <c r="B76" s="175"/>
      <c r="C76" s="184"/>
      <c r="D76" s="184"/>
      <c r="E76" s="185">
        <v>18333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1296</v>
      </c>
      <c r="Q76" s="185"/>
      <c r="R76" s="185"/>
      <c r="S76" s="185"/>
      <c r="T76" s="185"/>
      <c r="U76" s="185">
        <v>1053</v>
      </c>
      <c r="V76" s="185"/>
      <c r="W76" s="185"/>
      <c r="X76" s="185"/>
      <c r="Y76" s="185">
        <v>2453</v>
      </c>
      <c r="Z76" s="185"/>
      <c r="AA76" s="185"/>
      <c r="AB76" s="185">
        <v>498</v>
      </c>
      <c r="AC76" s="185">
        <v>992</v>
      </c>
      <c r="AD76" s="185"/>
      <c r="AE76" s="185">
        <v>2826</v>
      </c>
      <c r="AF76" s="185"/>
      <c r="AG76" s="185">
        <v>3538</v>
      </c>
      <c r="AH76" s="185"/>
      <c r="AI76" s="185"/>
      <c r="AJ76" s="185">
        <f>1428+6644</f>
        <v>8072</v>
      </c>
      <c r="AK76" s="185"/>
      <c r="AL76" s="185"/>
      <c r="AM76" s="185"/>
      <c r="AN76" s="185"/>
      <c r="AO76" s="185"/>
      <c r="AP76" s="185">
        <v>0</v>
      </c>
      <c r="AQ76" s="185"/>
      <c r="AR76" s="185"/>
      <c r="AS76" s="185"/>
      <c r="AT76" s="185"/>
      <c r="AU76" s="185"/>
      <c r="AV76" s="185">
        <v>3313</v>
      </c>
      <c r="AW76" s="185"/>
      <c r="AX76" s="185"/>
      <c r="AY76" s="185">
        <v>2816</v>
      </c>
      <c r="AZ76" s="185"/>
      <c r="BA76" s="185">
        <v>677</v>
      </c>
      <c r="BB76" s="185"/>
      <c r="BC76" s="185"/>
      <c r="BD76" s="185">
        <v>754</v>
      </c>
      <c r="BE76" s="185">
        <v>24234</v>
      </c>
      <c r="BF76" s="185">
        <v>399</v>
      </c>
      <c r="BG76" s="185">
        <v>456</v>
      </c>
      <c r="BH76" s="185">
        <v>80</v>
      </c>
      <c r="BI76" s="185"/>
      <c r="BJ76" s="185">
        <v>1370</v>
      </c>
      <c r="BK76" s="185">
        <v>1370</v>
      </c>
      <c r="BL76" s="185">
        <v>616</v>
      </c>
      <c r="BM76" s="185"/>
      <c r="BN76" s="185">
        <v>891</v>
      </c>
      <c r="BO76" s="185"/>
      <c r="BP76" s="185"/>
      <c r="BQ76" s="185"/>
      <c r="BR76" s="185">
        <v>562</v>
      </c>
      <c r="BS76" s="185"/>
      <c r="BT76" s="185"/>
      <c r="BU76" s="185"/>
      <c r="BV76" s="185">
        <v>1134</v>
      </c>
      <c r="BW76" s="185"/>
      <c r="BX76" s="185"/>
      <c r="BY76" s="185">
        <v>707</v>
      </c>
      <c r="BZ76" s="185"/>
      <c r="CA76" s="185"/>
      <c r="CB76" s="185"/>
      <c r="CC76" s="185"/>
      <c r="CD76" s="245" t="s">
        <v>221</v>
      </c>
      <c r="CE76" s="195">
        <f t="shared" si="8"/>
        <v>78440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6351</v>
      </c>
      <c r="F77" s="184"/>
      <c r="G77" s="184"/>
      <c r="H77" s="184"/>
      <c r="I77" s="184"/>
      <c r="J77" s="184"/>
      <c r="K77" s="184">
        <v>7561</v>
      </c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400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5" t="s">
        <v>221</v>
      </c>
      <c r="AY77" s="245" t="s">
        <v>221</v>
      </c>
      <c r="AZ77" s="184">
        <v>43813</v>
      </c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5" t="s">
        <v>221</v>
      </c>
      <c r="CD77" s="245" t="s">
        <v>221</v>
      </c>
      <c r="CE77" s="195">
        <f>SUM(C77:CD77)</f>
        <v>58125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9000</v>
      </c>
      <c r="F78" s="184"/>
      <c r="G78" s="184"/>
      <c r="H78" s="184"/>
      <c r="I78" s="184"/>
      <c r="J78" s="184"/>
      <c r="K78" s="184">
        <v>9000</v>
      </c>
      <c r="L78" s="184"/>
      <c r="M78" s="184"/>
      <c r="N78" s="184"/>
      <c r="O78" s="184"/>
      <c r="P78" s="184">
        <v>1200</v>
      </c>
      <c r="Q78" s="184"/>
      <c r="R78" s="184"/>
      <c r="S78" s="184"/>
      <c r="T78" s="184"/>
      <c r="U78" s="184">
        <v>1100</v>
      </c>
      <c r="V78" s="184"/>
      <c r="W78" s="184"/>
      <c r="X78" s="184"/>
      <c r="Y78" s="184">
        <v>2600</v>
      </c>
      <c r="Z78" s="184"/>
      <c r="AA78" s="184"/>
      <c r="AB78" s="184">
        <v>550</v>
      </c>
      <c r="AC78" s="184">
        <v>1100</v>
      </c>
      <c r="AD78" s="184"/>
      <c r="AE78" s="184">
        <v>3100</v>
      </c>
      <c r="AF78" s="184"/>
      <c r="AG78" s="184">
        <v>3800</v>
      </c>
      <c r="AH78" s="184"/>
      <c r="AI78" s="184"/>
      <c r="AJ78" s="184">
        <v>5000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2000</v>
      </c>
      <c r="AW78" s="184"/>
      <c r="AX78" s="245" t="s">
        <v>221</v>
      </c>
      <c r="AY78" s="245" t="s">
        <v>221</v>
      </c>
      <c r="AZ78" s="245" t="s">
        <v>221</v>
      </c>
      <c r="BA78" s="184">
        <v>700</v>
      </c>
      <c r="BB78" s="184"/>
      <c r="BC78" s="184"/>
      <c r="BD78" s="245" t="s">
        <v>221</v>
      </c>
      <c r="BE78" s="245" t="s">
        <v>221</v>
      </c>
      <c r="BF78" s="245" t="s">
        <v>221</v>
      </c>
      <c r="BG78" s="245" t="s">
        <v>221</v>
      </c>
      <c r="BH78" s="184">
        <v>100</v>
      </c>
      <c r="BI78" s="184"/>
      <c r="BJ78" s="245" t="s">
        <v>221</v>
      </c>
      <c r="BK78" s="184">
        <v>1300</v>
      </c>
      <c r="BL78" s="184">
        <v>600</v>
      </c>
      <c r="BM78" s="184"/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/>
      <c r="BT78" s="184"/>
      <c r="BU78" s="184"/>
      <c r="BV78" s="184">
        <v>1000</v>
      </c>
      <c r="BW78" s="184"/>
      <c r="BX78" s="184"/>
      <c r="BY78" s="184">
        <v>800</v>
      </c>
      <c r="BZ78" s="184"/>
      <c r="CA78" s="184"/>
      <c r="CB78" s="184"/>
      <c r="CC78" s="245" t="s">
        <v>221</v>
      </c>
      <c r="CD78" s="245" t="s">
        <v>221</v>
      </c>
      <c r="CE78" s="195">
        <f t="shared" si="8"/>
        <v>42950</v>
      </c>
      <c r="CF78" s="195"/>
    </row>
    <row r="79" spans="1:84" ht="12.6" customHeight="1" x14ac:dyDescent="0.25">
      <c r="A79" s="171" t="s">
        <v>251</v>
      </c>
      <c r="B79" s="175"/>
      <c r="C79" s="221"/>
      <c r="D79" s="221"/>
      <c r="E79" s="184">
        <v>28078</v>
      </c>
      <c r="F79" s="184"/>
      <c r="G79" s="184"/>
      <c r="H79" s="184"/>
      <c r="I79" s="184"/>
      <c r="J79" s="184"/>
      <c r="K79" s="184">
        <v>37899</v>
      </c>
      <c r="L79" s="184"/>
      <c r="M79" s="184"/>
      <c r="N79" s="184"/>
      <c r="O79" s="184"/>
      <c r="P79" s="184">
        <v>7841</v>
      </c>
      <c r="Q79" s="184"/>
      <c r="R79" s="184"/>
      <c r="S79" s="184"/>
      <c r="T79" s="184"/>
      <c r="U79" s="184">
        <v>1327</v>
      </c>
      <c r="V79" s="184"/>
      <c r="W79" s="184"/>
      <c r="X79" s="184"/>
      <c r="Y79" s="184">
        <v>8343</v>
      </c>
      <c r="Z79" s="184"/>
      <c r="AA79" s="184"/>
      <c r="AB79" s="184"/>
      <c r="AC79" s="184">
        <v>1898</v>
      </c>
      <c r="AD79" s="184"/>
      <c r="AE79" s="184">
        <v>14136</v>
      </c>
      <c r="AF79" s="184"/>
      <c r="AG79" s="184">
        <v>27302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7040</v>
      </c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>
        <f>39556+6899</f>
        <v>46455</v>
      </c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5" t="s">
        <v>221</v>
      </c>
      <c r="CD79" s="245" t="s">
        <v>221</v>
      </c>
      <c r="CE79" s="195">
        <f t="shared" si="8"/>
        <v>180319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18</v>
      </c>
      <c r="F80" s="187"/>
      <c r="G80" s="187"/>
      <c r="H80" s="187"/>
      <c r="I80" s="187"/>
      <c r="J80" s="187"/>
      <c r="K80" s="187">
        <v>16</v>
      </c>
      <c r="L80" s="187"/>
      <c r="M80" s="187"/>
      <c r="N80" s="187"/>
      <c r="O80" s="187"/>
      <c r="P80" s="187">
        <v>2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10</v>
      </c>
      <c r="AH80" s="187"/>
      <c r="AI80" s="187"/>
      <c r="AJ80" s="187">
        <v>1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47</v>
      </c>
      <c r="CF80" s="251"/>
    </row>
    <row r="81" spans="1:83" ht="12.6" customHeight="1" x14ac:dyDescent="0.25">
      <c r="A81" s="205" t="s">
        <v>253</v>
      </c>
      <c r="B81" s="205"/>
      <c r="C81" s="205"/>
      <c r="D81" s="205"/>
      <c r="E81" s="205"/>
      <c r="K81" s="180">
        <f>SUM(K63:K66)+SUM(K68:K70)+K61+K47</f>
        <v>1021186</v>
      </c>
      <c r="L81" s="180">
        <f t="shared" ref="L81:BW81" si="10">SUM(L63:L66)+SUM(L68:L70)+L61+L47</f>
        <v>0</v>
      </c>
      <c r="M81" s="180">
        <f t="shared" si="10"/>
        <v>0</v>
      </c>
      <c r="N81" s="180">
        <f t="shared" si="10"/>
        <v>0</v>
      </c>
      <c r="O81" s="180">
        <f t="shared" si="10"/>
        <v>0</v>
      </c>
      <c r="P81" s="180">
        <f t="shared" si="10"/>
        <v>369197</v>
      </c>
      <c r="Q81" s="180">
        <f t="shared" si="10"/>
        <v>0</v>
      </c>
      <c r="R81" s="180">
        <f t="shared" si="10"/>
        <v>495278</v>
      </c>
      <c r="S81" s="180">
        <f t="shared" si="10"/>
        <v>72979</v>
      </c>
      <c r="T81" s="180">
        <f t="shared" si="10"/>
        <v>0</v>
      </c>
      <c r="U81" s="180">
        <f t="shared" si="10"/>
        <v>1046135</v>
      </c>
      <c r="V81" s="180">
        <f t="shared" si="10"/>
        <v>0</v>
      </c>
      <c r="W81" s="180">
        <f t="shared" si="10"/>
        <v>141945</v>
      </c>
      <c r="X81" s="180">
        <f t="shared" si="10"/>
        <v>140291</v>
      </c>
      <c r="Y81" s="180">
        <f t="shared" si="10"/>
        <v>743250</v>
      </c>
      <c r="Z81" s="180">
        <f t="shared" si="10"/>
        <v>0</v>
      </c>
      <c r="AA81" s="180">
        <f t="shared" si="10"/>
        <v>101186</v>
      </c>
      <c r="AB81" s="180">
        <f t="shared" si="10"/>
        <v>1123695</v>
      </c>
      <c r="AC81" s="180">
        <f t="shared" si="10"/>
        <v>466847</v>
      </c>
      <c r="AD81" s="180">
        <f t="shared" si="10"/>
        <v>0</v>
      </c>
      <c r="AE81" s="180">
        <f t="shared" si="10"/>
        <v>1125480</v>
      </c>
      <c r="AF81" s="180">
        <f t="shared" si="10"/>
        <v>0</v>
      </c>
      <c r="AG81" s="180">
        <f t="shared" si="10"/>
        <v>2339774</v>
      </c>
      <c r="AH81" s="180">
        <f t="shared" si="10"/>
        <v>42206</v>
      </c>
      <c r="AI81" s="180">
        <f t="shared" si="10"/>
        <v>31944</v>
      </c>
      <c r="AJ81" s="180">
        <f t="shared" si="10"/>
        <v>3197777</v>
      </c>
      <c r="AK81" s="180">
        <f t="shared" si="10"/>
        <v>0</v>
      </c>
      <c r="AL81" s="180">
        <f t="shared" si="10"/>
        <v>0</v>
      </c>
      <c r="AM81" s="180">
        <f t="shared" si="10"/>
        <v>0</v>
      </c>
      <c r="AN81" s="180">
        <f t="shared" si="10"/>
        <v>0</v>
      </c>
      <c r="AO81" s="180">
        <f t="shared" si="10"/>
        <v>0</v>
      </c>
      <c r="AP81" s="180">
        <f t="shared" si="10"/>
        <v>0</v>
      </c>
      <c r="AQ81" s="180">
        <f t="shared" si="10"/>
        <v>0</v>
      </c>
      <c r="AR81" s="180">
        <f t="shared" si="10"/>
        <v>0</v>
      </c>
      <c r="AS81" s="180">
        <f t="shared" si="10"/>
        <v>0</v>
      </c>
      <c r="AT81" s="180">
        <f t="shared" si="10"/>
        <v>0</v>
      </c>
      <c r="AU81" s="180">
        <f t="shared" si="10"/>
        <v>0</v>
      </c>
      <c r="AV81" s="180">
        <f t="shared" si="10"/>
        <v>437926</v>
      </c>
      <c r="AW81" s="180">
        <f t="shared" si="10"/>
        <v>0</v>
      </c>
      <c r="AX81" s="180">
        <f t="shared" si="10"/>
        <v>0</v>
      </c>
      <c r="AY81" s="180">
        <f t="shared" si="10"/>
        <v>757400</v>
      </c>
      <c r="AZ81" s="180">
        <f t="shared" si="10"/>
        <v>0</v>
      </c>
      <c r="BA81" s="180">
        <f t="shared" si="10"/>
        <v>128880</v>
      </c>
      <c r="BB81" s="180">
        <f t="shared" si="10"/>
        <v>80163</v>
      </c>
      <c r="BC81" s="180">
        <f t="shared" si="10"/>
        <v>37253</v>
      </c>
      <c r="BD81" s="180">
        <f t="shared" si="10"/>
        <v>116671</v>
      </c>
      <c r="BE81" s="180">
        <f t="shared" si="10"/>
        <v>795506</v>
      </c>
      <c r="BF81" s="180">
        <f t="shared" si="10"/>
        <v>415109</v>
      </c>
      <c r="BG81" s="180">
        <f t="shared" si="10"/>
        <v>253220</v>
      </c>
      <c r="BH81" s="180">
        <f t="shared" si="10"/>
        <v>1653088</v>
      </c>
      <c r="BI81" s="180">
        <f t="shared" si="10"/>
        <v>500</v>
      </c>
      <c r="BJ81" s="180">
        <f t="shared" si="10"/>
        <v>395759</v>
      </c>
      <c r="BK81" s="180">
        <f t="shared" si="10"/>
        <v>793801</v>
      </c>
      <c r="BL81" s="180">
        <f t="shared" si="10"/>
        <v>416169</v>
      </c>
      <c r="BM81" s="180">
        <f t="shared" si="10"/>
        <v>0</v>
      </c>
      <c r="BN81" s="180">
        <f t="shared" si="10"/>
        <v>1437384</v>
      </c>
      <c r="BO81" s="180">
        <f t="shared" si="10"/>
        <v>206291</v>
      </c>
      <c r="BP81" s="180">
        <f t="shared" si="10"/>
        <v>0</v>
      </c>
      <c r="BQ81" s="180">
        <f t="shared" si="10"/>
        <v>0</v>
      </c>
      <c r="BR81" s="180">
        <f t="shared" si="10"/>
        <v>510816</v>
      </c>
      <c r="BS81" s="180">
        <f t="shared" si="10"/>
        <v>0</v>
      </c>
      <c r="BT81" s="180">
        <f t="shared" si="10"/>
        <v>0</v>
      </c>
      <c r="BU81" s="180">
        <f t="shared" si="10"/>
        <v>0</v>
      </c>
      <c r="BV81" s="180">
        <f t="shared" si="10"/>
        <v>187577</v>
      </c>
      <c r="BW81" s="180">
        <f t="shared" si="10"/>
        <v>0</v>
      </c>
      <c r="BX81" s="180">
        <f t="shared" ref="BX81:CE81" si="11">SUM(BX63:BX66)+SUM(BX68:BX70)+BX61+BX47</f>
        <v>124666</v>
      </c>
      <c r="BY81" s="180">
        <f t="shared" si="11"/>
        <v>468606</v>
      </c>
      <c r="BZ81" s="180">
        <f t="shared" si="11"/>
        <v>0</v>
      </c>
      <c r="CA81" s="180">
        <f t="shared" si="11"/>
        <v>0</v>
      </c>
      <c r="CB81" s="180">
        <f t="shared" si="11"/>
        <v>0</v>
      </c>
      <c r="CC81" s="180">
        <f t="shared" si="11"/>
        <v>576093</v>
      </c>
      <c r="CD81" s="180">
        <f t="shared" si="11"/>
        <v>1348159</v>
      </c>
      <c r="CE81" s="180">
        <f t="shared" si="11"/>
        <v>25850925</v>
      </c>
    </row>
    <row r="82" spans="1:83" ht="12.6" customHeight="1" x14ac:dyDescent="0.25">
      <c r="A82" s="171" t="s">
        <v>254</v>
      </c>
      <c r="B82" s="172"/>
      <c r="C82" s="271" t="s">
        <v>1001</v>
      </c>
      <c r="D82" s="252"/>
      <c r="E82" s="175"/>
    </row>
    <row r="83" spans="1:83" ht="12.6" customHeight="1" x14ac:dyDescent="0.25">
      <c r="A83" s="173" t="s">
        <v>255</v>
      </c>
      <c r="B83" s="172" t="s">
        <v>256</v>
      </c>
      <c r="C83" s="223" t="s">
        <v>1017</v>
      </c>
      <c r="D83" s="252"/>
      <c r="E83" s="175"/>
    </row>
    <row r="84" spans="1:83" ht="12.6" customHeight="1" x14ac:dyDescent="0.25">
      <c r="A84" s="173" t="s">
        <v>257</v>
      </c>
      <c r="B84" s="172" t="s">
        <v>256</v>
      </c>
      <c r="C84" s="226" t="s">
        <v>1018</v>
      </c>
      <c r="D84" s="202"/>
      <c r="E84" s="201"/>
    </row>
    <row r="85" spans="1:83" ht="12.6" customHeight="1" x14ac:dyDescent="0.25">
      <c r="A85" s="173" t="s">
        <v>987</v>
      </c>
      <c r="B85" s="172"/>
      <c r="C85" s="266" t="s">
        <v>1006</v>
      </c>
      <c r="D85" s="202"/>
      <c r="E85" s="201"/>
    </row>
    <row r="86" spans="1:83" ht="12.6" customHeight="1" x14ac:dyDescent="0.25">
      <c r="A86" s="173" t="s">
        <v>988</v>
      </c>
      <c r="B86" s="172" t="s">
        <v>256</v>
      </c>
      <c r="C86" s="227" t="s">
        <v>1007</v>
      </c>
      <c r="D86" s="202"/>
      <c r="E86" s="201"/>
    </row>
    <row r="87" spans="1:83" ht="12.6" customHeight="1" x14ac:dyDescent="0.25">
      <c r="A87" s="173" t="s">
        <v>258</v>
      </c>
      <c r="B87" s="172" t="s">
        <v>256</v>
      </c>
      <c r="C87" s="226" t="s">
        <v>1019</v>
      </c>
      <c r="D87" s="202"/>
      <c r="E87" s="201"/>
    </row>
    <row r="88" spans="1:83" ht="12.6" customHeight="1" x14ac:dyDescent="0.25">
      <c r="A88" s="173" t="s">
        <v>259</v>
      </c>
      <c r="B88" s="172" t="s">
        <v>256</v>
      </c>
      <c r="C88" s="226" t="s">
        <v>1009</v>
      </c>
      <c r="D88" s="202"/>
      <c r="E88" s="201"/>
    </row>
    <row r="89" spans="1:83" ht="12.6" customHeight="1" x14ac:dyDescent="0.25">
      <c r="A89" s="173" t="s">
        <v>260</v>
      </c>
      <c r="B89" s="172" t="s">
        <v>256</v>
      </c>
      <c r="C89" s="226" t="s">
        <v>1010</v>
      </c>
      <c r="D89" s="202"/>
      <c r="E89" s="201"/>
    </row>
    <row r="90" spans="1:83" ht="12.6" customHeight="1" x14ac:dyDescent="0.25">
      <c r="A90" s="173" t="s">
        <v>261</v>
      </c>
      <c r="B90" s="172" t="s">
        <v>256</v>
      </c>
      <c r="C90" s="226" t="s">
        <v>1011</v>
      </c>
      <c r="D90" s="202"/>
      <c r="E90" s="201"/>
    </row>
    <row r="91" spans="1:83" ht="12.6" customHeight="1" x14ac:dyDescent="0.25">
      <c r="A91" s="173" t="s">
        <v>262</v>
      </c>
      <c r="B91" s="172" t="s">
        <v>256</v>
      </c>
      <c r="C91" s="226" t="s">
        <v>1012</v>
      </c>
      <c r="D91" s="202"/>
      <c r="E91" s="201"/>
    </row>
    <row r="92" spans="1:83" ht="12.6" customHeight="1" x14ac:dyDescent="0.25">
      <c r="A92" s="173" t="s">
        <v>263</v>
      </c>
      <c r="B92" s="172" t="s">
        <v>256</v>
      </c>
      <c r="C92" s="222" t="s">
        <v>1013</v>
      </c>
      <c r="D92" s="252"/>
      <c r="E92" s="175"/>
    </row>
    <row r="93" spans="1:83" ht="12.6" customHeight="1" x14ac:dyDescent="0.25">
      <c r="A93" s="173" t="s">
        <v>264</v>
      </c>
      <c r="B93" s="172" t="s">
        <v>256</v>
      </c>
      <c r="C93" s="275" t="s">
        <v>1014</v>
      </c>
      <c r="D93" s="252"/>
      <c r="E93" s="175"/>
    </row>
    <row r="94" spans="1:83" ht="12.6" customHeight="1" x14ac:dyDescent="0.25">
      <c r="A94" s="173"/>
      <c r="B94" s="173"/>
      <c r="C94" s="191"/>
      <c r="D94" s="175"/>
      <c r="E94" s="175"/>
    </row>
    <row r="95" spans="1:83" ht="12.6" customHeight="1" x14ac:dyDescent="0.25">
      <c r="A95" s="205" t="s">
        <v>265</v>
      </c>
      <c r="B95" s="205"/>
      <c r="C95" s="205"/>
      <c r="D95" s="205"/>
      <c r="E95" s="205"/>
    </row>
    <row r="96" spans="1:83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 t="s">
        <v>221</v>
      </c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/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190</v>
      </c>
      <c r="D111" s="174">
        <v>631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96</v>
      </c>
      <c r="D112" s="174">
        <v>4089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975</v>
      </c>
      <c r="B118" s="172" t="s">
        <v>256</v>
      </c>
      <c r="C118" s="189">
        <v>10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15</v>
      </c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1938671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976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147</v>
      </c>
      <c r="C138" s="189">
        <v>16</v>
      </c>
      <c r="D138" s="174">
        <v>27</v>
      </c>
      <c r="E138" s="175">
        <f>SUM(B138:D138)</f>
        <v>190</v>
      </c>
    </row>
    <row r="139" spans="1:6" ht="12.6" customHeight="1" x14ac:dyDescent="0.25">
      <c r="A139" s="173" t="s">
        <v>215</v>
      </c>
      <c r="B139" s="174">
        <v>507</v>
      </c>
      <c r="C139" s="189">
        <v>48</v>
      </c>
      <c r="D139" s="174">
        <v>76</v>
      </c>
      <c r="E139" s="175">
        <f>SUM(B139:D139)</f>
        <v>631</v>
      </c>
    </row>
    <row r="140" spans="1:6" ht="12.6" customHeight="1" x14ac:dyDescent="0.25">
      <c r="A140" s="173" t="s">
        <v>298</v>
      </c>
      <c r="B140" s="174">
        <v>12102</v>
      </c>
      <c r="C140" s="174">
        <v>1200</v>
      </c>
      <c r="D140" s="174">
        <v>2834</v>
      </c>
      <c r="E140" s="175">
        <f>SUM(B140:D140)</f>
        <v>16136</v>
      </c>
    </row>
    <row r="141" spans="1:6" ht="12.6" customHeight="1" x14ac:dyDescent="0.25">
      <c r="A141" s="173" t="s">
        <v>245</v>
      </c>
      <c r="B141" s="174">
        <v>4202252</v>
      </c>
      <c r="C141" s="189">
        <v>536975</v>
      </c>
      <c r="D141" s="174">
        <v>976084</v>
      </c>
      <c r="E141" s="175">
        <f>SUM(B141:D141)</f>
        <v>5715311</v>
      </c>
      <c r="F141" s="199"/>
    </row>
    <row r="142" spans="1:6" ht="12.6" customHeight="1" x14ac:dyDescent="0.25">
      <c r="A142" s="173" t="s">
        <v>246</v>
      </c>
      <c r="B142" s="174">
        <f>17848343+2584548</f>
        <v>20432891</v>
      </c>
      <c r="C142" s="189">
        <v>6781134</v>
      </c>
      <c r="D142" s="174">
        <v>7856693</v>
      </c>
      <c r="E142" s="175">
        <f>SUM(B142:D142)</f>
        <v>35070718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91</v>
      </c>
      <c r="C144" s="189"/>
      <c r="D144" s="174">
        <v>5</v>
      </c>
      <c r="E144" s="175">
        <f>SUM(B144:D144)</f>
        <v>96</v>
      </c>
    </row>
    <row r="145" spans="1:5" ht="12.6" customHeight="1" x14ac:dyDescent="0.25">
      <c r="A145" s="173" t="s">
        <v>215</v>
      </c>
      <c r="B145" s="174">
        <v>1262</v>
      </c>
      <c r="C145" s="189">
        <v>2787</v>
      </c>
      <c r="D145" s="174">
        <v>40</v>
      </c>
      <c r="E145" s="175">
        <f>SUM(B145:D145)</f>
        <v>4089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2963479</v>
      </c>
      <c r="C147" s="189">
        <v>269746</v>
      </c>
      <c r="D147" s="174">
        <v>1120391</v>
      </c>
      <c r="E147" s="175">
        <f>SUM(B147:D147)</f>
        <v>4353616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2002008</v>
      </c>
      <c r="C157" s="174">
        <v>1956771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9">
        <v>922069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-567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371799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1365496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113562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493867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202576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3468802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/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107602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107602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>
        <v>90092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109497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199589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>
        <v>4823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260775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265598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455499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455499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968600</v>
      </c>
      <c r="C195" s="189"/>
      <c r="D195" s="174"/>
      <c r="E195" s="175">
        <f t="shared" ref="E195:E203" si="12">SUM(B195:C195)-D195</f>
        <v>968600</v>
      </c>
    </row>
    <row r="196" spans="1:8" ht="12.6" customHeight="1" x14ac:dyDescent="0.25">
      <c r="A196" s="173" t="s">
        <v>333</v>
      </c>
      <c r="B196" s="174">
        <v>1426739</v>
      </c>
      <c r="C196" s="189"/>
      <c r="D196" s="174"/>
      <c r="E196" s="175">
        <f t="shared" si="12"/>
        <v>1426739</v>
      </c>
    </row>
    <row r="197" spans="1:8" ht="12.6" customHeight="1" x14ac:dyDescent="0.25">
      <c r="A197" s="173" t="s">
        <v>334</v>
      </c>
      <c r="B197" s="174">
        <f>15853907+1133336</f>
        <v>16987243</v>
      </c>
      <c r="C197" s="189">
        <v>66074</v>
      </c>
      <c r="D197" s="174"/>
      <c r="E197" s="175">
        <f t="shared" si="12"/>
        <v>17053317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2"/>
        <v>0</v>
      </c>
    </row>
    <row r="199" spans="1:8" ht="12.6" customHeight="1" x14ac:dyDescent="0.25">
      <c r="A199" s="173" t="s">
        <v>336</v>
      </c>
      <c r="B199" s="174">
        <v>2677876</v>
      </c>
      <c r="C199" s="189"/>
      <c r="D199" s="174"/>
      <c r="E199" s="175">
        <f t="shared" si="12"/>
        <v>2677876</v>
      </c>
    </row>
    <row r="200" spans="1:8" ht="12.6" customHeight="1" x14ac:dyDescent="0.25">
      <c r="A200" s="173" t="s">
        <v>337</v>
      </c>
      <c r="B200" s="174">
        <v>7392356</v>
      </c>
      <c r="C200" s="189">
        <v>114056</v>
      </c>
      <c r="D200" s="174"/>
      <c r="E200" s="175">
        <f t="shared" si="12"/>
        <v>7506412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2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2"/>
        <v>0</v>
      </c>
    </row>
    <row r="203" spans="1:8" ht="12.6" customHeight="1" x14ac:dyDescent="0.25">
      <c r="A203" s="173" t="s">
        <v>340</v>
      </c>
      <c r="B203" s="174">
        <v>159091</v>
      </c>
      <c r="C203" s="189">
        <v>246708</v>
      </c>
      <c r="D203" s="174"/>
      <c r="E203" s="175">
        <f t="shared" si="12"/>
        <v>405799</v>
      </c>
    </row>
    <row r="204" spans="1:8" ht="12.6" customHeight="1" x14ac:dyDescent="0.25">
      <c r="A204" s="173" t="s">
        <v>203</v>
      </c>
      <c r="B204" s="175">
        <f>SUM(B195:B203)</f>
        <v>29611905</v>
      </c>
      <c r="C204" s="191">
        <f>SUM(C195:C203)</f>
        <v>426838</v>
      </c>
      <c r="D204" s="175">
        <f>SUM(D195:D203)</f>
        <v>0</v>
      </c>
      <c r="E204" s="175">
        <f>SUM(E195:E203)</f>
        <v>30038743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984946</v>
      </c>
      <c r="C209" s="189">
        <v>71340</v>
      </c>
      <c r="D209" s="174"/>
      <c r="E209" s="175">
        <f t="shared" ref="E209:E216" si="13">SUM(B209:C209)-D209</f>
        <v>1056286</v>
      </c>
      <c r="H209" s="255"/>
    </row>
    <row r="210" spans="1:8" ht="12.6" customHeight="1" x14ac:dyDescent="0.25">
      <c r="A210" s="173" t="s">
        <v>334</v>
      </c>
      <c r="B210" s="174">
        <f>10234202+864367</f>
        <v>11098569</v>
      </c>
      <c r="C210" s="189">
        <f>624881+73476</f>
        <v>698357</v>
      </c>
      <c r="D210" s="174"/>
      <c r="E210" s="175">
        <f t="shared" si="13"/>
        <v>11796926</v>
      </c>
      <c r="H210" s="255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3"/>
        <v>0</v>
      </c>
      <c r="H211" s="255"/>
    </row>
    <row r="212" spans="1:8" ht="12.6" customHeight="1" x14ac:dyDescent="0.25">
      <c r="A212" s="173" t="s">
        <v>336</v>
      </c>
      <c r="B212" s="174">
        <v>1583384</v>
      </c>
      <c r="C212" s="189">
        <v>127130</v>
      </c>
      <c r="D212" s="174"/>
      <c r="E212" s="175">
        <f t="shared" si="13"/>
        <v>1710514</v>
      </c>
      <c r="H212" s="255"/>
    </row>
    <row r="213" spans="1:8" ht="12.6" customHeight="1" x14ac:dyDescent="0.25">
      <c r="A213" s="173" t="s">
        <v>337</v>
      </c>
      <c r="B213" s="174">
        <v>5121967</v>
      </c>
      <c r="C213" s="189">
        <v>883633</v>
      </c>
      <c r="D213" s="174"/>
      <c r="E213" s="175">
        <f t="shared" si="13"/>
        <v>6005600</v>
      </c>
      <c r="H213" s="255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3"/>
        <v>0</v>
      </c>
      <c r="H214" s="255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3"/>
        <v>0</v>
      </c>
      <c r="H215" s="255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3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18788866</v>
      </c>
      <c r="C217" s="191">
        <f>SUM(C208:C216)</f>
        <v>1780460</v>
      </c>
      <c r="D217" s="175">
        <f>SUM(D208:D216)</f>
        <v>0</v>
      </c>
      <c r="E217" s="175">
        <f>SUM(E208:E216)</f>
        <v>20569326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76" t="s">
        <v>991</v>
      </c>
      <c r="C220" s="276"/>
      <c r="D220" s="205"/>
      <c r="E220" s="205"/>
    </row>
    <row r="221" spans="1:8" ht="12.6" customHeight="1" x14ac:dyDescent="0.25">
      <c r="A221" s="267" t="s">
        <v>991</v>
      </c>
      <c r="B221" s="205"/>
      <c r="C221" s="189">
        <v>824572</v>
      </c>
      <c r="D221" s="172">
        <f>C221</f>
        <v>824572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>
        <f>6044675+2835818-400000</f>
        <v>8480493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688262+4592982-230862</f>
        <v>5050382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308152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2818195</f>
        <v>2818195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16657222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 t="s">
        <v>1002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119590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119590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>
        <f>821833</f>
        <v>821833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821833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18423217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>
        <v>4690389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6827483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2967894</v>
      </c>
      <c r="D253" s="175"/>
      <c r="E253" s="175"/>
    </row>
    <row r="254" spans="1:5" ht="12.45" customHeight="1" x14ac:dyDescent="0.25">
      <c r="A254" s="173" t="s">
        <v>977</v>
      </c>
      <c r="B254" s="172" t="s">
        <v>256</v>
      </c>
      <c r="C254" s="189">
        <v>430892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f>60038+67771</f>
        <v>127809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257647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270106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9636432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>
        <v>1339891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1339891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>
        <v>968600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1426739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15853907+1199410</f>
        <v>17053317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2677876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7506412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405798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30038742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20569325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9469417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20445740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579609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547641+899148</f>
        <v>1446789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213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978</v>
      </c>
      <c r="B309" s="172" t="s">
        <v>256</v>
      </c>
      <c r="C309" s="189">
        <v>828241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1080932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3935784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 t="s">
        <v>1002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8288807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8288807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1080932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7207875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>
        <v>9302081</v>
      </c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878</v>
      </c>
      <c r="B334" s="172" t="s">
        <v>256</v>
      </c>
      <c r="C334" s="218"/>
      <c r="D334" s="175"/>
      <c r="E334" s="175"/>
    </row>
    <row r="335" spans="1:5" ht="12.6" customHeight="1" x14ac:dyDescent="0.25">
      <c r="A335" s="173" t="s">
        <v>879</v>
      </c>
      <c r="B335" s="172" t="s">
        <v>256</v>
      </c>
      <c r="C335" s="218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989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20445740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20445740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v>10068927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32486170+2584549-1</f>
        <v>35070718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45139645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991</v>
      </c>
      <c r="B363" s="253"/>
      <c r="C363" s="189">
        <v>824572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>
        <v>16657222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119590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827125-5292</f>
        <v>821833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18423217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26716428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>
        <f>879741</f>
        <v>879741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f>1761236-134557</f>
        <v>1626679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2506420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29222848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v>14806725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3468802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2117301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1893282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417883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3268295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1753600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128088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199589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256598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455499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491608-128088-256598+10</f>
        <v>106932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28872594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350254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134557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484811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484811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Arbor Health   H-0     FYE 12/31/2019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190</v>
      </c>
      <c r="C414" s="194">
        <f>E138</f>
        <v>190</v>
      </c>
      <c r="D414" s="179"/>
    </row>
    <row r="415" spans="1:5" ht="12.6" customHeight="1" x14ac:dyDescent="0.25">
      <c r="A415" s="179" t="s">
        <v>464</v>
      </c>
      <c r="B415" s="179">
        <f>D111</f>
        <v>631</v>
      </c>
      <c r="C415" s="179">
        <f>E139</f>
        <v>631</v>
      </c>
      <c r="D415" s="194">
        <f>SUM(C59:H59)+N59</f>
        <v>631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96</v>
      </c>
      <c r="C417" s="194">
        <f>E144</f>
        <v>96</v>
      </c>
      <c r="D417" s="179"/>
    </row>
    <row r="418" spans="1:7" ht="12.6" customHeight="1" x14ac:dyDescent="0.25">
      <c r="A418" s="179" t="s">
        <v>466</v>
      </c>
      <c r="B418" s="179">
        <f>D112</f>
        <v>4089</v>
      </c>
      <c r="C418" s="179">
        <f>E145</f>
        <v>4089</v>
      </c>
      <c r="D418" s="179">
        <f>K59+L59</f>
        <v>4089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980</v>
      </c>
      <c r="B424" s="179">
        <f>D114</f>
        <v>0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4">C378</f>
        <v>14806725</v>
      </c>
      <c r="C427" s="179">
        <f t="shared" ref="C427:C434" si="15">CE61</f>
        <v>14806725</v>
      </c>
      <c r="D427" s="179"/>
    </row>
    <row r="428" spans="1:7" ht="12.6" customHeight="1" x14ac:dyDescent="0.25">
      <c r="A428" s="179" t="s">
        <v>3</v>
      </c>
      <c r="B428" s="179">
        <f t="shared" si="14"/>
        <v>3468802</v>
      </c>
      <c r="C428" s="179">
        <f t="shared" si="15"/>
        <v>3468802</v>
      </c>
      <c r="D428" s="179">
        <f>D173</f>
        <v>3468802</v>
      </c>
    </row>
    <row r="429" spans="1:7" ht="12.6" customHeight="1" x14ac:dyDescent="0.25">
      <c r="A429" s="179" t="s">
        <v>236</v>
      </c>
      <c r="B429" s="179">
        <f t="shared" si="14"/>
        <v>2117301</v>
      </c>
      <c r="C429" s="179">
        <f t="shared" si="15"/>
        <v>2117301</v>
      </c>
      <c r="D429" s="179"/>
    </row>
    <row r="430" spans="1:7" ht="12.6" customHeight="1" x14ac:dyDescent="0.25">
      <c r="A430" s="179" t="s">
        <v>237</v>
      </c>
      <c r="B430" s="179">
        <f t="shared" si="14"/>
        <v>1893282</v>
      </c>
      <c r="C430" s="179">
        <f t="shared" si="15"/>
        <v>1893282</v>
      </c>
      <c r="D430" s="179"/>
    </row>
    <row r="431" spans="1:7" ht="12.6" customHeight="1" x14ac:dyDescent="0.25">
      <c r="A431" s="179" t="s">
        <v>444</v>
      </c>
      <c r="B431" s="179">
        <f t="shared" si="14"/>
        <v>417883</v>
      </c>
      <c r="C431" s="179">
        <f t="shared" si="15"/>
        <v>417882</v>
      </c>
      <c r="D431" s="179"/>
    </row>
    <row r="432" spans="1:7" ht="12.6" customHeight="1" x14ac:dyDescent="0.25">
      <c r="A432" s="179" t="s">
        <v>445</v>
      </c>
      <c r="B432" s="179">
        <f t="shared" si="14"/>
        <v>3268295</v>
      </c>
      <c r="C432" s="179">
        <f t="shared" si="15"/>
        <v>3268295</v>
      </c>
      <c r="D432" s="179"/>
    </row>
    <row r="433" spans="1:7" ht="12.6" customHeight="1" x14ac:dyDescent="0.25">
      <c r="A433" s="179" t="s">
        <v>6</v>
      </c>
      <c r="B433" s="179">
        <f t="shared" si="14"/>
        <v>1753600</v>
      </c>
      <c r="C433" s="179">
        <f t="shared" si="15"/>
        <v>1753598</v>
      </c>
      <c r="D433" s="179">
        <f>C217</f>
        <v>1780460</v>
      </c>
    </row>
    <row r="434" spans="1:7" ht="12.6" customHeight="1" x14ac:dyDescent="0.25">
      <c r="A434" s="179" t="s">
        <v>474</v>
      </c>
      <c r="B434" s="179">
        <f t="shared" si="14"/>
        <v>128088</v>
      </c>
      <c r="C434" s="179">
        <f t="shared" si="15"/>
        <v>128088</v>
      </c>
      <c r="D434" s="179">
        <f>D177</f>
        <v>107602</v>
      </c>
    </row>
    <row r="435" spans="1:7" ht="12.6" customHeight="1" x14ac:dyDescent="0.25">
      <c r="A435" s="179" t="s">
        <v>447</v>
      </c>
      <c r="B435" s="179">
        <f t="shared" si="14"/>
        <v>199589</v>
      </c>
      <c r="C435" s="179"/>
      <c r="D435" s="179">
        <f>D181</f>
        <v>199589</v>
      </c>
    </row>
    <row r="436" spans="1:7" ht="12.6" customHeight="1" x14ac:dyDescent="0.25">
      <c r="A436" s="179" t="s">
        <v>475</v>
      </c>
      <c r="B436" s="179">
        <f t="shared" si="14"/>
        <v>256598</v>
      </c>
      <c r="C436" s="179"/>
      <c r="D436" s="179">
        <f>D186</f>
        <v>265598</v>
      </c>
    </row>
    <row r="437" spans="1:7" ht="12.6" customHeight="1" x14ac:dyDescent="0.25">
      <c r="A437" s="194" t="s">
        <v>449</v>
      </c>
      <c r="B437" s="194">
        <f t="shared" si="14"/>
        <v>455499</v>
      </c>
      <c r="C437" s="194"/>
      <c r="D437" s="194">
        <f>D190</f>
        <v>455499</v>
      </c>
    </row>
    <row r="438" spans="1:7" ht="12.6" customHeight="1" x14ac:dyDescent="0.25">
      <c r="A438" s="194" t="s">
        <v>476</v>
      </c>
      <c r="B438" s="194">
        <f>C386+C387+C388</f>
        <v>911686</v>
      </c>
      <c r="C438" s="194">
        <f>CD69</f>
        <v>596506</v>
      </c>
      <c r="D438" s="194">
        <f>D181+D186+D190</f>
        <v>920686</v>
      </c>
    </row>
    <row r="439" spans="1:7" ht="12.6" customHeight="1" x14ac:dyDescent="0.25">
      <c r="A439" s="179" t="s">
        <v>451</v>
      </c>
      <c r="B439" s="194">
        <f>C389</f>
        <v>106932</v>
      </c>
      <c r="C439" s="194">
        <f>SUM(C69:CC69)</f>
        <v>422115</v>
      </c>
      <c r="D439" s="179"/>
    </row>
    <row r="440" spans="1:7" ht="12.6" customHeight="1" x14ac:dyDescent="0.25">
      <c r="A440" s="179" t="s">
        <v>477</v>
      </c>
      <c r="B440" s="194">
        <f>B438+B439</f>
        <v>1018618</v>
      </c>
      <c r="C440" s="194">
        <f>CE69</f>
        <v>1018621</v>
      </c>
      <c r="D440" s="179"/>
    </row>
    <row r="441" spans="1:7" ht="12.6" customHeight="1" x14ac:dyDescent="0.25">
      <c r="A441" s="179" t="s">
        <v>478</v>
      </c>
      <c r="B441" s="179">
        <f>D390</f>
        <v>28872594</v>
      </c>
      <c r="C441" s="179">
        <f>SUM(C427:C437)+C440</f>
        <v>28872594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824572</v>
      </c>
      <c r="C444" s="179">
        <f>C363</f>
        <v>824572</v>
      </c>
      <c r="D444" s="179"/>
    </row>
    <row r="445" spans="1:7" ht="12.6" customHeight="1" x14ac:dyDescent="0.25">
      <c r="A445" s="179" t="s">
        <v>343</v>
      </c>
      <c r="B445" s="179">
        <f>D229</f>
        <v>16657222</v>
      </c>
      <c r="C445" s="179">
        <f>C364</f>
        <v>16657222</v>
      </c>
      <c r="D445" s="179"/>
    </row>
    <row r="446" spans="1:7" ht="12.6" customHeight="1" x14ac:dyDescent="0.25">
      <c r="A446" s="179" t="s">
        <v>351</v>
      </c>
      <c r="B446" s="179">
        <f>D236</f>
        <v>119590</v>
      </c>
      <c r="C446" s="179">
        <f>C365</f>
        <v>119590</v>
      </c>
      <c r="D446" s="179"/>
    </row>
    <row r="447" spans="1:7" ht="12.6" customHeight="1" x14ac:dyDescent="0.25">
      <c r="A447" s="179" t="s">
        <v>356</v>
      </c>
      <c r="B447" s="179">
        <f>D240</f>
        <v>821833</v>
      </c>
      <c r="C447" s="179">
        <f>C366</f>
        <v>821833</v>
      </c>
      <c r="D447" s="179"/>
    </row>
    <row r="448" spans="1:7" ht="12.6" customHeight="1" x14ac:dyDescent="0.25">
      <c r="A448" s="179" t="s">
        <v>358</v>
      </c>
      <c r="B448" s="179">
        <f>D242</f>
        <v>18423217</v>
      </c>
      <c r="C448" s="179">
        <f>D367</f>
        <v>18423217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 t="str">
        <f>C231</f>
        <v xml:space="preserve"> 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119590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879741</v>
      </c>
      <c r="C458" s="194">
        <f>CE70</f>
        <v>751653</v>
      </c>
      <c r="D458" s="194"/>
    </row>
    <row r="459" spans="1:7" ht="12.6" customHeight="1" x14ac:dyDescent="0.25">
      <c r="A459" s="179" t="s">
        <v>244</v>
      </c>
      <c r="B459" s="194">
        <f>C371</f>
        <v>1626679</v>
      </c>
      <c r="C459" s="194">
        <f>CE72</f>
        <v>1761236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10068927</v>
      </c>
      <c r="C463" s="194">
        <f>CE73</f>
        <v>10068927</v>
      </c>
      <c r="D463" s="194">
        <f>E141+E147+E153</f>
        <v>10068927</v>
      </c>
    </row>
    <row r="464" spans="1:7" ht="12.6" customHeight="1" x14ac:dyDescent="0.25">
      <c r="A464" s="179" t="s">
        <v>246</v>
      </c>
      <c r="B464" s="194">
        <f>C360</f>
        <v>35070718</v>
      </c>
      <c r="C464" s="194">
        <f>CE74</f>
        <v>35070718</v>
      </c>
      <c r="D464" s="194">
        <f>E142+E148+E154</f>
        <v>35070718</v>
      </c>
    </row>
    <row r="465" spans="1:7" ht="12.6" customHeight="1" x14ac:dyDescent="0.25">
      <c r="A465" s="179" t="s">
        <v>247</v>
      </c>
      <c r="B465" s="194">
        <f>D361</f>
        <v>45139645</v>
      </c>
      <c r="C465" s="194">
        <f>CE75</f>
        <v>45139645</v>
      </c>
      <c r="D465" s="194">
        <f>D463+D464</f>
        <v>45139645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6">C267</f>
        <v>968600</v>
      </c>
      <c r="C468" s="179">
        <f>E195</f>
        <v>968600</v>
      </c>
      <c r="D468" s="179"/>
    </row>
    <row r="469" spans="1:7" ht="12.6" customHeight="1" x14ac:dyDescent="0.25">
      <c r="A469" s="179" t="s">
        <v>333</v>
      </c>
      <c r="B469" s="179">
        <f t="shared" si="16"/>
        <v>1426739</v>
      </c>
      <c r="C469" s="179">
        <f>E196</f>
        <v>1426739</v>
      </c>
      <c r="D469" s="179"/>
    </row>
    <row r="470" spans="1:7" ht="12.6" customHeight="1" x14ac:dyDescent="0.25">
      <c r="A470" s="179" t="s">
        <v>334</v>
      </c>
      <c r="B470" s="179">
        <f t="shared" si="16"/>
        <v>17053317</v>
      </c>
      <c r="C470" s="179">
        <f>E197</f>
        <v>17053317</v>
      </c>
      <c r="D470" s="179"/>
    </row>
    <row r="471" spans="1:7" ht="12.6" customHeight="1" x14ac:dyDescent="0.25">
      <c r="A471" s="179" t="s">
        <v>494</v>
      </c>
      <c r="B471" s="179">
        <f t="shared" si="16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6"/>
        <v>2677876</v>
      </c>
      <c r="C472" s="179">
        <f>E199</f>
        <v>2677876</v>
      </c>
      <c r="D472" s="179"/>
    </row>
    <row r="473" spans="1:7" ht="12.6" customHeight="1" x14ac:dyDescent="0.25">
      <c r="A473" s="179" t="s">
        <v>495</v>
      </c>
      <c r="B473" s="179">
        <f t="shared" si="16"/>
        <v>7506412</v>
      </c>
      <c r="C473" s="179">
        <f>SUM(E200:E201)</f>
        <v>7506412</v>
      </c>
      <c r="D473" s="179"/>
    </row>
    <row r="474" spans="1:7" ht="12.6" customHeight="1" x14ac:dyDescent="0.25">
      <c r="A474" s="179" t="s">
        <v>339</v>
      </c>
      <c r="B474" s="179">
        <f t="shared" si="16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6"/>
        <v>405798</v>
      </c>
      <c r="C475" s="179">
        <f>E203</f>
        <v>405799</v>
      </c>
      <c r="D475" s="179"/>
    </row>
    <row r="476" spans="1:7" ht="12.6" customHeight="1" x14ac:dyDescent="0.25">
      <c r="A476" s="179" t="s">
        <v>203</v>
      </c>
      <c r="B476" s="179">
        <f>D275</f>
        <v>30038742</v>
      </c>
      <c r="C476" s="179">
        <f>E204</f>
        <v>30038743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20569325</v>
      </c>
      <c r="C478" s="179">
        <f>E217</f>
        <v>20569326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20445740</v>
      </c>
    </row>
    <row r="482" spans="1:12" ht="12.6" customHeight="1" x14ac:dyDescent="0.25">
      <c r="A482" s="180" t="s">
        <v>499</v>
      </c>
      <c r="C482" s="180">
        <f>D339</f>
        <v>20445740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173</v>
      </c>
      <c r="B493" s="257" t="str">
        <f>RIGHT('Prior Year'!C82,4)</f>
        <v>2018</v>
      </c>
      <c r="C493" s="257" t="str">
        <f>RIGHT(C82,4)</f>
        <v>2019</v>
      </c>
      <c r="D493" s="257" t="str">
        <f>RIGHT('Prior Year'!C82,4)</f>
        <v>2018</v>
      </c>
      <c r="E493" s="257" t="str">
        <f>RIGHT(C82,4)</f>
        <v>2019</v>
      </c>
      <c r="F493" s="257" t="str">
        <f>RIGHT('Prior Year'!C82,4)</f>
        <v>2018</v>
      </c>
      <c r="G493" s="257" t="str">
        <f>RIGHT(C82,4)</f>
        <v>2019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f>'Prior Year'!C71</f>
        <v>0</v>
      </c>
      <c r="C496" s="236">
        <f>C71</f>
        <v>0</v>
      </c>
      <c r="D496" s="236">
        <f>'Prior Year'!C59</f>
        <v>0</v>
      </c>
      <c r="E496" s="180">
        <f>C59</f>
        <v>0</v>
      </c>
      <c r="F496" s="259" t="str">
        <f t="shared" ref="F496:G511" si="17">IF(B496=0,"",IF(D496=0,"",B496/D496))</f>
        <v/>
      </c>
      <c r="G496" s="260" t="str">
        <f t="shared" si="17"/>
        <v/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f>'Prior Year'!D71</f>
        <v>0</v>
      </c>
      <c r="C497" s="236">
        <f>D71</f>
        <v>0</v>
      </c>
      <c r="D497" s="236">
        <f>'Prior Year'!D59</f>
        <v>0</v>
      </c>
      <c r="E497" s="180">
        <f>D59</f>
        <v>0</v>
      </c>
      <c r="F497" s="259" t="str">
        <f t="shared" si="17"/>
        <v/>
      </c>
      <c r="G497" s="259" t="str">
        <f t="shared" si="17"/>
        <v/>
      </c>
      <c r="H497" s="261" t="str">
        <f t="shared" ref="H497:H550" si="18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f>'Prior Year'!E71</f>
        <v>2508439</v>
      </c>
      <c r="C498" s="236">
        <f>E71</f>
        <v>2918493</v>
      </c>
      <c r="D498" s="236">
        <f>'Prior Year'!E59</f>
        <v>575</v>
      </c>
      <c r="E498" s="180">
        <f>E59</f>
        <v>631</v>
      </c>
      <c r="F498" s="259">
        <f t="shared" si="17"/>
        <v>4362.5026086956523</v>
      </c>
      <c r="G498" s="259">
        <f t="shared" si="17"/>
        <v>4625.187004754358</v>
      </c>
      <c r="H498" s="261" t="str">
        <f t="shared" si="18"/>
        <v/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f>'Prior Year'!F71</f>
        <v>0</v>
      </c>
      <c r="C499" s="236">
        <f>F71</f>
        <v>0</v>
      </c>
      <c r="D499" s="236">
        <f>'Prior Year'!F59</f>
        <v>0</v>
      </c>
      <c r="E499" s="180">
        <f>F59</f>
        <v>0</v>
      </c>
      <c r="F499" s="259" t="str">
        <f t="shared" si="17"/>
        <v/>
      </c>
      <c r="G499" s="259" t="str">
        <f t="shared" si="17"/>
        <v/>
      </c>
      <c r="H499" s="261" t="str">
        <f t="shared" si="18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f>'Prior Year'!G71</f>
        <v>0</v>
      </c>
      <c r="C500" s="236">
        <f>G71</f>
        <v>0</v>
      </c>
      <c r="D500" s="236">
        <f>'Prior Year'!G59</f>
        <v>0</v>
      </c>
      <c r="E500" s="180">
        <f>G59</f>
        <v>0</v>
      </c>
      <c r="F500" s="259" t="str">
        <f t="shared" si="17"/>
        <v/>
      </c>
      <c r="G500" s="259" t="str">
        <f t="shared" si="17"/>
        <v/>
      </c>
      <c r="H500" s="261" t="str">
        <f t="shared" si="18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f>'Prior Year'!H71</f>
        <v>0</v>
      </c>
      <c r="C501" s="236">
        <f>H71</f>
        <v>0</v>
      </c>
      <c r="D501" s="236">
        <f>'Prior Year'!H59</f>
        <v>0</v>
      </c>
      <c r="E501" s="180">
        <f>H59</f>
        <v>0</v>
      </c>
      <c r="F501" s="259" t="str">
        <f t="shared" si="17"/>
        <v/>
      </c>
      <c r="G501" s="259" t="str">
        <f t="shared" si="17"/>
        <v/>
      </c>
      <c r="H501" s="261" t="str">
        <f t="shared" si="18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f>'Prior Year'!I71</f>
        <v>0</v>
      </c>
      <c r="C502" s="236">
        <f>I71</f>
        <v>0</v>
      </c>
      <c r="D502" s="236">
        <f>'Prior Year'!I59</f>
        <v>0</v>
      </c>
      <c r="E502" s="180">
        <f>I59</f>
        <v>0</v>
      </c>
      <c r="F502" s="259" t="str">
        <f t="shared" si="17"/>
        <v/>
      </c>
      <c r="G502" s="259" t="str">
        <f t="shared" si="17"/>
        <v/>
      </c>
      <c r="H502" s="261" t="str">
        <f t="shared" si="18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f>'Prior Year'!J71</f>
        <v>0</v>
      </c>
      <c r="C503" s="236">
        <f>J71</f>
        <v>0</v>
      </c>
      <c r="D503" s="236">
        <f>'Prior Year'!J59</f>
        <v>0</v>
      </c>
      <c r="E503" s="180">
        <f>J59</f>
        <v>0</v>
      </c>
      <c r="F503" s="259" t="str">
        <f t="shared" si="17"/>
        <v/>
      </c>
      <c r="G503" s="259" t="str">
        <f t="shared" si="17"/>
        <v/>
      </c>
      <c r="H503" s="261" t="str">
        <f t="shared" si="18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f>'Prior Year'!K71</f>
        <v>0</v>
      </c>
      <c r="C504" s="236">
        <f>K71</f>
        <v>1139484</v>
      </c>
      <c r="D504" s="236">
        <f>'Prior Year'!K59</f>
        <v>0</v>
      </c>
      <c r="E504" s="180">
        <f>K59</f>
        <v>4089</v>
      </c>
      <c r="F504" s="259" t="str">
        <f t="shared" si="17"/>
        <v/>
      </c>
      <c r="G504" s="259">
        <f t="shared" si="17"/>
        <v>278.6705796038151</v>
      </c>
      <c r="H504" s="261" t="str">
        <f t="shared" si="18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f>'Prior Year'!L71</f>
        <v>1144223</v>
      </c>
      <c r="C505" s="236">
        <f>L71</f>
        <v>0</v>
      </c>
      <c r="D505" s="236">
        <f>'Prior Year'!L59</f>
        <v>4767</v>
      </c>
      <c r="E505" s="180" t="str">
        <f>L59</f>
        <v xml:space="preserve"> </v>
      </c>
      <c r="F505" s="259">
        <f t="shared" si="17"/>
        <v>240.02999790224459</v>
      </c>
      <c r="G505" s="259" t="str">
        <f t="shared" si="17"/>
        <v/>
      </c>
      <c r="H505" s="261" t="str">
        <f t="shared" si="18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f>'Prior Year'!M71</f>
        <v>0</v>
      </c>
      <c r="C506" s="236">
        <f>M71</f>
        <v>0</v>
      </c>
      <c r="D506" s="236">
        <f>'Prior Year'!M59</f>
        <v>0</v>
      </c>
      <c r="E506" s="180">
        <f>M59</f>
        <v>0</v>
      </c>
      <c r="F506" s="259" t="str">
        <f t="shared" si="17"/>
        <v/>
      </c>
      <c r="G506" s="259" t="str">
        <f t="shared" si="17"/>
        <v/>
      </c>
      <c r="H506" s="261" t="str">
        <f t="shared" si="18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f>'Prior Year'!N71</f>
        <v>194467</v>
      </c>
      <c r="C507" s="236">
        <f>N71</f>
        <v>0</v>
      </c>
      <c r="D507" s="236">
        <f>'Prior Year'!N59</f>
        <v>0</v>
      </c>
      <c r="E507" s="180">
        <f>N59</f>
        <v>0</v>
      </c>
      <c r="F507" s="259" t="str">
        <f t="shared" si="17"/>
        <v/>
      </c>
      <c r="G507" s="259" t="str">
        <f t="shared" si="17"/>
        <v/>
      </c>
      <c r="H507" s="261" t="str">
        <f t="shared" si="18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f>'Prior Year'!O71</f>
        <v>0</v>
      </c>
      <c r="C508" s="236">
        <f>O71</f>
        <v>0</v>
      </c>
      <c r="D508" s="236">
        <f>'Prior Year'!O59</f>
        <v>0</v>
      </c>
      <c r="E508" s="180">
        <f>O59</f>
        <v>0</v>
      </c>
      <c r="F508" s="259" t="str">
        <f t="shared" si="17"/>
        <v/>
      </c>
      <c r="G508" s="259" t="str">
        <f t="shared" si="17"/>
        <v/>
      </c>
      <c r="H508" s="261" t="str">
        <f t="shared" si="18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f>'Prior Year'!P71</f>
        <v>419343</v>
      </c>
      <c r="C509" s="236">
        <f>P71</f>
        <v>433393</v>
      </c>
      <c r="D509" s="236">
        <f>'Prior Year'!P59</f>
        <v>8208</v>
      </c>
      <c r="E509" s="180">
        <f>P59</f>
        <v>12536</v>
      </c>
      <c r="F509" s="259">
        <f t="shared" si="17"/>
        <v>51.089546783625728</v>
      </c>
      <c r="G509" s="259">
        <f t="shared" si="17"/>
        <v>34.571873005743456</v>
      </c>
      <c r="H509" s="261">
        <f t="shared" si="18"/>
        <v>-0.3233082855057976</v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f>'Prior Year'!Q71</f>
        <v>0</v>
      </c>
      <c r="C510" s="236">
        <f>Q71</f>
        <v>0</v>
      </c>
      <c r="D510" s="236">
        <f>'Prior Year'!Q59</f>
        <v>0</v>
      </c>
      <c r="E510" s="180">
        <f>Q59</f>
        <v>0</v>
      </c>
      <c r="F510" s="259" t="str">
        <f t="shared" si="17"/>
        <v/>
      </c>
      <c r="G510" s="259" t="str">
        <f t="shared" si="17"/>
        <v/>
      </c>
      <c r="H510" s="261" t="str">
        <f t="shared" si="18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f>'Prior Year'!R71</f>
        <v>562323</v>
      </c>
      <c r="C511" s="236">
        <f>R71</f>
        <v>554824</v>
      </c>
      <c r="D511" s="236">
        <f>'Prior Year'!R59</f>
        <v>13736</v>
      </c>
      <c r="E511" s="180">
        <f>R59</f>
        <v>21310</v>
      </c>
      <c r="F511" s="259">
        <f t="shared" si="17"/>
        <v>40.937900407687827</v>
      </c>
      <c r="G511" s="259">
        <f t="shared" si="17"/>
        <v>26.035851712810889</v>
      </c>
      <c r="H511" s="261">
        <f t="shared" si="18"/>
        <v>-0.36401594968164142</v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f>'Prior Year'!S71</f>
        <v>33914</v>
      </c>
      <c r="C512" s="236">
        <f>S71</f>
        <v>77985</v>
      </c>
      <c r="D512" s="181" t="s">
        <v>529</v>
      </c>
      <c r="E512" s="181" t="s">
        <v>529</v>
      </c>
      <c r="F512" s="259" t="str">
        <f t="shared" ref="F512:G527" si="19">IF(B512=0,"",IF(D512=0,"",B512/D512))</f>
        <v/>
      </c>
      <c r="G512" s="259" t="str">
        <f t="shared" si="19"/>
        <v/>
      </c>
      <c r="H512" s="261" t="str">
        <f t="shared" si="18"/>
        <v/>
      </c>
      <c r="I512" s="263"/>
      <c r="K512" s="257"/>
      <c r="L512" s="257"/>
    </row>
    <row r="513" spans="1:12" ht="12.6" customHeight="1" x14ac:dyDescent="0.25">
      <c r="A513" s="180" t="s">
        <v>982</v>
      </c>
      <c r="B513" s="236">
        <f>'Prior Year'!T71</f>
        <v>0</v>
      </c>
      <c r="C513" s="236">
        <f>T71</f>
        <v>0</v>
      </c>
      <c r="D513" s="181" t="s">
        <v>529</v>
      </c>
      <c r="E513" s="181" t="s">
        <v>529</v>
      </c>
      <c r="F513" s="259" t="str">
        <f t="shared" si="19"/>
        <v/>
      </c>
      <c r="G513" s="259" t="str">
        <f t="shared" si="19"/>
        <v/>
      </c>
      <c r="H513" s="261" t="str">
        <f t="shared" si="18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f>'Prior Year'!U71</f>
        <v>1161768</v>
      </c>
      <c r="C514" s="236">
        <f>U71</f>
        <v>1143158</v>
      </c>
      <c r="D514" s="236">
        <f>'Prior Year'!U59</f>
        <v>48014</v>
      </c>
      <c r="E514" s="180">
        <f>U59</f>
        <v>44807</v>
      </c>
      <c r="F514" s="259">
        <f t="shared" si="19"/>
        <v>24.196442704211272</v>
      </c>
      <c r="G514" s="259">
        <f t="shared" si="19"/>
        <v>25.512933247037292</v>
      </c>
      <c r="H514" s="261" t="str">
        <f t="shared" si="18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f>'Prior Year'!V71</f>
        <v>0</v>
      </c>
      <c r="C515" s="236">
        <f>V71</f>
        <v>0</v>
      </c>
      <c r="D515" s="236">
        <f>'Prior Year'!V59</f>
        <v>0</v>
      </c>
      <c r="E515" s="180">
        <f>V59</f>
        <v>0</v>
      </c>
      <c r="F515" s="259" t="str">
        <f t="shared" si="19"/>
        <v/>
      </c>
      <c r="G515" s="259" t="str">
        <f t="shared" si="19"/>
        <v/>
      </c>
      <c r="H515" s="261" t="str">
        <f t="shared" si="18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f>'Prior Year'!W71</f>
        <v>150688</v>
      </c>
      <c r="C516" s="236">
        <f>W71</f>
        <v>141945</v>
      </c>
      <c r="D516" s="236">
        <f>'Prior Year'!W59</f>
        <v>293</v>
      </c>
      <c r="E516" s="180">
        <f>W59</f>
        <v>277</v>
      </c>
      <c r="F516" s="259">
        <f t="shared" si="19"/>
        <v>514.29351535836179</v>
      </c>
      <c r="G516" s="259">
        <f t="shared" si="19"/>
        <v>512.43682310469319</v>
      </c>
      <c r="H516" s="261" t="str">
        <f t="shared" si="18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f>'Prior Year'!X71</f>
        <v>108056</v>
      </c>
      <c r="C517" s="236">
        <f>X71</f>
        <v>140291</v>
      </c>
      <c r="D517" s="236">
        <f>'Prior Year'!X59</f>
        <v>1459</v>
      </c>
      <c r="E517" s="180">
        <f>X59</f>
        <v>1589</v>
      </c>
      <c r="F517" s="259">
        <f t="shared" si="19"/>
        <v>74.061686086360524</v>
      </c>
      <c r="G517" s="259">
        <f t="shared" si="19"/>
        <v>88.288860918816866</v>
      </c>
      <c r="H517" s="261" t="str">
        <f t="shared" si="18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f>'Prior Year'!Y71</f>
        <v>844657</v>
      </c>
      <c r="C518" s="236">
        <f>Y71</f>
        <v>870987</v>
      </c>
      <c r="D518" s="236">
        <f>'Prior Year'!Y59</f>
        <v>5328</v>
      </c>
      <c r="E518" s="180">
        <f>Y59</f>
        <v>4450</v>
      </c>
      <c r="F518" s="259">
        <f t="shared" si="19"/>
        <v>158.53171921921921</v>
      </c>
      <c r="G518" s="259">
        <f t="shared" si="19"/>
        <v>195.72741573033707</v>
      </c>
      <c r="H518" s="261" t="str">
        <f t="shared" si="18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f>'Prior Year'!Z71</f>
        <v>0</v>
      </c>
      <c r="C519" s="236">
        <f>Z71</f>
        <v>0</v>
      </c>
      <c r="D519" s="236">
        <f>'Prior Year'!Z59</f>
        <v>0</v>
      </c>
      <c r="E519" s="180">
        <f>Z59</f>
        <v>0</v>
      </c>
      <c r="F519" s="259" t="str">
        <f t="shared" si="19"/>
        <v/>
      </c>
      <c r="G519" s="259" t="str">
        <f t="shared" si="19"/>
        <v/>
      </c>
      <c r="H519" s="261" t="str">
        <f t="shared" si="18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f>'Prior Year'!AA71</f>
        <v>119083</v>
      </c>
      <c r="C520" s="236">
        <f>AA71</f>
        <v>101186</v>
      </c>
      <c r="D520" s="236">
        <f>'Prior Year'!AA59</f>
        <v>80</v>
      </c>
      <c r="E520" s="180">
        <f>AA59</f>
        <v>63</v>
      </c>
      <c r="F520" s="259">
        <f t="shared" si="19"/>
        <v>1488.5374999999999</v>
      </c>
      <c r="G520" s="259">
        <f t="shared" si="19"/>
        <v>1606.1269841269841</v>
      </c>
      <c r="H520" s="261" t="str">
        <f t="shared" si="18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f>'Prior Year'!AB71</f>
        <v>925664</v>
      </c>
      <c r="C521" s="236">
        <f>AB71</f>
        <v>1165042</v>
      </c>
      <c r="D521" s="181" t="s">
        <v>529</v>
      </c>
      <c r="E521" s="181" t="s">
        <v>529</v>
      </c>
      <c r="F521" s="259" t="str">
        <f t="shared" si="19"/>
        <v/>
      </c>
      <c r="G521" s="259" t="str">
        <f t="shared" si="19"/>
        <v/>
      </c>
      <c r="H521" s="261" t="str">
        <f t="shared" si="18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f>'Prior Year'!AC71</f>
        <v>689677</v>
      </c>
      <c r="C522" s="236">
        <f>AC71</f>
        <v>522284</v>
      </c>
      <c r="D522" s="236">
        <f>'Prior Year'!AC59</f>
        <v>11005</v>
      </c>
      <c r="E522" s="180">
        <f>AC59</f>
        <v>9815</v>
      </c>
      <c r="F522" s="259">
        <f t="shared" si="19"/>
        <v>62.669422989550206</v>
      </c>
      <c r="G522" s="259">
        <f t="shared" si="19"/>
        <v>53.212837493632193</v>
      </c>
      <c r="H522" s="261" t="str">
        <f t="shared" si="18"/>
        <v/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f>'Prior Year'!AD71</f>
        <v>0</v>
      </c>
      <c r="C523" s="236">
        <f>AD71</f>
        <v>0</v>
      </c>
      <c r="D523" s="236">
        <f>'Prior Year'!AD59</f>
        <v>0</v>
      </c>
      <c r="E523" s="180">
        <f>AD59</f>
        <v>0</v>
      </c>
      <c r="F523" s="259" t="str">
        <f t="shared" si="19"/>
        <v/>
      </c>
      <c r="G523" s="259" t="str">
        <f t="shared" si="19"/>
        <v/>
      </c>
      <c r="H523" s="261" t="str">
        <f t="shared" si="18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f>'Prior Year'!AE71</f>
        <v>1170484</v>
      </c>
      <c r="C524" s="236">
        <f>AE71</f>
        <v>1329063</v>
      </c>
      <c r="D524" s="236">
        <f>'Prior Year'!AE59</f>
        <v>20386</v>
      </c>
      <c r="E524" s="180">
        <f>AE59</f>
        <v>21340</v>
      </c>
      <c r="F524" s="259">
        <f t="shared" si="19"/>
        <v>57.41606985185912</v>
      </c>
      <c r="G524" s="259">
        <f t="shared" si="19"/>
        <v>62.280365510777884</v>
      </c>
      <c r="H524" s="261" t="str">
        <f t="shared" si="18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f>'Prior Year'!AF71</f>
        <v>0</v>
      </c>
      <c r="C525" s="236">
        <f>AF71</f>
        <v>0</v>
      </c>
      <c r="D525" s="236">
        <f>'Prior Year'!AF59</f>
        <v>0</v>
      </c>
      <c r="E525" s="180">
        <f>AF59</f>
        <v>0</v>
      </c>
      <c r="F525" s="259" t="str">
        <f t="shared" si="19"/>
        <v/>
      </c>
      <c r="G525" s="259" t="str">
        <f t="shared" si="19"/>
        <v/>
      </c>
      <c r="H525" s="261" t="str">
        <f t="shared" si="18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f>'Prior Year'!AG71</f>
        <v>2526817</v>
      </c>
      <c r="C526" s="236">
        <f>AG71</f>
        <v>2603565</v>
      </c>
      <c r="D526" s="236">
        <f>'Prior Year'!AG59</f>
        <v>4456</v>
      </c>
      <c r="E526" s="180">
        <f>AG59</f>
        <v>4721</v>
      </c>
      <c r="F526" s="259">
        <f t="shared" si="19"/>
        <v>567.05947037701969</v>
      </c>
      <c r="G526" s="259">
        <f t="shared" si="19"/>
        <v>551.48591400127088</v>
      </c>
      <c r="H526" s="261" t="str">
        <f t="shared" si="18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f>'Prior Year'!AH71</f>
        <v>0</v>
      </c>
      <c r="C527" s="236">
        <f>AH71</f>
        <v>42206</v>
      </c>
      <c r="D527" s="236">
        <f>'Prior Year'!AH59</f>
        <v>0</v>
      </c>
      <c r="E527" s="180">
        <f>AH59</f>
        <v>0</v>
      </c>
      <c r="F527" s="259" t="str">
        <f t="shared" si="19"/>
        <v/>
      </c>
      <c r="G527" s="259" t="str">
        <f t="shared" si="19"/>
        <v/>
      </c>
      <c r="H527" s="261" t="str">
        <f t="shared" si="18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f>'Prior Year'!AI71</f>
        <v>39022</v>
      </c>
      <c r="C528" s="236">
        <f>AI71</f>
        <v>33968</v>
      </c>
      <c r="D528" s="236">
        <f>'Prior Year'!AI59</f>
        <v>0</v>
      </c>
      <c r="E528" s="180">
        <f>AI59</f>
        <v>0</v>
      </c>
      <c r="F528" s="259" t="str">
        <f t="shared" ref="F528:G540" si="20">IF(B528=0,"",IF(D528=0,"",B528/D528))</f>
        <v/>
      </c>
      <c r="G528" s="259" t="str">
        <f t="shared" si="20"/>
        <v/>
      </c>
      <c r="H528" s="261" t="str">
        <f t="shared" si="18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f>'Prior Year'!AJ71+2856567</f>
        <v>3397451</v>
      </c>
      <c r="C529" s="236">
        <f>AJ71</f>
        <v>3701437</v>
      </c>
      <c r="D529" s="236">
        <f>'Prior Year'!AJ59+12963</f>
        <v>14096</v>
      </c>
      <c r="E529" s="180">
        <f>AJ59</f>
        <v>12631</v>
      </c>
      <c r="F529" s="259">
        <f t="shared" si="20"/>
        <v>241.02234676503971</v>
      </c>
      <c r="G529" s="259">
        <f t="shared" si="20"/>
        <v>293.04386034359908</v>
      </c>
      <c r="H529" s="261" t="str">
        <f t="shared" si="18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f>'Prior Year'!AK71</f>
        <v>0</v>
      </c>
      <c r="C530" s="236">
        <f>AK71</f>
        <v>0</v>
      </c>
      <c r="D530" s="236">
        <f>'Prior Year'!AK59</f>
        <v>0</v>
      </c>
      <c r="E530" s="180">
        <f>AK59</f>
        <v>0</v>
      </c>
      <c r="F530" s="259" t="str">
        <f t="shared" si="20"/>
        <v/>
      </c>
      <c r="G530" s="259" t="str">
        <f t="shared" si="20"/>
        <v/>
      </c>
      <c r="H530" s="261" t="str">
        <f t="shared" si="18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f>'Prior Year'!AL71</f>
        <v>0</v>
      </c>
      <c r="C531" s="236">
        <f>AL71</f>
        <v>0</v>
      </c>
      <c r="D531" s="236">
        <f>'Prior Year'!AL59</f>
        <v>0</v>
      </c>
      <c r="E531" s="180">
        <f>AL59</f>
        <v>0</v>
      </c>
      <c r="F531" s="259" t="str">
        <f t="shared" si="20"/>
        <v/>
      </c>
      <c r="G531" s="259" t="str">
        <f t="shared" si="20"/>
        <v/>
      </c>
      <c r="H531" s="261" t="str">
        <f t="shared" si="18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f>'Prior Year'!AM71</f>
        <v>69927</v>
      </c>
      <c r="C532" s="236">
        <f>AM71</f>
        <v>0</v>
      </c>
      <c r="D532" s="236">
        <f>'Prior Year'!AM59</f>
        <v>0</v>
      </c>
      <c r="E532" s="180">
        <f>AM59</f>
        <v>0</v>
      </c>
      <c r="F532" s="259" t="str">
        <f t="shared" si="20"/>
        <v/>
      </c>
      <c r="G532" s="259" t="str">
        <f t="shared" si="20"/>
        <v/>
      </c>
      <c r="H532" s="261" t="str">
        <f t="shared" si="18"/>
        <v/>
      </c>
      <c r="I532" s="263"/>
      <c r="K532" s="257"/>
      <c r="L532" s="257"/>
    </row>
    <row r="533" spans="1:12" ht="12.6" customHeight="1" x14ac:dyDescent="0.25">
      <c r="A533" s="180" t="s">
        <v>983</v>
      </c>
      <c r="B533" s="236">
        <f>'Prior Year'!AN71</f>
        <v>0</v>
      </c>
      <c r="C533" s="236">
        <f>AN71</f>
        <v>0</v>
      </c>
      <c r="D533" s="236">
        <f>'Prior Year'!AN59</f>
        <v>0</v>
      </c>
      <c r="E533" s="180">
        <f>AN59</f>
        <v>0</v>
      </c>
      <c r="F533" s="259" t="str">
        <f t="shared" si="20"/>
        <v/>
      </c>
      <c r="G533" s="259" t="str">
        <f t="shared" si="20"/>
        <v/>
      </c>
      <c r="H533" s="261" t="str">
        <f t="shared" si="18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f>'Prior Year'!AO71</f>
        <v>0</v>
      </c>
      <c r="C534" s="236">
        <f>AO71</f>
        <v>0</v>
      </c>
      <c r="D534" s="236">
        <f>'Prior Year'!AO59</f>
        <v>0</v>
      </c>
      <c r="E534" s="180">
        <f>AO59</f>
        <v>0</v>
      </c>
      <c r="F534" s="259" t="str">
        <f t="shared" si="20"/>
        <v/>
      </c>
      <c r="G534" s="259" t="str">
        <f t="shared" si="20"/>
        <v/>
      </c>
      <c r="H534" s="261" t="str">
        <f t="shared" si="18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f>'Prior Year'!AP71-2856567</f>
        <v>0</v>
      </c>
      <c r="C535" s="236">
        <f>AP71</f>
        <v>0</v>
      </c>
      <c r="D535" s="236">
        <f>'Prior Year'!AP59-12963</f>
        <v>0</v>
      </c>
      <c r="E535" s="180">
        <f>AP59</f>
        <v>0</v>
      </c>
      <c r="F535" s="259" t="str">
        <f t="shared" si="20"/>
        <v/>
      </c>
      <c r="G535" s="259" t="str">
        <f t="shared" si="20"/>
        <v/>
      </c>
      <c r="H535" s="261" t="str">
        <f t="shared" si="18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f>'Prior Year'!AQ71</f>
        <v>0</v>
      </c>
      <c r="C536" s="236">
        <f>AQ71</f>
        <v>0</v>
      </c>
      <c r="D536" s="236">
        <f>'Prior Year'!AQ59</f>
        <v>0</v>
      </c>
      <c r="E536" s="180">
        <f>AQ59</f>
        <v>0</v>
      </c>
      <c r="F536" s="259" t="str">
        <f t="shared" si="20"/>
        <v/>
      </c>
      <c r="G536" s="259" t="str">
        <f t="shared" si="20"/>
        <v/>
      </c>
      <c r="H536" s="261" t="str">
        <f t="shared" si="18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f>'Prior Year'!AR71</f>
        <v>0</v>
      </c>
      <c r="C537" s="236">
        <f>AR71</f>
        <v>0</v>
      </c>
      <c r="D537" s="236">
        <f>'Prior Year'!AR59</f>
        <v>0</v>
      </c>
      <c r="E537" s="180">
        <f>AR59</f>
        <v>0</v>
      </c>
      <c r="F537" s="259" t="str">
        <f t="shared" si="20"/>
        <v/>
      </c>
      <c r="G537" s="259" t="str">
        <f t="shared" si="20"/>
        <v/>
      </c>
      <c r="H537" s="261" t="str">
        <f t="shared" si="18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f>'Prior Year'!AS71</f>
        <v>0</v>
      </c>
      <c r="C538" s="236">
        <f>AS71</f>
        <v>0</v>
      </c>
      <c r="D538" s="236">
        <f>'Prior Year'!AS59</f>
        <v>0</v>
      </c>
      <c r="E538" s="180">
        <f>AS59</f>
        <v>0</v>
      </c>
      <c r="F538" s="259" t="str">
        <f t="shared" si="20"/>
        <v/>
      </c>
      <c r="G538" s="259" t="str">
        <f t="shared" si="20"/>
        <v/>
      </c>
      <c r="H538" s="261" t="str">
        <f t="shared" si="18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f>'Prior Year'!AT71</f>
        <v>0</v>
      </c>
      <c r="C539" s="236">
        <f>AT71</f>
        <v>0</v>
      </c>
      <c r="D539" s="236">
        <f>'Prior Year'!AT59</f>
        <v>0</v>
      </c>
      <c r="E539" s="180">
        <f>AT59</f>
        <v>0</v>
      </c>
      <c r="F539" s="259" t="str">
        <f t="shared" si="20"/>
        <v/>
      </c>
      <c r="G539" s="259" t="str">
        <f t="shared" si="20"/>
        <v/>
      </c>
      <c r="H539" s="261" t="str">
        <f t="shared" si="18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f>'Prior Year'!AU71</f>
        <v>0</v>
      </c>
      <c r="C540" s="236">
        <f>AU71</f>
        <v>0</v>
      </c>
      <c r="D540" s="236">
        <f>'Prior Year'!AU59</f>
        <v>0</v>
      </c>
      <c r="E540" s="180">
        <f>AU59</f>
        <v>0</v>
      </c>
      <c r="F540" s="259" t="str">
        <f t="shared" si="20"/>
        <v/>
      </c>
      <c r="G540" s="259" t="str">
        <f t="shared" si="20"/>
        <v/>
      </c>
      <c r="H540" s="261" t="str">
        <f t="shared" si="18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f>'Prior Year'!AV71</f>
        <v>534908</v>
      </c>
      <c r="C541" s="236">
        <f>AV71</f>
        <v>545491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984</v>
      </c>
      <c r="B542" s="236">
        <f>'Prior Year'!AW71</f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f>'Prior Year'!AX71</f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f>'Prior Year'!AY71</f>
        <v>772034</v>
      </c>
      <c r="C544" s="236">
        <f>AY71</f>
        <v>862879</v>
      </c>
      <c r="D544" s="236">
        <f>'Prior Year'!AY59</f>
        <v>63442</v>
      </c>
      <c r="E544" s="180">
        <f>AY59</f>
        <v>58125</v>
      </c>
      <c r="F544" s="259">
        <f t="shared" ref="F544:G550" si="21">IF(B544=0,"",IF(D544=0,"",B544/D544))</f>
        <v>12.169130859682859</v>
      </c>
      <c r="G544" s="259">
        <f t="shared" si="21"/>
        <v>14.845230107526882</v>
      </c>
      <c r="H544" s="261" t="str">
        <f t="shared" si="18"/>
        <v/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f>'Prior Year'!AZ71</f>
        <v>0</v>
      </c>
      <c r="C545" s="236">
        <f>AZ71</f>
        <v>0</v>
      </c>
      <c r="D545" s="236">
        <f>'Prior Year'!AZ59</f>
        <v>0</v>
      </c>
      <c r="E545" s="180" t="str">
        <f>AZ59</f>
        <v xml:space="preserve"> </v>
      </c>
      <c r="F545" s="259" t="str">
        <f t="shared" si="21"/>
        <v/>
      </c>
      <c r="G545" s="259" t="str">
        <f t="shared" si="21"/>
        <v/>
      </c>
      <c r="H545" s="261" t="str">
        <f t="shared" si="18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f>'Prior Year'!BA71</f>
        <v>167405</v>
      </c>
      <c r="C546" s="236">
        <f>BA71</f>
        <v>156654</v>
      </c>
      <c r="D546" s="236">
        <f>'Prior Year'!BA59</f>
        <v>0</v>
      </c>
      <c r="E546" s="180">
        <f>BA59</f>
        <v>0</v>
      </c>
      <c r="F546" s="259" t="str">
        <f t="shared" si="21"/>
        <v/>
      </c>
      <c r="G546" s="259" t="str">
        <f t="shared" si="21"/>
        <v/>
      </c>
      <c r="H546" s="261" t="str">
        <f t="shared" si="18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f>'Prior Year'!BB71</f>
        <v>123143</v>
      </c>
      <c r="C547" s="236">
        <f>BB71</f>
        <v>89585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f>'Prior Year'!BC71</f>
        <v>43776</v>
      </c>
      <c r="C548" s="236">
        <f>BC71</f>
        <v>41499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f>'Prior Year'!BD71</f>
        <v>150778</v>
      </c>
      <c r="C549" s="236">
        <f>BD71</f>
        <v>145066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f>'Prior Year'!BE71</f>
        <v>1344915</v>
      </c>
      <c r="C550" s="236">
        <f>BE71</f>
        <v>1380906</v>
      </c>
      <c r="D550" s="236">
        <f>'Prior Year'!BE59</f>
        <v>78437</v>
      </c>
      <c r="E550" s="180">
        <f>BE59</f>
        <v>78440</v>
      </c>
      <c r="F550" s="259">
        <f t="shared" si="21"/>
        <v>17.146435993217487</v>
      </c>
      <c r="G550" s="259">
        <f t="shared" si="21"/>
        <v>17.604614992350843</v>
      </c>
      <c r="H550" s="261" t="str">
        <f t="shared" si="18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f>'Prior Year'!BF71</f>
        <v>476185</v>
      </c>
      <c r="C551" s="236">
        <f>BF71</f>
        <v>469801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f>'Prior Year'!BG71</f>
        <v>218809</v>
      </c>
      <c r="C552" s="236">
        <f>BG71</f>
        <v>269881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f>'Prior Year'!BH71</f>
        <v>1408035</v>
      </c>
      <c r="C553" s="236">
        <f>BH71</f>
        <v>1727004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f>'Prior Year'!BI71</f>
        <v>0</v>
      </c>
      <c r="C554" s="236">
        <f>BI71</f>
        <v>500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f>'Prior Year'!BJ71</f>
        <v>444168</v>
      </c>
      <c r="C555" s="236">
        <f>BJ71</f>
        <v>463242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f>'Prior Year'!BK71</f>
        <v>828143</v>
      </c>
      <c r="C556" s="236">
        <f>BK71</f>
        <v>888132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f>'Prior Year'!BL71</f>
        <v>470603</v>
      </c>
      <c r="C557" s="236">
        <f>BL71</f>
        <v>477861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f>'Prior Year'!BM71</f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f>'Prior Year'!BN71</f>
        <v>1294972</v>
      </c>
      <c r="C559" s="236">
        <f>BN71</f>
        <v>1540657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f>'Prior Year'!BO71</f>
        <v>98465</v>
      </c>
      <c r="C560" s="236">
        <f>BO71</f>
        <v>217785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f>'Prior Year'!BP71</f>
        <v>0</v>
      </c>
      <c r="C561" s="236">
        <f>BP71</f>
        <v>0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f>'Prior Year'!BQ71</f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f>'Prior Year'!BR71</f>
        <v>372613</v>
      </c>
      <c r="C563" s="236">
        <f>BR71</f>
        <v>556826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985</v>
      </c>
      <c r="B564" s="236">
        <f>'Prior Year'!BS71</f>
        <v>0</v>
      </c>
      <c r="C564" s="236">
        <f>BS71</f>
        <v>0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f>'Prior Year'!BT71</f>
        <v>0</v>
      </c>
      <c r="C565" s="236">
        <f>BT71</f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f>'Prior Year'!BU71</f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f>'Prior Year'!BV71</f>
        <v>259524</v>
      </c>
      <c r="C567" s="236">
        <f>BV71</f>
        <v>233029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f>'Prior Year'!BW71</f>
        <v>0</v>
      </c>
      <c r="C568" s="236">
        <f>BW71</f>
        <v>0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f>'Prior Year'!BX71</f>
        <v>0</v>
      </c>
      <c r="C569" s="236">
        <f>BX71</f>
        <v>139056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f>'Prior Year'!BY71</f>
        <v>475196</v>
      </c>
      <c r="C570" s="236">
        <f>BY71</f>
        <v>538382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f>'Prior Year'!BZ71</f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f>'Prior Year'!CA71</f>
        <v>0</v>
      </c>
      <c r="C572" s="236">
        <f>CA71</f>
        <v>0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f>'Prior Year'!CB71</f>
        <v>0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f>'Prior Year'!CC71</f>
        <v>853088</v>
      </c>
      <c r="C574" s="236">
        <f>CC71</f>
        <v>612541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f>'Prior Year'!CD71</f>
        <v>0</v>
      </c>
      <c r="C575" s="236">
        <f>CD71</f>
        <v>-155147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54206</v>
      </c>
      <c r="E612" s="180">
        <f>SUM(C624:D647)+SUM(C668:D713)</f>
        <v>25173180.543057963</v>
      </c>
      <c r="F612" s="180">
        <f>CE64-(AX64+BD64+BE64+BG64+BJ64+BN64+BP64+BQ64+CB64+CC64+CD64)</f>
        <v>1771112</v>
      </c>
      <c r="G612" s="180">
        <f>CE77-(AX77+AY77+BD77+BE77+BG77+BJ77+BN77+BP77+BQ77+CB77+CC77+CD77)</f>
        <v>58125</v>
      </c>
      <c r="H612" s="197">
        <f>CE60-(AX60+AY60+AZ60+BD60+BE60+BG60+BJ60+BN60+BO60+BP60+BQ60+BR60+CB60+CC60+CD60)</f>
        <v>50</v>
      </c>
      <c r="I612" s="180">
        <f>CE78-(AX78+AY78+AZ78+BD78+BE78+BF78+BG78+BJ78+BN78+BO78+BP78+BQ78+BR78+CB78+CC78+CD78)</f>
        <v>42950</v>
      </c>
      <c r="J612" s="180">
        <f>CE79-(AX79+AY79+AZ79+BA79+BD79+BE79+BF79+BG79+BJ79+BN79+BO79+BP79+BQ79+BR79+CB79+CC79+CD79)</f>
        <v>180319</v>
      </c>
      <c r="K612" s="180">
        <f>CE75-(AW75+AX75+AY75+AZ75+BA75+BB75+BC75+BD75+BE75+BF75+BG75+BH75+BI75+BJ75+BK75+BL75+BM75+BN75+BO75+BP75+BQ75+BR75+BS75+BT75+BU75+BV75+BW75+BX75+CB75+CC75+CD75)</f>
        <v>45139645</v>
      </c>
      <c r="L612" s="197">
        <f>CE80-(AW80+AX80+AY80+AZ80+BA80+BB80+BC80+BD80+BE80+BF80+BG80+BH80+BI80+BJ80+BK80+BL80+BM80+BN80+BO80+BP80+BQ80+BR80+BS80+BT80+BU80+BV80+BW80+BX80+BY80+BZ80+CA80+CB80+CC80+CD80)</f>
        <v>47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1380906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8">
        <f>CD69-CD70</f>
        <v>-155147</v>
      </c>
      <c r="D615" s="262">
        <f>SUM(C614:C615)</f>
        <v>1225759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463242</v>
      </c>
      <c r="D617" s="180">
        <f>(D615/D612)*BJ76</f>
        <v>30979.777699885621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269881</v>
      </c>
      <c r="D618" s="180">
        <f>(D615/D612)*BG76</f>
        <v>10311.517249013024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1540657</v>
      </c>
      <c r="D619" s="180">
        <f>(D615/D612)*BN76</f>
        <v>20148.161993137292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612541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2947760.4569420358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145066</v>
      </c>
      <c r="D624" s="180">
        <f>(D615/D612)*BD76</f>
        <v>17050.184223148728</v>
      </c>
      <c r="E624" s="180">
        <f>(E623/E612)*SUM(C624:D624)</f>
        <v>18983.682910704487</v>
      </c>
      <c r="F624" s="180">
        <f>SUM(C624:E624)</f>
        <v>181099.86713385323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862879</v>
      </c>
      <c r="D625" s="180">
        <f>(D615/D612)*AY76</f>
        <v>63678.141607940081</v>
      </c>
      <c r="E625" s="180">
        <f>(E623/E612)*SUM(C625:D625)</f>
        <v>108499.1425083285</v>
      </c>
      <c r="F625" s="180">
        <f>(F624/F612)*AY64</f>
        <v>22793.724553770266</v>
      </c>
      <c r="G625" s="180">
        <f>SUM(C625:F625)</f>
        <v>1057850.0086700388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556826</v>
      </c>
      <c r="D626" s="180">
        <f>(D615/D612)*BR76</f>
        <v>12708.492749880086</v>
      </c>
      <c r="E626" s="180">
        <f>(E623/E612)*SUM(C626:D626)</f>
        <v>66692.05957987759</v>
      </c>
      <c r="F626" s="180">
        <f>(F624/F612)*BR64</f>
        <v>819.75484035572072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217785</v>
      </c>
      <c r="D627" s="180">
        <f>(D615/D612)*BO76</f>
        <v>0</v>
      </c>
      <c r="E627" s="180">
        <f>(E623/E612)*SUM(C627:D627)</f>
        <v>25502.459254881891</v>
      </c>
      <c r="F627" s="180">
        <f>(F624/F612)*BO64</f>
        <v>1325.3913235238683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797377.76223415765</v>
      </c>
      <c r="H628" s="180">
        <f>SUM(C626:G628)</f>
        <v>1679036.9199826769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469801</v>
      </c>
      <c r="D629" s="180">
        <f>(D615/D612)*BF76</f>
        <v>9022.5775928863968</v>
      </c>
      <c r="E629" s="180">
        <f>(E623/E612)*SUM(C629:D629)</f>
        <v>56069.879825696727</v>
      </c>
      <c r="F629" s="180">
        <f>(F624/F612)*BF64</f>
        <v>4538.3558481162918</v>
      </c>
      <c r="G629" s="180">
        <f>(G625/G612)*BF77</f>
        <v>0</v>
      </c>
      <c r="H629" s="180">
        <f>(H628/H612)*BF60</f>
        <v>0</v>
      </c>
      <c r="I629" s="180">
        <f>SUM(C629:H629)</f>
        <v>539431.81326669944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156654</v>
      </c>
      <c r="D630" s="180">
        <f>(D615/D612)*BA76</f>
        <v>15308.985038556617</v>
      </c>
      <c r="E630" s="180">
        <f>(E623/E612)*SUM(C630:D630)</f>
        <v>20136.735860108154</v>
      </c>
      <c r="F630" s="180">
        <f>(F624/F612)*BA64</f>
        <v>1943.096074751124</v>
      </c>
      <c r="G630" s="180">
        <f>(G625/G612)*BA77</f>
        <v>0</v>
      </c>
      <c r="H630" s="180">
        <f>(H628/H612)*BA60</f>
        <v>0</v>
      </c>
      <c r="I630" s="180">
        <f>(I629/I612)*BA78</f>
        <v>8791.670996197663</v>
      </c>
      <c r="J630" s="180">
        <f>SUM(C630:I630)</f>
        <v>202834.48796961358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89585</v>
      </c>
      <c r="D632" s="180">
        <f>(D615/D612)*BB76</f>
        <v>0</v>
      </c>
      <c r="E632" s="180">
        <f>(E623/E612)*SUM(C632:D632)</f>
        <v>10490.335938419055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41499</v>
      </c>
      <c r="D633" s="180">
        <f>(D615/D612)*BC76</f>
        <v>0</v>
      </c>
      <c r="E633" s="180">
        <f>(E623/E612)*SUM(C633:D633)</f>
        <v>4859.5016030412726</v>
      </c>
      <c r="F633" s="180">
        <f>(F624/F612)*BC64</f>
        <v>3.4765703594978801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500</v>
      </c>
      <c r="D634" s="180">
        <f>(D615/D612)*BI76</f>
        <v>0</v>
      </c>
      <c r="E634" s="180">
        <f>(E623/E612)*SUM(C634:D634)</f>
        <v>58.549622919121816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52255.592248339883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888132</v>
      </c>
      <c r="D635" s="180">
        <f>(D615/D612)*BK76</f>
        <v>30979.777699885621</v>
      </c>
      <c r="E635" s="180">
        <f>(E623/E612)*SUM(C635:D635)</f>
        <v>107627.29600970405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16327.388992938517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1727004</v>
      </c>
      <c r="D636" s="180">
        <f>(D615/D612)*BH76</f>
        <v>1809.0381138619341</v>
      </c>
      <c r="E636" s="180">
        <f>(E623/E612)*SUM(C636:D636)</f>
        <v>202442.70295845598</v>
      </c>
      <c r="F636" s="180">
        <f>(F624/F612)*BH64</f>
        <v>5472.121745849664</v>
      </c>
      <c r="G636" s="180">
        <f>(G625/G612)*BH77</f>
        <v>0</v>
      </c>
      <c r="H636" s="180">
        <f>(H628/H612)*BH60</f>
        <v>0</v>
      </c>
      <c r="I636" s="180">
        <f>(I629/I612)*BH78</f>
        <v>1255.952999456809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477861</v>
      </c>
      <c r="D637" s="180">
        <f>(D615/D612)*BL76</f>
        <v>13929.593476736893</v>
      </c>
      <c r="E637" s="180">
        <f>(E623/E612)*SUM(C637:D637)</f>
        <v>57588.307606468152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7535.7179967408538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233029</v>
      </c>
      <c r="D642" s="180">
        <f>(D615/D612)*BV76</f>
        <v>25643.115263992917</v>
      </c>
      <c r="E642" s="180">
        <f>(E623/E612)*SUM(C642:D642)</f>
        <v>30290.3096167968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12559.529994568089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139056</v>
      </c>
      <c r="D644" s="180">
        <f>(D615/D612)*BX76</f>
        <v>0</v>
      </c>
      <c r="E644" s="180">
        <f>(E623/E612)*SUM(C644:D644)</f>
        <v>16283.352729282806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4194077.6611878169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538382</v>
      </c>
      <c r="D645" s="180">
        <f>(D615/D612)*BY76</f>
        <v>15987.374331254843</v>
      </c>
      <c r="E645" s="180">
        <f>(E623/E612)*SUM(C645:D645)</f>
        <v>64916.235650008923</v>
      </c>
      <c r="F645" s="180">
        <f>(F624/F612)*BY64</f>
        <v>790.81750471637076</v>
      </c>
      <c r="G645" s="180">
        <f>(G625/G612)*BY77</f>
        <v>0</v>
      </c>
      <c r="H645" s="180">
        <f>(H628/H612)*BY60</f>
        <v>0</v>
      </c>
      <c r="I645" s="180">
        <f>(I629/I612)*BY78</f>
        <v>10047.623995654472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630124.05148163461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10656139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2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2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2918493</v>
      </c>
      <c r="D670" s="180">
        <f>(D615/D612)*E76</f>
        <v>414563.69676788547</v>
      </c>
      <c r="E670" s="180">
        <f>(E623/E612)*SUM(C670:D670)</f>
        <v>390298.42552762688</v>
      </c>
      <c r="F670" s="180">
        <f>(F624/F612)*E64</f>
        <v>5651.7786317801865</v>
      </c>
      <c r="G670" s="180">
        <f>(G625/G612)*E77</f>
        <v>115585.46933442437</v>
      </c>
      <c r="H670" s="180">
        <f>(H628/H612)*E60</f>
        <v>604453.29119376361</v>
      </c>
      <c r="I670" s="180">
        <f>(I629/I612)*E78</f>
        <v>113035.7699511128</v>
      </c>
      <c r="J670" s="180">
        <f>(J630/J612)*E79</f>
        <v>31583.952624020818</v>
      </c>
      <c r="K670" s="180">
        <f>(K644/K612)*E75</f>
        <v>354298.10071086453</v>
      </c>
      <c r="L670" s="180">
        <f>(L647/L612)*E80</f>
        <v>241324.10482275367</v>
      </c>
      <c r="M670" s="180">
        <f t="shared" si="22"/>
        <v>2270795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2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2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2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2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2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1139484</v>
      </c>
      <c r="D676" s="180">
        <f>(D615/D612)*K76</f>
        <v>0</v>
      </c>
      <c r="E676" s="180">
        <f>(E623/E612)*SUM(C676:D676)</f>
        <v>133432.71704474519</v>
      </c>
      <c r="F676" s="180">
        <f>(F624/F612)*K64</f>
        <v>5902.0916976640337</v>
      </c>
      <c r="G676" s="180">
        <f>(G625/G612)*K77</f>
        <v>137606.94908480282</v>
      </c>
      <c r="H676" s="180">
        <f>(H628/H612)*K60</f>
        <v>537291.81439445657</v>
      </c>
      <c r="I676" s="180">
        <f>(I629/I612)*K78</f>
        <v>113035.7699511128</v>
      </c>
      <c r="J676" s="180">
        <f>(J630/J612)*K79</f>
        <v>42631.249394464176</v>
      </c>
      <c r="K676" s="180">
        <f>(K644/K612)*K75</f>
        <v>224380.83134182543</v>
      </c>
      <c r="L676" s="180">
        <f>(L647/L612)*K80</f>
        <v>214510.31539800327</v>
      </c>
      <c r="M676" s="180">
        <f t="shared" si="22"/>
        <v>1408792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2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2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2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2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433393</v>
      </c>
      <c r="D681" s="180">
        <f>(D615/D612)*P76</f>
        <v>29306.417444563333</v>
      </c>
      <c r="E681" s="180">
        <f>(E623/E612)*SUM(C681:D681)</f>
        <v>54181.752832553037</v>
      </c>
      <c r="F681" s="180">
        <f>(F624/F612)*P64</f>
        <v>5721.1055348313503</v>
      </c>
      <c r="G681" s="180">
        <f>(G625/G612)*P77</f>
        <v>0</v>
      </c>
      <c r="H681" s="180">
        <f>(H628/H612)*P60</f>
        <v>67161.476799307071</v>
      </c>
      <c r="I681" s="180">
        <f>(I629/I612)*P78</f>
        <v>15071.435993481708</v>
      </c>
      <c r="J681" s="180">
        <f>(J630/J612)*P79</f>
        <v>8820.0645532070394</v>
      </c>
      <c r="K681" s="180">
        <f>(K644/K612)*P75</f>
        <v>125253.76025259969</v>
      </c>
      <c r="L681" s="180">
        <f>(L647/L612)*P80</f>
        <v>26813.789424750408</v>
      </c>
      <c r="M681" s="180">
        <f t="shared" si="22"/>
        <v>332330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4222.4492308851859</v>
      </c>
      <c r="L682" s="180">
        <f>(L647/L612)*Q80</f>
        <v>0</v>
      </c>
      <c r="M682" s="180">
        <f t="shared" si="22"/>
        <v>4222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554824</v>
      </c>
      <c r="D683" s="180">
        <f>(D615/D612)*R76</f>
        <v>0</v>
      </c>
      <c r="E683" s="180">
        <f>(E623/E612)*SUM(C683:D683)</f>
        <v>64969.471972957683</v>
      </c>
      <c r="F683" s="180">
        <f>(F624/F612)*R64</f>
        <v>486.51534619090927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65428.590635885317</v>
      </c>
      <c r="L683" s="180">
        <f>(L647/L612)*R80</f>
        <v>0</v>
      </c>
      <c r="M683" s="180">
        <f t="shared" si="22"/>
        <v>130885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77985</v>
      </c>
      <c r="D684" s="180">
        <f>(D615/D612)*S76</f>
        <v>0</v>
      </c>
      <c r="E684" s="180">
        <f>(E623/E612)*SUM(C684:D684)</f>
        <v>9131.9846866954304</v>
      </c>
      <c r="F684" s="180">
        <f>(F624/F612)*S64</f>
        <v>1708.0185672074292</v>
      </c>
      <c r="G684" s="180">
        <f>(G625/G612)*S77</f>
        <v>0</v>
      </c>
      <c r="H684" s="180">
        <f>(H628/H612)*S60</f>
        <v>33580.738399653535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2"/>
        <v>44421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2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1143158</v>
      </c>
      <c r="D686" s="180">
        <f>(D615/D612)*U76</f>
        <v>23811.464173707707</v>
      </c>
      <c r="E686" s="180">
        <f>(E623/E612)*SUM(C686:D686)</f>
        <v>136651.24417100044</v>
      </c>
      <c r="F686" s="180">
        <f>(F624/F612)*U64</f>
        <v>20813.306473689237</v>
      </c>
      <c r="G686" s="180">
        <f>(G625/G612)*U77</f>
        <v>0</v>
      </c>
      <c r="H686" s="180">
        <f>(H628/H612)*U60</f>
        <v>235065.16879757476</v>
      </c>
      <c r="I686" s="180">
        <f>(I629/I612)*U78</f>
        <v>13815.482994024898</v>
      </c>
      <c r="J686" s="180">
        <f>(J630/J612)*U79</f>
        <v>1492.6955314508023</v>
      </c>
      <c r="K686" s="180">
        <f>(K644/K612)*U75</f>
        <v>490816.86678700877</v>
      </c>
      <c r="L686" s="180">
        <f>(L647/L612)*U80</f>
        <v>0</v>
      </c>
      <c r="M686" s="180">
        <f t="shared" si="22"/>
        <v>922466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2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141945</v>
      </c>
      <c r="D688" s="180">
        <f>(D615/D612)*W76</f>
        <v>0</v>
      </c>
      <c r="E688" s="180">
        <f>(E623/E612)*SUM(C688:D688)</f>
        <v>16621.652450509493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54284.465139095788</v>
      </c>
      <c r="L688" s="180">
        <f>(L647/L612)*W80</f>
        <v>0</v>
      </c>
      <c r="M688" s="180">
        <f t="shared" si="22"/>
        <v>70906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140291</v>
      </c>
      <c r="D689" s="180">
        <f>(D615/D612)*X76</f>
        <v>0</v>
      </c>
      <c r="E689" s="180">
        <f>(E623/E612)*SUM(C689:D689)</f>
        <v>16427.970297893036</v>
      </c>
      <c r="F689" s="180">
        <f>(F624/F612)*X64</f>
        <v>1752.4982173951225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328959.68878975773</v>
      </c>
      <c r="L689" s="180">
        <f>(L647/L612)*X80</f>
        <v>0</v>
      </c>
      <c r="M689" s="180">
        <f t="shared" si="22"/>
        <v>347140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870987</v>
      </c>
      <c r="D690" s="180">
        <f>(D615/D612)*Y76</f>
        <v>55469.631166291554</v>
      </c>
      <c r="E690" s="180">
        <f>(E623/E612)*SUM(C690:D690)</f>
        <v>108487.37281141258</v>
      </c>
      <c r="F690" s="180">
        <f>(F624/F612)*Y64</f>
        <v>2721.9500873480461</v>
      </c>
      <c r="G690" s="180">
        <f>(G625/G612)*Y77</f>
        <v>0</v>
      </c>
      <c r="H690" s="180">
        <f>(H628/H612)*Y60</f>
        <v>201484.43039792121</v>
      </c>
      <c r="I690" s="180">
        <f>(I629/I612)*Y78</f>
        <v>32654.777985877034</v>
      </c>
      <c r="J690" s="180">
        <f>(J630/J612)*Y79</f>
        <v>9384.7466608093764</v>
      </c>
      <c r="K690" s="180">
        <f>(K644/K612)*Y75</f>
        <v>278591.43033198174</v>
      </c>
      <c r="L690" s="180">
        <f>(L647/L612)*Y80</f>
        <v>0</v>
      </c>
      <c r="M690" s="180">
        <f t="shared" si="22"/>
        <v>688794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2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101186</v>
      </c>
      <c r="D692" s="180">
        <f>(D615/D612)*AA76</f>
        <v>0</v>
      </c>
      <c r="E692" s="180">
        <f>(E623/E612)*SUM(C692:D692)</f>
        <v>11848.804289388519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25742.399362098975</v>
      </c>
      <c r="L692" s="180">
        <f>(L647/L612)*AA80</f>
        <v>0</v>
      </c>
      <c r="M692" s="180">
        <f t="shared" si="22"/>
        <v>37591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1165042</v>
      </c>
      <c r="D693" s="180">
        <f>(D615/D612)*AB76</f>
        <v>11261.262258790539</v>
      </c>
      <c r="E693" s="180">
        <f>(E623/E612)*SUM(C693:D693)</f>
        <v>137744.22488757008</v>
      </c>
      <c r="F693" s="180">
        <f>(F624/F612)*AB64</f>
        <v>58527.243985591638</v>
      </c>
      <c r="G693" s="180">
        <f>(G625/G612)*AB77</f>
        <v>0</v>
      </c>
      <c r="H693" s="180">
        <f>(H628/H612)*AB60</f>
        <v>0</v>
      </c>
      <c r="I693" s="180">
        <f>(I629/I612)*AB78</f>
        <v>6907.7414970124491</v>
      </c>
      <c r="J693" s="180">
        <f>(J630/J612)*AB79</f>
        <v>0</v>
      </c>
      <c r="K693" s="180">
        <f>(K644/K612)*AB75</f>
        <v>615653.07424296194</v>
      </c>
      <c r="L693" s="180">
        <f>(L647/L612)*AB80</f>
        <v>0</v>
      </c>
      <c r="M693" s="180">
        <f t="shared" si="22"/>
        <v>830094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522284</v>
      </c>
      <c r="D694" s="180">
        <f>(D615/D612)*AC76</f>
        <v>22432.072611887983</v>
      </c>
      <c r="E694" s="180">
        <f>(E623/E612)*SUM(C694:D694)</f>
        <v>63785.841298822037</v>
      </c>
      <c r="F694" s="180">
        <f>(F624/F612)*AC64</f>
        <v>2428.0776399010783</v>
      </c>
      <c r="G694" s="180">
        <f>(G625/G612)*AC77</f>
        <v>0</v>
      </c>
      <c r="H694" s="180">
        <f>(H628/H612)*AC60</f>
        <v>0</v>
      </c>
      <c r="I694" s="180">
        <f>(I629/I612)*AC78</f>
        <v>13815.482994024898</v>
      </c>
      <c r="J694" s="180">
        <f>(J630/J612)*AC79</f>
        <v>2134.9933072295576</v>
      </c>
      <c r="K694" s="180">
        <f>(K644/K612)*AC75</f>
        <v>160531.21093874157</v>
      </c>
      <c r="L694" s="180">
        <f>(L647/L612)*AC80</f>
        <v>0</v>
      </c>
      <c r="M694" s="180">
        <f t="shared" si="22"/>
        <v>265128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2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1329063</v>
      </c>
      <c r="D696" s="180">
        <f>(D615/D612)*AE76</f>
        <v>63904.271372172821</v>
      </c>
      <c r="E696" s="180">
        <f>(E623/E612)*SUM(C696:D696)</f>
        <v>163115.41695503748</v>
      </c>
      <c r="F696" s="180">
        <f>(F624/F612)*AE64</f>
        <v>1193.486154001743</v>
      </c>
      <c r="G696" s="180">
        <f>(G625/G612)*AE77</f>
        <v>0</v>
      </c>
      <c r="H696" s="180">
        <f>(H628/H612)*AE60</f>
        <v>0</v>
      </c>
      <c r="I696" s="180">
        <f>(I629/I612)*AE78</f>
        <v>38934.542983161075</v>
      </c>
      <c r="J696" s="180">
        <f>(J630/J612)*AE79</f>
        <v>15901.088193359865</v>
      </c>
      <c r="K696" s="180">
        <f>(K644/K612)*AE75</f>
        <v>288138.74622415047</v>
      </c>
      <c r="L696" s="180">
        <f>(L647/L612)*AE80</f>
        <v>0</v>
      </c>
      <c r="M696" s="180">
        <f t="shared" si="22"/>
        <v>571188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2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2603565</v>
      </c>
      <c r="D698" s="180">
        <f>(D615/D612)*AG76</f>
        <v>80004.710585544031</v>
      </c>
      <c r="E698" s="180">
        <f>(E623/E612)*SUM(C698:D698)</f>
        <v>314243.98926392093</v>
      </c>
      <c r="F698" s="180">
        <f>(F624/F612)*AG64</f>
        <v>9084.4828535067554</v>
      </c>
      <c r="G698" s="180">
        <f>(G625/G612)*AG77</f>
        <v>7279.8280166540308</v>
      </c>
      <c r="H698" s="180">
        <f>(H628/H612)*AG60</f>
        <v>0</v>
      </c>
      <c r="I698" s="180">
        <f>(I629/I612)*AG78</f>
        <v>47726.213979358741</v>
      </c>
      <c r="J698" s="180">
        <f>(J630/J612)*AG79</f>
        <v>30711.057573225175</v>
      </c>
      <c r="K698" s="180">
        <f>(K644/K612)*AG75</f>
        <v>833581.81361666927</v>
      </c>
      <c r="L698" s="180">
        <f>(L647/L612)*AG80</f>
        <v>134068.94712375203</v>
      </c>
      <c r="M698" s="180">
        <f t="shared" si="22"/>
        <v>1456701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42206</v>
      </c>
      <c r="D699" s="180">
        <f>(D615/D612)*AH76</f>
        <v>0</v>
      </c>
      <c r="E699" s="180">
        <f>(E623/E612)*SUM(C699:D699)</f>
        <v>4942.2907698489107</v>
      </c>
      <c r="F699" s="180">
        <f>(F624/F612)*AH64</f>
        <v>35.583720150154775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2"/>
        <v>4978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33968</v>
      </c>
      <c r="D700" s="180">
        <f>(D615/D612)*AI76</f>
        <v>0</v>
      </c>
      <c r="E700" s="180">
        <f>(E623/E612)*SUM(C700:D700)</f>
        <v>3977.6271826334596</v>
      </c>
      <c r="F700" s="180">
        <f>(F624/F612)*AI64</f>
        <v>1434.9032898480516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6449.5833064560502</v>
      </c>
      <c r="L700" s="180">
        <f>(L647/L612)*AI80</f>
        <v>0</v>
      </c>
      <c r="M700" s="180">
        <f t="shared" si="22"/>
        <v>11862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3701437</v>
      </c>
      <c r="D701" s="180">
        <f>(D615/D612)*AJ76</f>
        <v>182531.94568866916</v>
      </c>
      <c r="E701" s="180">
        <f>(E623/E612)*SUM(C701:D701)</f>
        <v>454809.83439930138</v>
      </c>
      <c r="F701" s="180">
        <f>(F624/F612)*AJ64</f>
        <v>16979.876391995836</v>
      </c>
      <c r="G701" s="180">
        <f>(G625/G612)*AJ77</f>
        <v>0</v>
      </c>
      <c r="H701" s="180">
        <f>(H628/H612)*AJ60</f>
        <v>0</v>
      </c>
      <c r="I701" s="180">
        <f>(I629/I612)*AJ78</f>
        <v>62797.649972840445</v>
      </c>
      <c r="J701" s="180">
        <f>(J630/J612)*AJ79</f>
        <v>0</v>
      </c>
      <c r="K701" s="180">
        <f>(K644/K612)*AJ75</f>
        <v>284472.38366169628</v>
      </c>
      <c r="L701" s="180">
        <f>(L647/L612)*AJ80</f>
        <v>13406.894712375204</v>
      </c>
      <c r="M701" s="180">
        <f t="shared" si="22"/>
        <v>1014999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2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2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2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2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2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2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2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2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2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2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2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545491</v>
      </c>
      <c r="D713" s="180">
        <f>(D615/D612)*AV76</f>
        <v>74916.79089030734</v>
      </c>
      <c r="E713" s="180">
        <f>(E623/E612)*SUM(C713:D713)</f>
        <v>72649.284425425751</v>
      </c>
      <c r="F713" s="180">
        <f>(F624/F612)*AV64</f>
        <v>8972.2100813088528</v>
      </c>
      <c r="G713" s="180">
        <f>(G625/G612)*AV77</f>
        <v>0</v>
      </c>
      <c r="H713" s="180">
        <f>(H628/H612)*AV60</f>
        <v>0</v>
      </c>
      <c r="I713" s="180">
        <f>(I629/I612)*AV78</f>
        <v>25119.059989136178</v>
      </c>
      <c r="J713" s="180">
        <f>(J630/J612)*AV79</f>
        <v>7919.0478835068934</v>
      </c>
      <c r="K713" s="180">
        <f>(K644/K612)*AV75</f>
        <v>53272.266615137967</v>
      </c>
      <c r="L713" s="180">
        <f>(L647/L612)*AV80</f>
        <v>0</v>
      </c>
      <c r="M713" s="180">
        <f t="shared" si="22"/>
        <v>242849</v>
      </c>
      <c r="N713" s="199" t="s">
        <v>741</v>
      </c>
    </row>
    <row r="715" spans="1:15" ht="12.6" customHeight="1" x14ac:dyDescent="0.25">
      <c r="C715" s="180">
        <f>SUM(C614:C647)+SUM(C668:C713)</f>
        <v>28120941</v>
      </c>
      <c r="D715" s="180">
        <f>SUM(D616:D647)+SUM(D668:D713)</f>
        <v>1225759</v>
      </c>
      <c r="E715" s="180">
        <f>SUM(E624:E647)+SUM(E668:E713)</f>
        <v>2947760.4569420358</v>
      </c>
      <c r="F715" s="180">
        <f>SUM(F625:F648)+SUM(F668:F713)</f>
        <v>181099.8671338532</v>
      </c>
      <c r="G715" s="180">
        <f>SUM(G626:G647)+SUM(G668:G713)</f>
        <v>1057850.0086700388</v>
      </c>
      <c r="H715" s="180">
        <f>SUM(H629:H647)+SUM(H668:H713)</f>
        <v>1679036.9199826766</v>
      </c>
      <c r="I715" s="180">
        <f>SUM(I630:I647)+SUM(I668:I713)</f>
        <v>539431.81326669944</v>
      </c>
      <c r="J715" s="180">
        <f>SUM(J631:J647)+SUM(J668:J713)</f>
        <v>202834.48796961358</v>
      </c>
      <c r="K715" s="180">
        <f>SUM(K668:K713)</f>
        <v>4194077.6611878164</v>
      </c>
      <c r="L715" s="180">
        <f>SUM(L668:L713)</f>
        <v>630124.05148163461</v>
      </c>
      <c r="M715" s="180">
        <f>SUM(M668:M713)</f>
        <v>10656141</v>
      </c>
      <c r="N715" s="198" t="s">
        <v>742</v>
      </c>
    </row>
    <row r="716" spans="1:15" ht="12.6" customHeight="1" x14ac:dyDescent="0.25">
      <c r="C716" s="180">
        <f>CE71</f>
        <v>28120941</v>
      </c>
      <c r="D716" s="180">
        <f>D615</f>
        <v>1225759</v>
      </c>
      <c r="E716" s="180">
        <f>E623</f>
        <v>2947760.4569420358</v>
      </c>
      <c r="F716" s="180">
        <f>F624</f>
        <v>181099.86713385323</v>
      </c>
      <c r="G716" s="180">
        <f>G625</f>
        <v>1057850.0086700388</v>
      </c>
      <c r="H716" s="180">
        <f>H628</f>
        <v>1679036.9199826769</v>
      </c>
      <c r="I716" s="180">
        <f>I629</f>
        <v>539431.81326669944</v>
      </c>
      <c r="J716" s="180">
        <f>J630</f>
        <v>202834.48796961358</v>
      </c>
      <c r="K716" s="180">
        <f>K644</f>
        <v>4194077.6611878169</v>
      </c>
      <c r="L716" s="180">
        <f>L647</f>
        <v>630124.05148163461</v>
      </c>
      <c r="M716" s="180">
        <f>C648</f>
        <v>10656139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719"/>
  <sheetViews>
    <sheetView showGridLines="0" zoomScale="75" workbookViewId="0">
      <selection activeCell="C5" sqref="C5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968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969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993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964</v>
      </c>
      <c r="C10" s="232"/>
    </row>
    <row r="11" spans="1:6" ht="12.75" customHeight="1" x14ac:dyDescent="0.25">
      <c r="A11" s="198" t="s">
        <v>967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995</v>
      </c>
      <c r="C16" s="232"/>
      <c r="F16" s="272" t="s">
        <v>994</v>
      </c>
    </row>
    <row r="17" spans="1:6" ht="12.75" customHeight="1" x14ac:dyDescent="0.25">
      <c r="A17" s="180" t="s">
        <v>966</v>
      </c>
      <c r="C17" s="272" t="s">
        <v>994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8" t="s">
        <v>970</v>
      </c>
      <c r="B20" s="268"/>
      <c r="C20" s="273"/>
      <c r="D20" s="268"/>
      <c r="E20" s="268"/>
      <c r="F20" s="268"/>
    </row>
    <row r="21" spans="1:6" ht="22.5" customHeight="1" x14ac:dyDescent="0.25">
      <c r="A21" s="199"/>
      <c r="C21" s="232"/>
    </row>
    <row r="22" spans="1:6" ht="12.6" customHeight="1" x14ac:dyDescent="0.25">
      <c r="A22" s="233" t="s">
        <v>990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971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972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973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974</v>
      </c>
      <c r="C36" s="232"/>
    </row>
    <row r="37" spans="1:83" ht="12.6" customHeight="1" x14ac:dyDescent="0.25">
      <c r="A37" s="199" t="s">
        <v>965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>
        <v>140559</v>
      </c>
      <c r="F47" s="184"/>
      <c r="G47" s="184"/>
      <c r="H47" s="184"/>
      <c r="I47" s="184"/>
      <c r="J47" s="184"/>
      <c r="K47" s="184"/>
      <c r="L47" s="184">
        <v>87508</v>
      </c>
      <c r="M47" s="184"/>
      <c r="N47" s="184"/>
      <c r="O47" s="184"/>
      <c r="P47" s="184">
        <v>26040</v>
      </c>
      <c r="Q47" s="184"/>
      <c r="R47" s="184">
        <v>44053</v>
      </c>
      <c r="S47" s="184"/>
      <c r="T47" s="184"/>
      <c r="U47" s="184">
        <v>52555</v>
      </c>
      <c r="V47" s="184"/>
      <c r="W47" s="184"/>
      <c r="X47" s="184"/>
      <c r="Y47" s="184">
        <v>57405</v>
      </c>
      <c r="Z47" s="184"/>
      <c r="AA47" s="184"/>
      <c r="AB47" s="184">
        <v>24983</v>
      </c>
      <c r="AC47" s="184">
        <v>17410</v>
      </c>
      <c r="AD47" s="184"/>
      <c r="AE47" s="184">
        <v>55116</v>
      </c>
      <c r="AF47" s="184"/>
      <c r="AG47" s="184">
        <f>84491+107853</f>
        <v>192344</v>
      </c>
      <c r="AH47" s="184"/>
      <c r="AI47" s="184">
        <v>2366</v>
      </c>
      <c r="AJ47" s="184">
        <f>2049+27498</f>
        <v>29547</v>
      </c>
      <c r="AK47" s="184"/>
      <c r="AL47" s="184"/>
      <c r="AM47" s="184">
        <v>5577</v>
      </c>
      <c r="AN47" s="184"/>
      <c r="AO47" s="184"/>
      <c r="AP47" s="184">
        <v>165512</v>
      </c>
      <c r="AQ47" s="184"/>
      <c r="AR47" s="184"/>
      <c r="AS47" s="184"/>
      <c r="AT47" s="184"/>
      <c r="AU47" s="184"/>
      <c r="AV47" s="184"/>
      <c r="AW47" s="184"/>
      <c r="AX47" s="184"/>
      <c r="AY47" s="184">
        <v>28256</v>
      </c>
      <c r="AZ47" s="184"/>
      <c r="BA47" s="184">
        <v>11236</v>
      </c>
      <c r="BB47" s="184">
        <v>12415</v>
      </c>
      <c r="BC47" s="184">
        <v>2208</v>
      </c>
      <c r="BD47" s="184">
        <v>10850</v>
      </c>
      <c r="BE47" s="184">
        <v>28354</v>
      </c>
      <c r="BF47" s="184">
        <v>32559</v>
      </c>
      <c r="BG47" s="184">
        <v>6260</v>
      </c>
      <c r="BH47" s="184">
        <f>22063+24417</f>
        <v>46480</v>
      </c>
      <c r="BI47" s="184"/>
      <c r="BJ47" s="184">
        <v>36480</v>
      </c>
      <c r="BK47" s="184">
        <v>50863</v>
      </c>
      <c r="BL47" s="184">
        <v>38339</v>
      </c>
      <c r="BM47" s="184"/>
      <c r="BN47" s="184">
        <v>58187</v>
      </c>
      <c r="BO47" s="184">
        <v>5522</v>
      </c>
      <c r="BP47" s="184"/>
      <c r="BQ47" s="184"/>
      <c r="BR47" s="184">
        <v>30451</v>
      </c>
      <c r="BS47" s="184"/>
      <c r="BT47" s="184"/>
      <c r="BU47" s="184"/>
      <c r="BV47" s="184">
        <v>17160</v>
      </c>
      <c r="BW47" s="184"/>
      <c r="BX47" s="184"/>
      <c r="BY47" s="184">
        <v>31241</v>
      </c>
      <c r="BZ47" s="184"/>
      <c r="CA47" s="184"/>
      <c r="CB47" s="184"/>
      <c r="CC47" s="184"/>
      <c r="CD47" s="195"/>
      <c r="CE47" s="195">
        <f>SUM(C47:CC47)</f>
        <v>1347836</v>
      </c>
    </row>
    <row r="48" spans="1:83" ht="12.6" customHeight="1" x14ac:dyDescent="0.25">
      <c r="A48" s="175" t="s">
        <v>205</v>
      </c>
      <c r="B48" s="183">
        <v>1880584</v>
      </c>
      <c r="C48" s="241">
        <f>ROUND(((B48/CE61)*C61),0)</f>
        <v>0</v>
      </c>
      <c r="D48" s="241">
        <f>ROUND(((B48/CE61)*D61),0)</f>
        <v>0</v>
      </c>
      <c r="E48" s="195">
        <f>ROUND(((B48/CE61)*E61),0)</f>
        <v>211127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117991</v>
      </c>
      <c r="M48" s="195">
        <f>ROUND(((B48/CE61)*M61),0)</f>
        <v>0</v>
      </c>
      <c r="N48" s="195">
        <f>ROUND(((B48/CE61)*N61),0)</f>
        <v>10565</v>
      </c>
      <c r="O48" s="195">
        <f>ROUND(((B48/CE61)*O61),0)</f>
        <v>0</v>
      </c>
      <c r="P48" s="195">
        <f>ROUND(((B48/CE61)*P61),0)</f>
        <v>31594</v>
      </c>
      <c r="Q48" s="195">
        <f>ROUND(((B48/CE61)*Q61),0)</f>
        <v>0</v>
      </c>
      <c r="R48" s="195">
        <f>ROUND(((B48/CE61)*R61),0)</f>
        <v>60255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70900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77084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30178</v>
      </c>
      <c r="AC48" s="195">
        <f>ROUND(((B48/CE61)*AC61),0)</f>
        <v>25808</v>
      </c>
      <c r="AD48" s="195">
        <f>ROUND(((B48/CE61)*AD61),0)</f>
        <v>0</v>
      </c>
      <c r="AE48" s="195">
        <f>ROUND(((B48/CE61)*AE61),0)</f>
        <v>115506</v>
      </c>
      <c r="AF48" s="195">
        <f>ROUND(((B48/CE61)*AF61),0)</f>
        <v>0</v>
      </c>
      <c r="AG48" s="195">
        <f>ROUND(((B48/CE61)*AG61),0)</f>
        <v>203550</v>
      </c>
      <c r="AH48" s="195">
        <f>ROUND(((B48/CE61)*AH61),0)</f>
        <v>0</v>
      </c>
      <c r="AI48" s="195">
        <f>ROUND(((B48/CE61)*AI61),0)</f>
        <v>3084</v>
      </c>
      <c r="AJ48" s="195">
        <f>ROUND(((B48/CE61)*AJ61),0)</f>
        <v>52614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6762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234570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34928</v>
      </c>
      <c r="AZ48" s="195">
        <f>ROUND(((B48/CE61)*AZ61),0)</f>
        <v>0</v>
      </c>
      <c r="BA48" s="195">
        <f>ROUND(((B48/CE61)*BA61),0)</f>
        <v>14681</v>
      </c>
      <c r="BB48" s="195">
        <f>ROUND(((B48/CE61)*BB61),0)</f>
        <v>12653</v>
      </c>
      <c r="BC48" s="195">
        <f>ROUND(((B48/CE61)*BC61),0)</f>
        <v>4065</v>
      </c>
      <c r="BD48" s="195">
        <f>ROUND(((B48/CE61)*BD61),0)</f>
        <v>10966</v>
      </c>
      <c r="BE48" s="195">
        <f>ROUND(((B48/CE61)*BE61),0)</f>
        <v>38475</v>
      </c>
      <c r="BF48" s="195">
        <f>ROUND(((B48/CE61)*BF61),0)</f>
        <v>47742</v>
      </c>
      <c r="BG48" s="195">
        <f>ROUND(((B48/CE61)*BG61),0)</f>
        <v>6819</v>
      </c>
      <c r="BH48" s="195">
        <f>ROUND(((B48/CE61)*BH61),0)</f>
        <v>55450</v>
      </c>
      <c r="BI48" s="195">
        <f>ROUND(((B48/CE61)*BI61),0)</f>
        <v>0</v>
      </c>
      <c r="BJ48" s="195">
        <f>ROUND(((B48/CE61)*BJ61),0)</f>
        <v>37327</v>
      </c>
      <c r="BK48" s="195">
        <f>ROUND(((B48/CE61)*BK61),0)</f>
        <v>61114</v>
      </c>
      <c r="BL48" s="195">
        <f>ROUND(((B48/CE61)*BL61),0)</f>
        <v>46701</v>
      </c>
      <c r="BM48" s="195">
        <f>ROUND(((B48/CE61)*BM61),0)</f>
        <v>0</v>
      </c>
      <c r="BN48" s="195">
        <f>ROUND(((B48/CE61)*BN61),0)</f>
        <v>71631</v>
      </c>
      <c r="BO48" s="195">
        <f>ROUND(((B48/CE61)*BO61),0)</f>
        <v>9205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32540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23063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45831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75803</v>
      </c>
      <c r="CD48" s="195"/>
      <c r="CE48" s="195">
        <f>SUM(C48:CD48)</f>
        <v>1880582</v>
      </c>
    </row>
    <row r="49" spans="1:84" ht="12.6" customHeight="1" x14ac:dyDescent="0.25">
      <c r="A49" s="175" t="s">
        <v>206</v>
      </c>
      <c r="B49" s="195">
        <f>B47+B48</f>
        <v>1880584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1810679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423208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29918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24308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56626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11496</v>
      </c>
      <c r="AC52" s="195">
        <f>ROUND((B52/(CE76+CF76)*AC76),0)</f>
        <v>22900</v>
      </c>
      <c r="AD52" s="195">
        <f>ROUND((B52/(CE76+CF76)*AD76),0)</f>
        <v>0</v>
      </c>
      <c r="AE52" s="195">
        <f>ROUND((B52/(CE76+CF76)*AE76),0)</f>
        <v>65237</v>
      </c>
      <c r="AF52" s="195">
        <f>ROUND((B52/(CE76+CF76)*AF76),0)</f>
        <v>0</v>
      </c>
      <c r="AG52" s="195">
        <f>ROUND((B52/(CE76+CF76)*AG76),0)</f>
        <v>81673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32965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153373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76479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65006</v>
      </c>
      <c r="AZ52" s="195">
        <f>ROUND((B52/(CE76+CF76)*AZ76),0)</f>
        <v>0</v>
      </c>
      <c r="BA52" s="195">
        <f>ROUND((B52/(CE76+CF76)*BA76),0)</f>
        <v>15628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17406</v>
      </c>
      <c r="BE52" s="195">
        <f>ROUND((B52/(CE76+CF76)*BE76),0)</f>
        <v>559430</v>
      </c>
      <c r="BF52" s="195">
        <f>ROUND((B52/(CE76+CF76)*BF76),0)</f>
        <v>9211</v>
      </c>
      <c r="BG52" s="195">
        <f>ROUND((B52/(CE76+CF76)*BG76),0)</f>
        <v>10457</v>
      </c>
      <c r="BH52" s="195">
        <f>ROUND((B52/(CE76+CF76)*BH76),0)</f>
        <v>1847</v>
      </c>
      <c r="BI52" s="195">
        <f>ROUND((B52/(CE76+CF76)*BI76),0)</f>
        <v>0</v>
      </c>
      <c r="BJ52" s="195">
        <f>ROUND((B52/(CE76+CF76)*BJ76),0)</f>
        <v>31626</v>
      </c>
      <c r="BK52" s="195">
        <f>ROUND((B52/(CE76+CF76)*BK76),0)</f>
        <v>31626</v>
      </c>
      <c r="BL52" s="195">
        <f>ROUND((B52/(CE76+CF76)*BL76),0)</f>
        <v>14220</v>
      </c>
      <c r="BM52" s="195">
        <f>ROUND((B52/(CE76+CF76)*BM76),0)</f>
        <v>0</v>
      </c>
      <c r="BN52" s="195">
        <f>ROUND((B52/(CE76+CF76)*BN76),0)</f>
        <v>20568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12973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26178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16321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1810680</v>
      </c>
    </row>
    <row r="53" spans="1:84" ht="12.6" customHeight="1" x14ac:dyDescent="0.25">
      <c r="A53" s="175" t="s">
        <v>206</v>
      </c>
      <c r="B53" s="195">
        <f>B51+B52</f>
        <v>1810679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575</v>
      </c>
      <c r="F59" s="184"/>
      <c r="G59" s="184"/>
      <c r="H59" s="184"/>
      <c r="I59" s="184"/>
      <c r="J59" s="184"/>
      <c r="K59" s="184"/>
      <c r="L59" s="184">
        <v>4767</v>
      </c>
      <c r="M59" s="184"/>
      <c r="N59" s="184"/>
      <c r="O59" s="184"/>
      <c r="P59" s="185">
        <v>8208</v>
      </c>
      <c r="Q59" s="185"/>
      <c r="R59" s="185">
        <v>13736</v>
      </c>
      <c r="S59" s="244"/>
      <c r="T59" s="244"/>
      <c r="U59" s="220">
        <v>48014</v>
      </c>
      <c r="V59" s="185"/>
      <c r="W59" s="185">
        <v>293</v>
      </c>
      <c r="X59" s="185">
        <v>1459</v>
      </c>
      <c r="Y59" s="185">
        <v>5328</v>
      </c>
      <c r="Z59" s="185"/>
      <c r="AA59" s="185">
        <v>80</v>
      </c>
      <c r="AB59" s="244"/>
      <c r="AC59" s="185">
        <v>11005</v>
      </c>
      <c r="AD59" s="185"/>
      <c r="AE59" s="185">
        <v>20386</v>
      </c>
      <c r="AF59" s="185"/>
      <c r="AG59" s="185">
        <v>4456</v>
      </c>
      <c r="AH59" s="185"/>
      <c r="AI59" s="185"/>
      <c r="AJ59" s="185">
        <v>1133</v>
      </c>
      <c r="AK59" s="185"/>
      <c r="AL59" s="185"/>
      <c r="AM59" s="185"/>
      <c r="AN59" s="185"/>
      <c r="AO59" s="185"/>
      <c r="AP59" s="185">
        <v>12963</v>
      </c>
      <c r="AQ59" s="185"/>
      <c r="AR59" s="185"/>
      <c r="AS59" s="185"/>
      <c r="AT59" s="185"/>
      <c r="AU59" s="185"/>
      <c r="AV59" s="244"/>
      <c r="AW59" s="244"/>
      <c r="AX59" s="244"/>
      <c r="AY59" s="185">
        <v>63442</v>
      </c>
      <c r="AZ59" s="185"/>
      <c r="BA59" s="244"/>
      <c r="BB59" s="244"/>
      <c r="BC59" s="244"/>
      <c r="BD59" s="244"/>
      <c r="BE59" s="185">
        <v>78437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/>
      <c r="D60" s="187"/>
      <c r="E60" s="187">
        <v>16.2</v>
      </c>
      <c r="F60" s="219"/>
      <c r="G60" s="187"/>
      <c r="H60" s="187"/>
      <c r="I60" s="187"/>
      <c r="J60" s="219"/>
      <c r="K60" s="187"/>
      <c r="L60" s="187">
        <v>16.100000000000001</v>
      </c>
      <c r="M60" s="187"/>
      <c r="N60" s="187"/>
      <c r="O60" s="187"/>
      <c r="P60" s="217">
        <v>2</v>
      </c>
      <c r="Q60" s="217"/>
      <c r="R60" s="217">
        <v>1.3</v>
      </c>
      <c r="S60" s="217"/>
      <c r="T60" s="217"/>
      <c r="U60" s="217">
        <v>6.3</v>
      </c>
      <c r="V60" s="217"/>
      <c r="W60" s="217"/>
      <c r="X60" s="217"/>
      <c r="Y60" s="217">
        <v>5.3</v>
      </c>
      <c r="Z60" s="217"/>
      <c r="AA60" s="217"/>
      <c r="AB60" s="217">
        <v>2</v>
      </c>
      <c r="AC60" s="217">
        <v>2.1</v>
      </c>
      <c r="AD60" s="217"/>
      <c r="AE60" s="217">
        <v>6.9</v>
      </c>
      <c r="AF60" s="217"/>
      <c r="AG60" s="217">
        <v>12.2</v>
      </c>
      <c r="AH60" s="217"/>
      <c r="AI60" s="217"/>
      <c r="AJ60" s="217">
        <v>2.7</v>
      </c>
      <c r="AK60" s="217"/>
      <c r="AL60" s="217"/>
      <c r="AM60" s="217">
        <v>1</v>
      </c>
      <c r="AN60" s="217"/>
      <c r="AO60" s="217"/>
      <c r="AP60" s="217">
        <v>22.5</v>
      </c>
      <c r="AQ60" s="217"/>
      <c r="AR60" s="217"/>
      <c r="AS60" s="217"/>
      <c r="AT60" s="217"/>
      <c r="AU60" s="217"/>
      <c r="AV60" s="217"/>
      <c r="AW60" s="217"/>
      <c r="AX60" s="217"/>
      <c r="AY60" s="217">
        <v>7.8</v>
      </c>
      <c r="AZ60" s="217"/>
      <c r="BA60" s="217">
        <v>3</v>
      </c>
      <c r="BB60" s="217">
        <v>1</v>
      </c>
      <c r="BC60" s="217">
        <v>1</v>
      </c>
      <c r="BD60" s="217">
        <v>2</v>
      </c>
      <c r="BE60" s="217">
        <v>5.5</v>
      </c>
      <c r="BF60" s="217">
        <v>10.4</v>
      </c>
      <c r="BG60" s="217">
        <v>0.7</v>
      </c>
      <c r="BH60" s="217">
        <v>5.5</v>
      </c>
      <c r="BI60" s="217"/>
      <c r="BJ60" s="217">
        <v>4.0999999999999996</v>
      </c>
      <c r="BK60" s="217">
        <v>9.5</v>
      </c>
      <c r="BL60" s="217">
        <v>8.4</v>
      </c>
      <c r="BM60" s="217"/>
      <c r="BN60" s="217">
        <v>3.5</v>
      </c>
      <c r="BO60" s="217">
        <v>0.9</v>
      </c>
      <c r="BP60" s="217"/>
      <c r="BQ60" s="217"/>
      <c r="BR60" s="217">
        <v>3.1</v>
      </c>
      <c r="BS60" s="217"/>
      <c r="BT60" s="217"/>
      <c r="BU60" s="217"/>
      <c r="BV60" s="217">
        <v>3.9</v>
      </c>
      <c r="BW60" s="217"/>
      <c r="BX60" s="217"/>
      <c r="BY60" s="217">
        <v>3.1</v>
      </c>
      <c r="BZ60" s="217"/>
      <c r="CA60" s="217"/>
      <c r="CB60" s="217"/>
      <c r="CC60" s="217">
        <v>6</v>
      </c>
      <c r="CD60" s="245" t="s">
        <v>221</v>
      </c>
      <c r="CE60" s="247">
        <f t="shared" ref="CE60:CE70" si="0">SUM(C60:CD60)</f>
        <v>176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1552346</v>
      </c>
      <c r="F61" s="185"/>
      <c r="G61" s="184"/>
      <c r="H61" s="184"/>
      <c r="I61" s="185"/>
      <c r="J61" s="185"/>
      <c r="K61" s="185"/>
      <c r="L61" s="185">
        <v>867551</v>
      </c>
      <c r="M61" s="184"/>
      <c r="N61" s="184">
        <v>77680</v>
      </c>
      <c r="O61" s="184"/>
      <c r="P61" s="185">
        <v>232303</v>
      </c>
      <c r="Q61" s="185"/>
      <c r="R61" s="185">
        <v>443035</v>
      </c>
      <c r="S61" s="185"/>
      <c r="T61" s="185"/>
      <c r="U61" s="185">
        <v>521304</v>
      </c>
      <c r="V61" s="185"/>
      <c r="W61" s="185"/>
      <c r="X61" s="185"/>
      <c r="Y61" s="185">
        <v>566772</v>
      </c>
      <c r="Z61" s="185"/>
      <c r="AA61" s="185"/>
      <c r="AB61" s="185">
        <v>221889</v>
      </c>
      <c r="AC61" s="185">
        <v>189757</v>
      </c>
      <c r="AD61" s="185"/>
      <c r="AE61" s="185">
        <v>849276</v>
      </c>
      <c r="AF61" s="185"/>
      <c r="AG61" s="185">
        <v>1496637</v>
      </c>
      <c r="AH61" s="185"/>
      <c r="AI61" s="185">
        <v>22674</v>
      </c>
      <c r="AJ61" s="185">
        <v>386851</v>
      </c>
      <c r="AK61" s="185"/>
      <c r="AL61" s="185"/>
      <c r="AM61" s="185">
        <v>49721</v>
      </c>
      <c r="AN61" s="185"/>
      <c r="AO61" s="185"/>
      <c r="AP61" s="185">
        <v>1724716</v>
      </c>
      <c r="AQ61" s="185"/>
      <c r="AR61" s="185"/>
      <c r="AS61" s="185"/>
      <c r="AT61" s="185"/>
      <c r="AU61" s="185"/>
      <c r="AV61" s="185"/>
      <c r="AW61" s="185"/>
      <c r="AX61" s="185"/>
      <c r="AY61" s="185">
        <v>256814</v>
      </c>
      <c r="AZ61" s="185"/>
      <c r="BA61" s="185">
        <v>107945</v>
      </c>
      <c r="BB61" s="185">
        <v>93030</v>
      </c>
      <c r="BC61" s="185">
        <v>29891</v>
      </c>
      <c r="BD61" s="185">
        <v>80630</v>
      </c>
      <c r="BE61" s="185">
        <v>282890</v>
      </c>
      <c r="BF61" s="185">
        <v>351028</v>
      </c>
      <c r="BG61" s="185">
        <v>50141</v>
      </c>
      <c r="BH61" s="185">
        <v>407708</v>
      </c>
      <c r="BI61" s="185"/>
      <c r="BJ61" s="185">
        <v>274452</v>
      </c>
      <c r="BK61" s="185">
        <v>449352</v>
      </c>
      <c r="BL61" s="185">
        <v>343377</v>
      </c>
      <c r="BM61" s="185"/>
      <c r="BN61" s="185">
        <v>526675</v>
      </c>
      <c r="BO61" s="185">
        <v>67681</v>
      </c>
      <c r="BP61" s="185"/>
      <c r="BQ61" s="185"/>
      <c r="BR61" s="185">
        <v>239254</v>
      </c>
      <c r="BS61" s="185"/>
      <c r="BT61" s="185"/>
      <c r="BU61" s="185"/>
      <c r="BV61" s="185">
        <v>169577</v>
      </c>
      <c r="BW61" s="185"/>
      <c r="BX61" s="185"/>
      <c r="BY61" s="185">
        <v>336977</v>
      </c>
      <c r="BZ61" s="185"/>
      <c r="CA61" s="185"/>
      <c r="CB61" s="185"/>
      <c r="CC61" s="185">
        <f>635037-77680</f>
        <v>557357</v>
      </c>
      <c r="CD61" s="245" t="s">
        <v>221</v>
      </c>
      <c r="CE61" s="195">
        <f t="shared" si="0"/>
        <v>13827291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351686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205499</v>
      </c>
      <c r="M62" s="195">
        <f t="shared" si="1"/>
        <v>0</v>
      </c>
      <c r="N62" s="195">
        <f t="shared" si="1"/>
        <v>10565</v>
      </c>
      <c r="O62" s="195">
        <f t="shared" si="1"/>
        <v>0</v>
      </c>
      <c r="P62" s="195">
        <f t="shared" si="1"/>
        <v>57634</v>
      </c>
      <c r="Q62" s="195">
        <f t="shared" si="1"/>
        <v>0</v>
      </c>
      <c r="R62" s="195">
        <f t="shared" si="1"/>
        <v>104308</v>
      </c>
      <c r="S62" s="195">
        <f t="shared" si="1"/>
        <v>0</v>
      </c>
      <c r="T62" s="195">
        <f t="shared" si="1"/>
        <v>0</v>
      </c>
      <c r="U62" s="195">
        <f t="shared" si="1"/>
        <v>123455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134489</v>
      </c>
      <c r="Z62" s="195">
        <f t="shared" si="1"/>
        <v>0</v>
      </c>
      <c r="AA62" s="195">
        <f t="shared" si="1"/>
        <v>0</v>
      </c>
      <c r="AB62" s="195">
        <f t="shared" si="1"/>
        <v>55161</v>
      </c>
      <c r="AC62" s="195">
        <f t="shared" si="1"/>
        <v>43218</v>
      </c>
      <c r="AD62" s="195">
        <f t="shared" si="1"/>
        <v>0</v>
      </c>
      <c r="AE62" s="195">
        <f t="shared" si="1"/>
        <v>170622</v>
      </c>
      <c r="AF62" s="195">
        <f t="shared" si="1"/>
        <v>0</v>
      </c>
      <c r="AG62" s="195">
        <f t="shared" si="1"/>
        <v>395894</v>
      </c>
      <c r="AH62" s="195">
        <f t="shared" si="1"/>
        <v>0</v>
      </c>
      <c r="AI62" s="195">
        <f t="shared" si="1"/>
        <v>5450</v>
      </c>
      <c r="AJ62" s="195">
        <f t="shared" si="1"/>
        <v>82161</v>
      </c>
      <c r="AK62" s="195">
        <f t="shared" si="1"/>
        <v>0</v>
      </c>
      <c r="AL62" s="195">
        <f t="shared" si="1"/>
        <v>0</v>
      </c>
      <c r="AM62" s="195">
        <f t="shared" si="1"/>
        <v>12339</v>
      </c>
      <c r="AN62" s="195">
        <f t="shared" si="1"/>
        <v>0</v>
      </c>
      <c r="AO62" s="195">
        <f t="shared" si="1"/>
        <v>0</v>
      </c>
      <c r="AP62" s="195">
        <f t="shared" si="1"/>
        <v>400082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63184</v>
      </c>
      <c r="AZ62" s="195">
        <f>ROUND(AZ47+AZ48,0)</f>
        <v>0</v>
      </c>
      <c r="BA62" s="195">
        <f>ROUND(BA47+BA48,0)</f>
        <v>25917</v>
      </c>
      <c r="BB62" s="195">
        <f t="shared" si="1"/>
        <v>25068</v>
      </c>
      <c r="BC62" s="195">
        <f t="shared" si="1"/>
        <v>6273</v>
      </c>
      <c r="BD62" s="195">
        <f t="shared" si="1"/>
        <v>21816</v>
      </c>
      <c r="BE62" s="195">
        <f t="shared" si="1"/>
        <v>66829</v>
      </c>
      <c r="BF62" s="195">
        <f t="shared" si="1"/>
        <v>80301</v>
      </c>
      <c r="BG62" s="195">
        <f t="shared" si="1"/>
        <v>13079</v>
      </c>
      <c r="BH62" s="195">
        <f t="shared" si="1"/>
        <v>101930</v>
      </c>
      <c r="BI62" s="195">
        <f t="shared" si="1"/>
        <v>0</v>
      </c>
      <c r="BJ62" s="195">
        <f t="shared" si="1"/>
        <v>73807</v>
      </c>
      <c r="BK62" s="195">
        <f t="shared" si="1"/>
        <v>111977</v>
      </c>
      <c r="BL62" s="195">
        <f t="shared" si="1"/>
        <v>85040</v>
      </c>
      <c r="BM62" s="195">
        <f t="shared" si="1"/>
        <v>0</v>
      </c>
      <c r="BN62" s="195">
        <f t="shared" si="1"/>
        <v>129818</v>
      </c>
      <c r="BO62" s="195">
        <f t="shared" ref="BO62:CC62" si="2">ROUND(BO47+BO48,0)</f>
        <v>14727</v>
      </c>
      <c r="BP62" s="195">
        <f t="shared" si="2"/>
        <v>0</v>
      </c>
      <c r="BQ62" s="195">
        <f t="shared" si="2"/>
        <v>0</v>
      </c>
      <c r="BR62" s="195">
        <f t="shared" si="2"/>
        <v>62991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40223</v>
      </c>
      <c r="BW62" s="195">
        <f t="shared" si="2"/>
        <v>0</v>
      </c>
      <c r="BX62" s="195">
        <f t="shared" si="2"/>
        <v>0</v>
      </c>
      <c r="BY62" s="195">
        <f t="shared" si="2"/>
        <v>77072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75803</v>
      </c>
      <c r="CD62" s="245" t="s">
        <v>221</v>
      </c>
      <c r="CE62" s="195">
        <f t="shared" si="0"/>
        <v>3228418</v>
      </c>
      <c r="CF62" s="248"/>
    </row>
    <row r="63" spans="1:84" ht="12.6" customHeight="1" x14ac:dyDescent="0.25">
      <c r="A63" s="171" t="s">
        <v>236</v>
      </c>
      <c r="B63" s="175"/>
      <c r="C63" s="184"/>
      <c r="D63" s="184"/>
      <c r="E63" s="184">
        <v>32031</v>
      </c>
      <c r="F63" s="185"/>
      <c r="G63" s="184"/>
      <c r="H63" s="184"/>
      <c r="I63" s="185"/>
      <c r="J63" s="185"/>
      <c r="K63" s="185"/>
      <c r="L63" s="185">
        <v>5120</v>
      </c>
      <c r="M63" s="184"/>
      <c r="N63" s="184">
        <v>106222</v>
      </c>
      <c r="O63" s="184"/>
      <c r="P63" s="185"/>
      <c r="Q63" s="185"/>
      <c r="R63" s="185">
        <v>2790</v>
      </c>
      <c r="S63" s="185"/>
      <c r="T63" s="185"/>
      <c r="U63" s="185">
        <v>9750</v>
      </c>
      <c r="V63" s="185"/>
      <c r="W63" s="185"/>
      <c r="X63" s="185"/>
      <c r="Y63" s="185"/>
      <c r="Z63" s="185"/>
      <c r="AA63" s="185"/>
      <c r="AB63" s="185"/>
      <c r="AC63" s="185">
        <v>411482</v>
      </c>
      <c r="AD63" s="185"/>
      <c r="AE63" s="185">
        <v>22098</v>
      </c>
      <c r="AF63" s="185"/>
      <c r="AG63" s="185">
        <v>444860</v>
      </c>
      <c r="AH63" s="185"/>
      <c r="AI63" s="185"/>
      <c r="AJ63" s="185">
        <v>24170</v>
      </c>
      <c r="AK63" s="185"/>
      <c r="AL63" s="185"/>
      <c r="AM63" s="185"/>
      <c r="AN63" s="185"/>
      <c r="AO63" s="185"/>
      <c r="AP63" s="185">
        <v>354599</v>
      </c>
      <c r="AQ63" s="185"/>
      <c r="AR63" s="185"/>
      <c r="AS63" s="185"/>
      <c r="AT63" s="185"/>
      <c r="AU63" s="185"/>
      <c r="AV63" s="185"/>
      <c r="AW63" s="185"/>
      <c r="AX63" s="185"/>
      <c r="AY63" s="185">
        <v>12387</v>
      </c>
      <c r="AZ63" s="185"/>
      <c r="BA63" s="185"/>
      <c r="BB63" s="185"/>
      <c r="BC63" s="185"/>
      <c r="BD63" s="185"/>
      <c r="BE63" s="185"/>
      <c r="BF63" s="185"/>
      <c r="BG63" s="185"/>
      <c r="BH63" s="185">
        <v>42001</v>
      </c>
      <c r="BI63" s="185"/>
      <c r="BJ63" s="185">
        <v>42975</v>
      </c>
      <c r="BK63" s="185">
        <v>124397</v>
      </c>
      <c r="BL63" s="185"/>
      <c r="BM63" s="185"/>
      <c r="BN63" s="185">
        <v>71485</v>
      </c>
      <c r="BO63" s="185">
        <v>4000</v>
      </c>
      <c r="BP63" s="185"/>
      <c r="BQ63" s="185"/>
      <c r="BR63" s="185">
        <v>17504</v>
      </c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>
        <v>17400</v>
      </c>
      <c r="CD63" s="245" t="s">
        <v>221</v>
      </c>
      <c r="CE63" s="195">
        <f t="shared" si="0"/>
        <v>1745271</v>
      </c>
      <c r="CF63" s="248"/>
    </row>
    <row r="64" spans="1:84" ht="12.6" customHeight="1" x14ac:dyDescent="0.25">
      <c r="A64" s="171" t="s">
        <v>237</v>
      </c>
      <c r="B64" s="175"/>
      <c r="C64" s="184"/>
      <c r="D64" s="184"/>
      <c r="E64" s="185">
        <v>54241</v>
      </c>
      <c r="F64" s="185"/>
      <c r="G64" s="184"/>
      <c r="H64" s="184"/>
      <c r="I64" s="185"/>
      <c r="J64" s="185"/>
      <c r="K64" s="185"/>
      <c r="L64" s="185">
        <v>60771</v>
      </c>
      <c r="M64" s="184"/>
      <c r="N64" s="184"/>
      <c r="O64" s="184"/>
      <c r="P64" s="185">
        <v>78544</v>
      </c>
      <c r="Q64" s="185"/>
      <c r="R64" s="185">
        <v>6124</v>
      </c>
      <c r="S64" s="185">
        <v>18107</v>
      </c>
      <c r="T64" s="185"/>
      <c r="U64" s="185">
        <v>235822</v>
      </c>
      <c r="V64" s="185"/>
      <c r="W64" s="185"/>
      <c r="X64" s="185">
        <v>15296</v>
      </c>
      <c r="Y64" s="185">
        <v>2076</v>
      </c>
      <c r="Z64" s="185"/>
      <c r="AA64" s="185">
        <v>17078</v>
      </c>
      <c r="AB64" s="185">
        <v>523819</v>
      </c>
      <c r="AC64" s="185">
        <v>20625</v>
      </c>
      <c r="AD64" s="185"/>
      <c r="AE64" s="185"/>
      <c r="AF64" s="185"/>
      <c r="AG64" s="185">
        <v>74171</v>
      </c>
      <c r="AH64" s="185"/>
      <c r="AI64" s="185">
        <v>9460</v>
      </c>
      <c r="AJ64" s="185">
        <v>10469</v>
      </c>
      <c r="AK64" s="185"/>
      <c r="AL64" s="185"/>
      <c r="AM64" s="185">
        <v>6767</v>
      </c>
      <c r="AN64" s="185"/>
      <c r="AO64" s="185"/>
      <c r="AP64" s="185">
        <v>122260</v>
      </c>
      <c r="AQ64" s="185"/>
      <c r="AR64" s="185"/>
      <c r="AS64" s="185"/>
      <c r="AT64" s="185"/>
      <c r="AU64" s="185"/>
      <c r="AV64" s="185">
        <v>457077</v>
      </c>
      <c r="AW64" s="185"/>
      <c r="AX64" s="185"/>
      <c r="AY64" s="185">
        <v>179460</v>
      </c>
      <c r="AZ64" s="185"/>
      <c r="BA64" s="185">
        <v>15510</v>
      </c>
      <c r="BB64" s="185">
        <v>1844</v>
      </c>
      <c r="BC64" s="185">
        <v>224</v>
      </c>
      <c r="BD64" s="185">
        <v>519</v>
      </c>
      <c r="BE64" s="185">
        <v>33960</v>
      </c>
      <c r="BF64" s="185">
        <v>32475</v>
      </c>
      <c r="BG64" s="185">
        <v>9022</v>
      </c>
      <c r="BH64" s="185">
        <v>49531</v>
      </c>
      <c r="BI64" s="185"/>
      <c r="BJ64" s="185">
        <v>1187</v>
      </c>
      <c r="BK64" s="185">
        <v>1840</v>
      </c>
      <c r="BL64" s="185">
        <v>4237</v>
      </c>
      <c r="BM64" s="185"/>
      <c r="BN64" s="185">
        <v>7396</v>
      </c>
      <c r="BO64" s="185">
        <v>4340</v>
      </c>
      <c r="BP64" s="185"/>
      <c r="BQ64" s="185"/>
      <c r="BR64" s="185">
        <v>7693</v>
      </c>
      <c r="BS64" s="185"/>
      <c r="BT64" s="185"/>
      <c r="BU64" s="185"/>
      <c r="BV64" s="185">
        <v>1820</v>
      </c>
      <c r="BW64" s="185"/>
      <c r="BX64" s="185"/>
      <c r="BY64" s="185">
        <v>5322</v>
      </c>
      <c r="BZ64" s="185"/>
      <c r="CA64" s="185"/>
      <c r="CB64" s="185"/>
      <c r="CC64" s="185">
        <v>48367</v>
      </c>
      <c r="CD64" s="245" t="s">
        <v>221</v>
      </c>
      <c r="CE64" s="195">
        <f t="shared" si="0"/>
        <v>2117454</v>
      </c>
      <c r="CF64" s="248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>
        <v>245</v>
      </c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>
        <v>19008</v>
      </c>
      <c r="AQ65" s="185"/>
      <c r="AR65" s="185"/>
      <c r="AS65" s="185"/>
      <c r="AT65" s="185"/>
      <c r="AU65" s="185"/>
      <c r="AV65" s="185"/>
      <c r="AW65" s="185"/>
      <c r="AX65" s="185"/>
      <c r="AY65" s="185">
        <v>35</v>
      </c>
      <c r="AZ65" s="185"/>
      <c r="BA65" s="185"/>
      <c r="BB65" s="185"/>
      <c r="BC65" s="185">
        <v>5634</v>
      </c>
      <c r="BD65" s="185"/>
      <c r="BE65" s="185">
        <v>225739</v>
      </c>
      <c r="BF65" s="185"/>
      <c r="BG65" s="185"/>
      <c r="BH65" s="185">
        <v>158331</v>
      </c>
      <c r="BI65" s="185"/>
      <c r="BJ65" s="185"/>
      <c r="BK65" s="185"/>
      <c r="BL65" s="185">
        <v>2371</v>
      </c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5" t="s">
        <v>221</v>
      </c>
      <c r="CE65" s="195">
        <f t="shared" si="0"/>
        <v>411363</v>
      </c>
      <c r="CF65" s="248"/>
    </row>
    <row r="66" spans="1:84" ht="12.6" customHeight="1" x14ac:dyDescent="0.25">
      <c r="A66" s="171" t="s">
        <v>239</v>
      </c>
      <c r="B66" s="175"/>
      <c r="C66" s="184"/>
      <c r="D66" s="184"/>
      <c r="E66" s="184">
        <v>91031</v>
      </c>
      <c r="F66" s="184"/>
      <c r="G66" s="184"/>
      <c r="H66" s="184"/>
      <c r="I66" s="184"/>
      <c r="J66" s="184"/>
      <c r="K66" s="185"/>
      <c r="L66" s="185">
        <v>5282</v>
      </c>
      <c r="M66" s="184"/>
      <c r="N66" s="184"/>
      <c r="O66" s="185"/>
      <c r="P66" s="185">
        <v>19214</v>
      </c>
      <c r="Q66" s="185"/>
      <c r="R66" s="185">
        <v>6066</v>
      </c>
      <c r="S66" s="184">
        <v>15807</v>
      </c>
      <c r="T66" s="184"/>
      <c r="U66" s="185">
        <v>245776</v>
      </c>
      <c r="V66" s="185"/>
      <c r="W66" s="185">
        <v>150688</v>
      </c>
      <c r="X66" s="185">
        <v>92760</v>
      </c>
      <c r="Y66" s="185">
        <v>81986</v>
      </c>
      <c r="Z66" s="185"/>
      <c r="AA66" s="185">
        <v>102005</v>
      </c>
      <c r="AB66" s="185">
        <v>58156</v>
      </c>
      <c r="AC66" s="185">
        <v>1663</v>
      </c>
      <c r="AD66" s="185"/>
      <c r="AE66" s="185">
        <v>61250</v>
      </c>
      <c r="AF66" s="185"/>
      <c r="AG66" s="185">
        <v>29954</v>
      </c>
      <c r="AH66" s="185"/>
      <c r="AI66" s="185">
        <v>792</v>
      </c>
      <c r="AJ66" s="185">
        <v>3344</v>
      </c>
      <c r="AK66" s="185"/>
      <c r="AL66" s="185"/>
      <c r="AM66" s="185">
        <v>1100</v>
      </c>
      <c r="AN66" s="185"/>
      <c r="AO66" s="185"/>
      <c r="AP66" s="185">
        <v>71700</v>
      </c>
      <c r="AQ66" s="185"/>
      <c r="AR66" s="185"/>
      <c r="AS66" s="185"/>
      <c r="AT66" s="185"/>
      <c r="AU66" s="185"/>
      <c r="AV66" s="185">
        <v>1352</v>
      </c>
      <c r="AW66" s="185"/>
      <c r="AX66" s="185"/>
      <c r="AY66" s="185">
        <v>194181</v>
      </c>
      <c r="AZ66" s="185"/>
      <c r="BA66" s="185">
        <v>2405</v>
      </c>
      <c r="BB66" s="185">
        <v>3201</v>
      </c>
      <c r="BC66" s="185">
        <v>1754</v>
      </c>
      <c r="BD66" s="185">
        <v>24848</v>
      </c>
      <c r="BE66" s="185">
        <v>173479</v>
      </c>
      <c r="BF66" s="185">
        <v>3170</v>
      </c>
      <c r="BG66" s="185">
        <v>135872</v>
      </c>
      <c r="BH66" s="185">
        <v>636897</v>
      </c>
      <c r="BI66" s="185"/>
      <c r="BJ66" s="185">
        <v>15355</v>
      </c>
      <c r="BK66" s="185">
        <v>101562</v>
      </c>
      <c r="BL66" s="185">
        <v>15701</v>
      </c>
      <c r="BM66" s="185"/>
      <c r="BN66" s="185">
        <v>132335</v>
      </c>
      <c r="BO66" s="185">
        <v>7717</v>
      </c>
      <c r="BP66" s="185"/>
      <c r="BQ66" s="185"/>
      <c r="BR66" s="185">
        <v>27668</v>
      </c>
      <c r="BS66" s="185"/>
      <c r="BT66" s="185"/>
      <c r="BU66" s="185"/>
      <c r="BV66" s="185">
        <v>21726</v>
      </c>
      <c r="BW66" s="185"/>
      <c r="BX66" s="185"/>
      <c r="BY66" s="185">
        <v>29337</v>
      </c>
      <c r="BZ66" s="185"/>
      <c r="CA66" s="185"/>
      <c r="CB66" s="185"/>
      <c r="CC66" s="185">
        <v>152947</v>
      </c>
      <c r="CD66" s="245" t="s">
        <v>221</v>
      </c>
      <c r="CE66" s="195">
        <f t="shared" si="0"/>
        <v>2720081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423208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29918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24308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56626</v>
      </c>
      <c r="Z67" s="195">
        <f t="shared" si="3"/>
        <v>0</v>
      </c>
      <c r="AA67" s="195">
        <f t="shared" si="3"/>
        <v>0</v>
      </c>
      <c r="AB67" s="195">
        <f t="shared" si="3"/>
        <v>11496</v>
      </c>
      <c r="AC67" s="195">
        <f t="shared" si="3"/>
        <v>22900</v>
      </c>
      <c r="AD67" s="195">
        <f t="shared" si="3"/>
        <v>0</v>
      </c>
      <c r="AE67" s="195">
        <f t="shared" si="3"/>
        <v>65237</v>
      </c>
      <c r="AF67" s="195">
        <f t="shared" si="3"/>
        <v>0</v>
      </c>
      <c r="AG67" s="195">
        <f t="shared" si="3"/>
        <v>81673</v>
      </c>
      <c r="AH67" s="195">
        <f t="shared" si="3"/>
        <v>0</v>
      </c>
      <c r="AI67" s="195">
        <f t="shared" si="3"/>
        <v>0</v>
      </c>
      <c r="AJ67" s="195">
        <f t="shared" si="3"/>
        <v>32965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153373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76479</v>
      </c>
      <c r="AW67" s="195">
        <f t="shared" si="3"/>
        <v>0</v>
      </c>
      <c r="AX67" s="195">
        <f t="shared" si="3"/>
        <v>0</v>
      </c>
      <c r="AY67" s="195">
        <f t="shared" si="3"/>
        <v>65006</v>
      </c>
      <c r="AZ67" s="195">
        <f>ROUND(AZ51+AZ52,0)</f>
        <v>0</v>
      </c>
      <c r="BA67" s="195">
        <f>ROUND(BA51+BA52,0)</f>
        <v>15628</v>
      </c>
      <c r="BB67" s="195">
        <f t="shared" si="3"/>
        <v>0</v>
      </c>
      <c r="BC67" s="195">
        <f t="shared" si="3"/>
        <v>0</v>
      </c>
      <c r="BD67" s="195">
        <f t="shared" si="3"/>
        <v>17406</v>
      </c>
      <c r="BE67" s="195">
        <f t="shared" si="3"/>
        <v>559430</v>
      </c>
      <c r="BF67" s="195">
        <f t="shared" si="3"/>
        <v>9211</v>
      </c>
      <c r="BG67" s="195">
        <f t="shared" si="3"/>
        <v>10457</v>
      </c>
      <c r="BH67" s="195">
        <f t="shared" si="3"/>
        <v>1847</v>
      </c>
      <c r="BI67" s="195">
        <f t="shared" si="3"/>
        <v>0</v>
      </c>
      <c r="BJ67" s="195">
        <f t="shared" si="3"/>
        <v>31626</v>
      </c>
      <c r="BK67" s="195">
        <f t="shared" si="3"/>
        <v>31626</v>
      </c>
      <c r="BL67" s="195">
        <f t="shared" si="3"/>
        <v>14220</v>
      </c>
      <c r="BM67" s="195">
        <f t="shared" si="3"/>
        <v>0</v>
      </c>
      <c r="BN67" s="195">
        <f t="shared" si="3"/>
        <v>20568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12973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26178</v>
      </c>
      <c r="BW67" s="195">
        <f t="shared" si="4"/>
        <v>0</v>
      </c>
      <c r="BX67" s="195">
        <f t="shared" si="4"/>
        <v>0</v>
      </c>
      <c r="BY67" s="195">
        <f t="shared" si="4"/>
        <v>16321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5" t="s">
        <v>221</v>
      </c>
      <c r="CE67" s="195">
        <f t="shared" si="0"/>
        <v>1810680</v>
      </c>
      <c r="CF67" s="248"/>
    </row>
    <row r="68" spans="1:84" ht="12.6" customHeight="1" x14ac:dyDescent="0.25">
      <c r="A68" s="171" t="s">
        <v>240</v>
      </c>
      <c r="B68" s="175"/>
      <c r="C68" s="184"/>
      <c r="D68" s="184"/>
      <c r="E68" s="184">
        <v>3896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1730</v>
      </c>
      <c r="Q68" s="185"/>
      <c r="R68" s="185"/>
      <c r="S68" s="185"/>
      <c r="T68" s="185"/>
      <c r="U68" s="185">
        <v>1353</v>
      </c>
      <c r="V68" s="185"/>
      <c r="W68" s="185"/>
      <c r="X68" s="185"/>
      <c r="Y68" s="185">
        <v>2708</v>
      </c>
      <c r="Z68" s="185"/>
      <c r="AA68" s="185"/>
      <c r="AB68" s="185">
        <v>55143</v>
      </c>
      <c r="AC68" s="185">
        <v>32</v>
      </c>
      <c r="AD68" s="185"/>
      <c r="AE68" s="185">
        <v>1756</v>
      </c>
      <c r="AF68" s="185"/>
      <c r="AG68" s="185">
        <v>3628</v>
      </c>
      <c r="AH68" s="185"/>
      <c r="AI68" s="185">
        <v>646</v>
      </c>
      <c r="AJ68" s="185">
        <v>924</v>
      </c>
      <c r="AK68" s="185"/>
      <c r="AL68" s="185"/>
      <c r="AM68" s="185"/>
      <c r="AN68" s="185"/>
      <c r="AO68" s="185"/>
      <c r="AP68" s="185">
        <v>10829</v>
      </c>
      <c r="AQ68" s="185"/>
      <c r="AR68" s="185"/>
      <c r="AS68" s="185"/>
      <c r="AT68" s="185"/>
      <c r="AU68" s="185"/>
      <c r="AV68" s="185"/>
      <c r="AW68" s="185"/>
      <c r="AX68" s="185"/>
      <c r="AY68" s="185">
        <v>967</v>
      </c>
      <c r="AZ68" s="185"/>
      <c r="BA68" s="185"/>
      <c r="BB68" s="185"/>
      <c r="BC68" s="185"/>
      <c r="BD68" s="185">
        <v>5559</v>
      </c>
      <c r="BE68" s="185">
        <v>2588</v>
      </c>
      <c r="BF68" s="185"/>
      <c r="BG68" s="185">
        <v>238</v>
      </c>
      <c r="BH68" s="185">
        <v>9790</v>
      </c>
      <c r="BI68" s="185"/>
      <c r="BJ68" s="185">
        <v>4766</v>
      </c>
      <c r="BK68" s="185">
        <v>7389</v>
      </c>
      <c r="BL68" s="185">
        <v>5657</v>
      </c>
      <c r="BM68" s="185"/>
      <c r="BN68" s="185">
        <v>8176</v>
      </c>
      <c r="BO68" s="185"/>
      <c r="BP68" s="185"/>
      <c r="BQ68" s="185"/>
      <c r="BR68" s="185">
        <v>4530</v>
      </c>
      <c r="BS68" s="185"/>
      <c r="BT68" s="185"/>
      <c r="BU68" s="185"/>
      <c r="BV68" s="185"/>
      <c r="BW68" s="185"/>
      <c r="BX68" s="185"/>
      <c r="BY68" s="185">
        <v>10167</v>
      </c>
      <c r="BZ68" s="185"/>
      <c r="CA68" s="185"/>
      <c r="CB68" s="185"/>
      <c r="CC68" s="185">
        <v>1214</v>
      </c>
      <c r="CD68" s="245" t="s">
        <v>221</v>
      </c>
      <c r="CE68" s="195">
        <f t="shared" si="0"/>
        <v>143686</v>
      </c>
      <c r="CF68" s="248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/>
      <c r="Q69" s="185"/>
      <c r="R69" s="220"/>
      <c r="S69" s="185"/>
      <c r="T69" s="184"/>
      <c r="U69" s="185"/>
      <c r="V69" s="185"/>
      <c r="W69" s="184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/>
      <c r="BE69" s="185"/>
      <c r="BF69" s="185"/>
      <c r="BG69" s="185"/>
      <c r="BH69" s="220"/>
      <c r="BI69" s="185"/>
      <c r="BJ69" s="185"/>
      <c r="BK69" s="185"/>
      <c r="BL69" s="185"/>
      <c r="BM69" s="185"/>
      <c r="BN69" s="185">
        <v>911477</v>
      </c>
      <c r="BO69" s="185"/>
      <c r="BP69" s="185"/>
      <c r="BQ69" s="185"/>
      <c r="BR69" s="185"/>
      <c r="BS69" s="185"/>
      <c r="BT69" s="185"/>
      <c r="BU69" s="185"/>
      <c r="BV69" s="185"/>
      <c r="BW69" s="185"/>
      <c r="BX69" s="185"/>
      <c r="BY69" s="185"/>
      <c r="BZ69" s="185"/>
      <c r="CA69" s="185"/>
      <c r="CB69" s="185"/>
      <c r="CC69" s="185"/>
      <c r="CD69" s="188"/>
      <c r="CE69" s="195">
        <f t="shared" si="0"/>
        <v>911477</v>
      </c>
      <c r="CF69" s="248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>
        <v>512958</v>
      </c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512958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2508439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1144223</v>
      </c>
      <c r="M71" s="195">
        <f t="shared" si="5"/>
        <v>0</v>
      </c>
      <c r="N71" s="195">
        <f t="shared" si="5"/>
        <v>194467</v>
      </c>
      <c r="O71" s="195">
        <f t="shared" si="5"/>
        <v>0</v>
      </c>
      <c r="P71" s="195">
        <f t="shared" si="5"/>
        <v>419343</v>
      </c>
      <c r="Q71" s="195">
        <f t="shared" si="5"/>
        <v>0</v>
      </c>
      <c r="R71" s="195">
        <f t="shared" si="5"/>
        <v>562323</v>
      </c>
      <c r="S71" s="195">
        <f t="shared" si="5"/>
        <v>33914</v>
      </c>
      <c r="T71" s="195">
        <f t="shared" si="5"/>
        <v>0</v>
      </c>
      <c r="U71" s="195">
        <f t="shared" si="5"/>
        <v>1161768</v>
      </c>
      <c r="V71" s="195">
        <f t="shared" si="5"/>
        <v>0</v>
      </c>
      <c r="W71" s="195">
        <f t="shared" si="5"/>
        <v>150688</v>
      </c>
      <c r="X71" s="195">
        <f t="shared" si="5"/>
        <v>108056</v>
      </c>
      <c r="Y71" s="195">
        <f t="shared" si="5"/>
        <v>844657</v>
      </c>
      <c r="Z71" s="195">
        <f t="shared" si="5"/>
        <v>0</v>
      </c>
      <c r="AA71" s="195">
        <f t="shared" si="5"/>
        <v>119083</v>
      </c>
      <c r="AB71" s="195">
        <f t="shared" si="5"/>
        <v>925664</v>
      </c>
      <c r="AC71" s="195">
        <f t="shared" si="5"/>
        <v>689677</v>
      </c>
      <c r="AD71" s="195">
        <f t="shared" si="5"/>
        <v>0</v>
      </c>
      <c r="AE71" s="195">
        <f t="shared" si="5"/>
        <v>1170484</v>
      </c>
      <c r="AF71" s="195">
        <f t="shared" si="5"/>
        <v>0</v>
      </c>
      <c r="AG71" s="195">
        <f t="shared" si="5"/>
        <v>2526817</v>
      </c>
      <c r="AH71" s="195">
        <f t="shared" si="5"/>
        <v>0</v>
      </c>
      <c r="AI71" s="195">
        <f t="shared" si="5"/>
        <v>39022</v>
      </c>
      <c r="AJ71" s="195">
        <f t="shared" ref="AJ71:BO71" si="6">SUM(AJ61:AJ69)-AJ70</f>
        <v>540884</v>
      </c>
      <c r="AK71" s="195">
        <f t="shared" si="6"/>
        <v>0</v>
      </c>
      <c r="AL71" s="195">
        <f t="shared" si="6"/>
        <v>0</v>
      </c>
      <c r="AM71" s="195">
        <f t="shared" si="6"/>
        <v>69927</v>
      </c>
      <c r="AN71" s="195">
        <f t="shared" si="6"/>
        <v>0</v>
      </c>
      <c r="AO71" s="195">
        <f t="shared" si="6"/>
        <v>0</v>
      </c>
      <c r="AP71" s="195">
        <f t="shared" si="6"/>
        <v>2856567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534908</v>
      </c>
      <c r="AW71" s="195">
        <f t="shared" si="6"/>
        <v>0</v>
      </c>
      <c r="AX71" s="195">
        <f t="shared" si="6"/>
        <v>0</v>
      </c>
      <c r="AY71" s="195">
        <f t="shared" si="6"/>
        <v>772034</v>
      </c>
      <c r="AZ71" s="195">
        <f t="shared" si="6"/>
        <v>0</v>
      </c>
      <c r="BA71" s="195">
        <f t="shared" si="6"/>
        <v>167405</v>
      </c>
      <c r="BB71" s="195">
        <f t="shared" si="6"/>
        <v>123143</v>
      </c>
      <c r="BC71" s="195">
        <f t="shared" si="6"/>
        <v>43776</v>
      </c>
      <c r="BD71" s="195">
        <f t="shared" si="6"/>
        <v>150778</v>
      </c>
      <c r="BE71" s="195">
        <f t="shared" si="6"/>
        <v>1344915</v>
      </c>
      <c r="BF71" s="195">
        <f t="shared" si="6"/>
        <v>476185</v>
      </c>
      <c r="BG71" s="195">
        <f t="shared" si="6"/>
        <v>218809</v>
      </c>
      <c r="BH71" s="195">
        <f t="shared" si="6"/>
        <v>1408035</v>
      </c>
      <c r="BI71" s="195">
        <f t="shared" si="6"/>
        <v>0</v>
      </c>
      <c r="BJ71" s="195">
        <f t="shared" si="6"/>
        <v>444168</v>
      </c>
      <c r="BK71" s="195">
        <f t="shared" si="6"/>
        <v>828143</v>
      </c>
      <c r="BL71" s="195">
        <f t="shared" si="6"/>
        <v>470603</v>
      </c>
      <c r="BM71" s="195">
        <f t="shared" si="6"/>
        <v>0</v>
      </c>
      <c r="BN71" s="195">
        <f t="shared" si="6"/>
        <v>1294972</v>
      </c>
      <c r="BO71" s="195">
        <f t="shared" si="6"/>
        <v>98465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372613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259524</v>
      </c>
      <c r="BW71" s="195">
        <f t="shared" si="7"/>
        <v>0</v>
      </c>
      <c r="BX71" s="195">
        <f t="shared" si="7"/>
        <v>0</v>
      </c>
      <c r="BY71" s="195">
        <f t="shared" si="7"/>
        <v>475196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853088</v>
      </c>
      <c r="CD71" s="241">
        <f>CD69-CD70</f>
        <v>0</v>
      </c>
      <c r="CE71" s="195">
        <f>SUM(CE61:CE69)-CE70</f>
        <v>26402763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>
        <v>1809700</v>
      </c>
      <c r="CF72" s="248"/>
    </row>
    <row r="73" spans="1:84" ht="12.6" customHeight="1" x14ac:dyDescent="0.25">
      <c r="A73" s="171" t="s">
        <v>245</v>
      </c>
      <c r="B73" s="175"/>
      <c r="C73" s="184"/>
      <c r="D73" s="184"/>
      <c r="E73" s="185">
        <v>2355280</v>
      </c>
      <c r="F73" s="185"/>
      <c r="G73" s="184"/>
      <c r="H73" s="184"/>
      <c r="I73" s="185"/>
      <c r="J73" s="185"/>
      <c r="K73" s="185"/>
      <c r="L73" s="185">
        <v>2189769</v>
      </c>
      <c r="M73" s="184"/>
      <c r="N73" s="184">
        <v>135246</v>
      </c>
      <c r="O73" s="184"/>
      <c r="P73" s="185">
        <f>222385+11480-11480</f>
        <v>222385</v>
      </c>
      <c r="Q73" s="185">
        <v>11480</v>
      </c>
      <c r="R73" s="185">
        <f>33864+61191</f>
        <v>95055</v>
      </c>
      <c r="S73" s="185">
        <v>36189</v>
      </c>
      <c r="T73" s="185"/>
      <c r="U73" s="185">
        <v>623258</v>
      </c>
      <c r="V73" s="185"/>
      <c r="W73" s="185">
        <v>10923</v>
      </c>
      <c r="X73" s="185">
        <v>190765</v>
      </c>
      <c r="Y73" s="185">
        <f>84110+20020+2300</f>
        <v>106430</v>
      </c>
      <c r="Z73" s="185"/>
      <c r="AA73" s="185"/>
      <c r="AB73" s="185">
        <v>1798662</v>
      </c>
      <c r="AC73" s="185">
        <v>305719</v>
      </c>
      <c r="AD73" s="185"/>
      <c r="AE73" s="185">
        <v>328612</v>
      </c>
      <c r="AF73" s="185"/>
      <c r="AG73" s="185">
        <f>140621+24639</f>
        <v>165260</v>
      </c>
      <c r="AH73" s="185"/>
      <c r="AI73" s="185">
        <v>11136</v>
      </c>
      <c r="AJ73" s="185">
        <v>6768</v>
      </c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8592937</v>
      </c>
      <c r="CF73" s="248"/>
    </row>
    <row r="74" spans="1:84" ht="12.6" customHeight="1" x14ac:dyDescent="0.25">
      <c r="A74" s="171" t="s">
        <v>246</v>
      </c>
      <c r="B74" s="175"/>
      <c r="C74" s="184"/>
      <c r="D74" s="184"/>
      <c r="E74" s="185">
        <v>1047322</v>
      </c>
      <c r="F74" s="185"/>
      <c r="G74" s="184"/>
      <c r="H74" s="184"/>
      <c r="I74" s="184"/>
      <c r="J74" s="185"/>
      <c r="K74" s="185"/>
      <c r="L74" s="185">
        <v>790</v>
      </c>
      <c r="M74" s="184"/>
      <c r="N74" s="184">
        <v>65836</v>
      </c>
      <c r="O74" s="184"/>
      <c r="P74" s="185">
        <f>1080572+34257-34257</f>
        <v>1080572</v>
      </c>
      <c r="Q74" s="185">
        <v>34257</v>
      </c>
      <c r="R74" s="185">
        <f>287264+319309</f>
        <v>606573</v>
      </c>
      <c r="S74" s="185">
        <v>94815</v>
      </c>
      <c r="T74" s="185"/>
      <c r="U74" s="185">
        <v>4862297</v>
      </c>
      <c r="V74" s="185"/>
      <c r="W74" s="185">
        <v>772666</v>
      </c>
      <c r="X74" s="185">
        <v>2967097</v>
      </c>
      <c r="Y74" s="185">
        <f>1676923+54514+514085+315311</f>
        <v>2560833</v>
      </c>
      <c r="Z74" s="185"/>
      <c r="AA74" s="185">
        <v>394034</v>
      </c>
      <c r="AB74" s="185">
        <v>4042413</v>
      </c>
      <c r="AC74" s="185">
        <v>1571254</v>
      </c>
      <c r="AD74" s="185"/>
      <c r="AE74" s="185">
        <v>2163995</v>
      </c>
      <c r="AF74" s="185"/>
      <c r="AG74" s="185">
        <f>6437414+1336380</f>
        <v>7773794</v>
      </c>
      <c r="AH74" s="185"/>
      <c r="AI74" s="185">
        <v>76591</v>
      </c>
      <c r="AJ74" s="185">
        <f>299128+150000</f>
        <v>449128</v>
      </c>
      <c r="AK74" s="185"/>
      <c r="AL74" s="185"/>
      <c r="AM74" s="185"/>
      <c r="AN74" s="185"/>
      <c r="AO74" s="185"/>
      <c r="AP74" s="185">
        <v>2859446</v>
      </c>
      <c r="AQ74" s="185"/>
      <c r="AR74" s="185"/>
      <c r="AS74" s="185"/>
      <c r="AT74" s="185"/>
      <c r="AU74" s="185"/>
      <c r="AV74" s="185">
        <v>1001681</v>
      </c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34425394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3402602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2190559</v>
      </c>
      <c r="M75" s="195">
        <f t="shared" si="9"/>
        <v>0</v>
      </c>
      <c r="N75" s="195">
        <f t="shared" si="9"/>
        <v>201082</v>
      </c>
      <c r="O75" s="195">
        <f t="shared" si="9"/>
        <v>0</v>
      </c>
      <c r="P75" s="195">
        <f t="shared" si="9"/>
        <v>1302957</v>
      </c>
      <c r="Q75" s="195">
        <f t="shared" si="9"/>
        <v>45737</v>
      </c>
      <c r="R75" s="195">
        <f t="shared" si="9"/>
        <v>701628</v>
      </c>
      <c r="S75" s="195">
        <f t="shared" si="9"/>
        <v>131004</v>
      </c>
      <c r="T75" s="195">
        <f t="shared" si="9"/>
        <v>0</v>
      </c>
      <c r="U75" s="195">
        <f t="shared" si="9"/>
        <v>5485555</v>
      </c>
      <c r="V75" s="195">
        <f t="shared" si="9"/>
        <v>0</v>
      </c>
      <c r="W75" s="195">
        <f t="shared" si="9"/>
        <v>783589</v>
      </c>
      <c r="X75" s="195">
        <f t="shared" si="9"/>
        <v>3157862</v>
      </c>
      <c r="Y75" s="195">
        <f t="shared" si="9"/>
        <v>2667263</v>
      </c>
      <c r="Z75" s="195">
        <f t="shared" si="9"/>
        <v>0</v>
      </c>
      <c r="AA75" s="195">
        <f t="shared" si="9"/>
        <v>394034</v>
      </c>
      <c r="AB75" s="195">
        <f t="shared" si="9"/>
        <v>5841075</v>
      </c>
      <c r="AC75" s="195">
        <f t="shared" si="9"/>
        <v>1876973</v>
      </c>
      <c r="AD75" s="195">
        <f t="shared" si="9"/>
        <v>0</v>
      </c>
      <c r="AE75" s="195">
        <f t="shared" si="9"/>
        <v>2492607</v>
      </c>
      <c r="AF75" s="195">
        <f t="shared" si="9"/>
        <v>0</v>
      </c>
      <c r="AG75" s="195">
        <f t="shared" si="9"/>
        <v>7939054</v>
      </c>
      <c r="AH75" s="195">
        <f t="shared" si="9"/>
        <v>0</v>
      </c>
      <c r="AI75" s="195">
        <f t="shared" si="9"/>
        <v>87727</v>
      </c>
      <c r="AJ75" s="195">
        <f t="shared" si="9"/>
        <v>455896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2859446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1001681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43018331</v>
      </c>
      <c r="CF75" s="248"/>
    </row>
    <row r="76" spans="1:84" ht="12.6" customHeight="1" x14ac:dyDescent="0.25">
      <c r="A76" s="171" t="s">
        <v>248</v>
      </c>
      <c r="B76" s="175"/>
      <c r="C76" s="184"/>
      <c r="D76" s="184"/>
      <c r="E76" s="185">
        <v>18333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1296</v>
      </c>
      <c r="Q76" s="185"/>
      <c r="R76" s="185"/>
      <c r="S76" s="185"/>
      <c r="T76" s="185"/>
      <c r="U76" s="185">
        <v>1053</v>
      </c>
      <c r="V76" s="185"/>
      <c r="W76" s="185"/>
      <c r="X76" s="185"/>
      <c r="Y76" s="185">
        <v>2453</v>
      </c>
      <c r="Z76" s="185"/>
      <c r="AA76" s="185"/>
      <c r="AB76" s="185">
        <v>498</v>
      </c>
      <c r="AC76" s="185">
        <v>992</v>
      </c>
      <c r="AD76" s="185"/>
      <c r="AE76" s="185">
        <v>2826</v>
      </c>
      <c r="AF76" s="185"/>
      <c r="AG76" s="185">
        <v>3538</v>
      </c>
      <c r="AH76" s="185"/>
      <c r="AI76" s="185"/>
      <c r="AJ76" s="185">
        <v>1428</v>
      </c>
      <c r="AK76" s="185"/>
      <c r="AL76" s="185"/>
      <c r="AM76" s="185"/>
      <c r="AN76" s="185"/>
      <c r="AO76" s="185"/>
      <c r="AP76" s="185">
        <v>6644</v>
      </c>
      <c r="AQ76" s="185"/>
      <c r="AR76" s="185"/>
      <c r="AS76" s="185"/>
      <c r="AT76" s="185"/>
      <c r="AU76" s="185"/>
      <c r="AV76" s="185">
        <v>3313</v>
      </c>
      <c r="AW76" s="185"/>
      <c r="AX76" s="185"/>
      <c r="AY76" s="185">
        <v>2816</v>
      </c>
      <c r="AZ76" s="185"/>
      <c r="BA76" s="185">
        <v>677</v>
      </c>
      <c r="BB76" s="185"/>
      <c r="BC76" s="185"/>
      <c r="BD76" s="185">
        <v>754</v>
      </c>
      <c r="BE76" s="185">
        <v>24234</v>
      </c>
      <c r="BF76" s="185">
        <v>399</v>
      </c>
      <c r="BG76" s="185">
        <v>453</v>
      </c>
      <c r="BH76" s="185">
        <v>80</v>
      </c>
      <c r="BI76" s="185"/>
      <c r="BJ76" s="185">
        <v>1370</v>
      </c>
      <c r="BK76" s="185">
        <v>1370</v>
      </c>
      <c r="BL76" s="185">
        <v>616</v>
      </c>
      <c r="BM76" s="185"/>
      <c r="BN76" s="185">
        <v>891</v>
      </c>
      <c r="BO76" s="185"/>
      <c r="BP76" s="185"/>
      <c r="BQ76" s="185"/>
      <c r="BR76" s="185">
        <v>562</v>
      </c>
      <c r="BS76" s="185"/>
      <c r="BT76" s="185"/>
      <c r="BU76" s="185"/>
      <c r="BV76" s="185">
        <v>1134</v>
      </c>
      <c r="BW76" s="185"/>
      <c r="BX76" s="185"/>
      <c r="BY76" s="185">
        <v>707</v>
      </c>
      <c r="BZ76" s="185"/>
      <c r="CA76" s="185"/>
      <c r="CB76" s="185"/>
      <c r="CC76" s="185"/>
      <c r="CD76" s="245" t="s">
        <v>221</v>
      </c>
      <c r="CE76" s="195">
        <f t="shared" si="8"/>
        <v>78437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4142</v>
      </c>
      <c r="F77" s="184"/>
      <c r="G77" s="184"/>
      <c r="H77" s="184"/>
      <c r="I77" s="184"/>
      <c r="J77" s="184"/>
      <c r="K77" s="184"/>
      <c r="L77" s="184">
        <v>12039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5" t="s">
        <v>221</v>
      </c>
      <c r="AY77" s="245" t="s">
        <v>221</v>
      </c>
      <c r="AZ77" s="184">
        <v>42043</v>
      </c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5" t="s">
        <v>221</v>
      </c>
      <c r="CD77" s="245" t="s">
        <v>221</v>
      </c>
      <c r="CE77" s="195">
        <f>SUM(C77:CD77)</f>
        <v>58224</v>
      </c>
      <c r="CF77" s="195">
        <f>AY59-CE77</f>
        <v>5218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18500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1300</v>
      </c>
      <c r="Q78" s="184"/>
      <c r="R78" s="184"/>
      <c r="S78" s="184"/>
      <c r="T78" s="184"/>
      <c r="U78" s="184">
        <v>1100</v>
      </c>
      <c r="V78" s="184"/>
      <c r="W78" s="184"/>
      <c r="X78" s="184"/>
      <c r="Y78" s="184">
        <v>2500</v>
      </c>
      <c r="Z78" s="184"/>
      <c r="AA78" s="184"/>
      <c r="AB78" s="184">
        <v>500</v>
      </c>
      <c r="AC78" s="184">
        <v>1000</v>
      </c>
      <c r="AD78" s="184"/>
      <c r="AE78" s="184">
        <v>3000</v>
      </c>
      <c r="AF78" s="184"/>
      <c r="AG78" s="184">
        <v>4000</v>
      </c>
      <c r="AH78" s="184"/>
      <c r="AI78" s="184"/>
      <c r="AJ78" s="184">
        <v>1500</v>
      </c>
      <c r="AK78" s="184"/>
      <c r="AL78" s="184"/>
      <c r="AM78" s="184"/>
      <c r="AN78" s="184"/>
      <c r="AO78" s="184"/>
      <c r="AP78" s="184">
        <v>7000</v>
      </c>
      <c r="AQ78" s="184"/>
      <c r="AR78" s="184"/>
      <c r="AS78" s="184"/>
      <c r="AT78" s="184"/>
      <c r="AU78" s="184"/>
      <c r="AV78" s="184">
        <v>3000</v>
      </c>
      <c r="AW78" s="184"/>
      <c r="AX78" s="245" t="s">
        <v>221</v>
      </c>
      <c r="AY78" s="245" t="s">
        <v>221</v>
      </c>
      <c r="AZ78" s="245" t="s">
        <v>221</v>
      </c>
      <c r="BA78" s="184">
        <v>700</v>
      </c>
      <c r="BB78" s="184"/>
      <c r="BC78" s="184"/>
      <c r="BD78" s="245" t="s">
        <v>221</v>
      </c>
      <c r="BE78" s="245" t="s">
        <v>221</v>
      </c>
      <c r="BF78" s="245" t="s">
        <v>221</v>
      </c>
      <c r="BG78" s="245" t="s">
        <v>221</v>
      </c>
      <c r="BH78" s="184">
        <v>100</v>
      </c>
      <c r="BI78" s="184"/>
      <c r="BJ78" s="245" t="s">
        <v>221</v>
      </c>
      <c r="BK78" s="184">
        <v>1300</v>
      </c>
      <c r="BL78" s="184">
        <v>600</v>
      </c>
      <c r="BM78" s="184"/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/>
      <c r="BT78" s="184"/>
      <c r="BU78" s="184"/>
      <c r="BV78" s="184">
        <v>1000</v>
      </c>
      <c r="BW78" s="184"/>
      <c r="BX78" s="184"/>
      <c r="BY78" s="184">
        <v>800</v>
      </c>
      <c r="BZ78" s="184"/>
      <c r="CA78" s="184"/>
      <c r="CB78" s="184"/>
      <c r="CC78" s="245" t="s">
        <v>221</v>
      </c>
      <c r="CD78" s="245" t="s">
        <v>221</v>
      </c>
      <c r="CE78" s="195">
        <f t="shared" si="8"/>
        <v>47900</v>
      </c>
      <c r="CF78" s="195"/>
    </row>
    <row r="79" spans="1:84" ht="12.6" customHeight="1" x14ac:dyDescent="0.25">
      <c r="A79" s="171" t="s">
        <v>251</v>
      </c>
      <c r="B79" s="175"/>
      <c r="C79" s="221"/>
      <c r="D79" s="221"/>
      <c r="E79" s="184">
        <v>24156</v>
      </c>
      <c r="F79" s="184"/>
      <c r="G79" s="184"/>
      <c r="H79" s="184"/>
      <c r="I79" s="184"/>
      <c r="J79" s="184"/>
      <c r="K79" s="184"/>
      <c r="L79" s="184">
        <v>47331</v>
      </c>
      <c r="M79" s="184"/>
      <c r="N79" s="184"/>
      <c r="O79" s="184"/>
      <c r="P79" s="184">
        <v>8097</v>
      </c>
      <c r="Q79" s="184"/>
      <c r="R79" s="184"/>
      <c r="S79" s="184"/>
      <c r="T79" s="184"/>
      <c r="U79" s="184"/>
      <c r="V79" s="184"/>
      <c r="W79" s="184"/>
      <c r="X79" s="184"/>
      <c r="Y79" s="184">
        <v>9101</v>
      </c>
      <c r="Z79" s="184"/>
      <c r="AA79" s="184"/>
      <c r="AB79" s="184"/>
      <c r="AC79" s="184"/>
      <c r="AD79" s="184"/>
      <c r="AE79" s="184">
        <v>15686</v>
      </c>
      <c r="AF79" s="184"/>
      <c r="AG79" s="184">
        <v>26787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58210</v>
      </c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5" t="s">
        <v>221</v>
      </c>
      <c r="CD79" s="245" t="s">
        <v>221</v>
      </c>
      <c r="CE79" s="195">
        <f t="shared" si="8"/>
        <v>189368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16.2</v>
      </c>
      <c r="F80" s="187"/>
      <c r="G80" s="187"/>
      <c r="H80" s="187"/>
      <c r="I80" s="187"/>
      <c r="J80" s="187"/>
      <c r="K80" s="187"/>
      <c r="L80" s="187">
        <v>16.100000000000001</v>
      </c>
      <c r="M80" s="187"/>
      <c r="N80" s="187"/>
      <c r="O80" s="187"/>
      <c r="P80" s="187">
        <v>2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10.199999999999999</v>
      </c>
      <c r="AH80" s="187"/>
      <c r="AI80" s="187"/>
      <c r="AJ80" s="187">
        <v>1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45.5</v>
      </c>
      <c r="CF80" s="251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1" t="s">
        <v>1000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1004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1005</v>
      </c>
      <c r="D84" s="202"/>
      <c r="E84" s="201"/>
    </row>
    <row r="85" spans="1:5" ht="12.6" customHeight="1" x14ac:dyDescent="0.25">
      <c r="A85" s="173" t="s">
        <v>987</v>
      </c>
      <c r="B85" s="172"/>
      <c r="C85" s="266" t="s">
        <v>1006</v>
      </c>
      <c r="D85" s="202"/>
      <c r="E85" s="201"/>
    </row>
    <row r="86" spans="1:5" ht="12.6" customHeight="1" x14ac:dyDescent="0.25">
      <c r="A86" s="173" t="s">
        <v>988</v>
      </c>
      <c r="B86" s="172" t="s">
        <v>256</v>
      </c>
      <c r="C86" s="227" t="s">
        <v>1007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6" t="s">
        <v>1008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6" t="s">
        <v>1009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6" t="s">
        <v>1010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6" t="s">
        <v>1011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6" t="s">
        <v>1012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22" t="s">
        <v>1013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75" t="s">
        <v>1014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 t="s">
        <v>221</v>
      </c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/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181</v>
      </c>
      <c r="D111" s="174">
        <v>575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53</v>
      </c>
      <c r="D112" s="174">
        <v>4767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975</v>
      </c>
      <c r="B118" s="172" t="s">
        <v>256</v>
      </c>
      <c r="C118" s="189">
        <v>10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15</v>
      </c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1783714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976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118</v>
      </c>
      <c r="C138" s="189">
        <v>29</v>
      </c>
      <c r="D138" s="174">
        <v>34</v>
      </c>
      <c r="E138" s="175">
        <f>SUM(B138:D138)</f>
        <v>181</v>
      </c>
    </row>
    <row r="139" spans="1:6" ht="12.6" customHeight="1" x14ac:dyDescent="0.25">
      <c r="A139" s="173" t="s">
        <v>215</v>
      </c>
      <c r="B139" s="174">
        <v>383</v>
      </c>
      <c r="C139" s="189">
        <v>97</v>
      </c>
      <c r="D139" s="174">
        <v>95</v>
      </c>
      <c r="E139" s="175">
        <f>SUM(B139:D139)</f>
        <v>575</v>
      </c>
    </row>
    <row r="140" spans="1:6" ht="12.6" customHeight="1" x14ac:dyDescent="0.25">
      <c r="A140" s="173" t="s">
        <v>298</v>
      </c>
      <c r="B140" s="174">
        <v>9520</v>
      </c>
      <c r="C140" s="174">
        <v>3390</v>
      </c>
      <c r="D140" s="174">
        <v>3226</v>
      </c>
      <c r="E140" s="175">
        <f>SUM(B140:D140)</f>
        <v>16136</v>
      </c>
    </row>
    <row r="141" spans="1:6" ht="12.6" customHeight="1" x14ac:dyDescent="0.25">
      <c r="A141" s="173" t="s">
        <v>245</v>
      </c>
      <c r="B141" s="174">
        <v>3356269</v>
      </c>
      <c r="C141" s="189">
        <v>1019676</v>
      </c>
      <c r="D141" s="174">
        <v>856718</v>
      </c>
      <c r="E141" s="175">
        <f>SUM(B141:D141)</f>
        <v>5232663</v>
      </c>
      <c r="F141" s="199"/>
    </row>
    <row r="142" spans="1:6" ht="12.6" customHeight="1" x14ac:dyDescent="0.25">
      <c r="A142" s="173" t="s">
        <v>246</v>
      </c>
      <c r="B142" s="174">
        <v>17805593</v>
      </c>
      <c r="C142" s="189">
        <v>8335836</v>
      </c>
      <c r="D142" s="174">
        <v>8283965</v>
      </c>
      <c r="E142" s="175">
        <f>SUM(B142:D142)</f>
        <v>34425394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47</v>
      </c>
      <c r="C144" s="189">
        <v>2</v>
      </c>
      <c r="D144" s="174">
        <v>4</v>
      </c>
      <c r="E144" s="175">
        <f>SUM(B144:D144)</f>
        <v>53</v>
      </c>
    </row>
    <row r="145" spans="1:5" ht="12.6" customHeight="1" x14ac:dyDescent="0.25">
      <c r="A145" s="173" t="s">
        <v>215</v>
      </c>
      <c r="B145" s="174">
        <v>664</v>
      </c>
      <c r="C145" s="189">
        <v>3710</v>
      </c>
      <c r="D145" s="174">
        <v>393</v>
      </c>
      <c r="E145" s="175">
        <f>SUM(B145:D145)</f>
        <v>4767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1650668</v>
      </c>
      <c r="C147" s="189">
        <v>1513558</v>
      </c>
      <c r="D147" s="174">
        <v>196048</v>
      </c>
      <c r="E147" s="175">
        <f>SUM(B147:D147)</f>
        <v>3360274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1944223</v>
      </c>
      <c r="C157" s="174">
        <v>1930745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9">
        <v>878985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18740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318647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1217060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98538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480780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100879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114791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3228420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 t="s">
        <v>1002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143686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143686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>
        <v>80736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124841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205577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>
        <f>1267+12053</f>
        <v>13320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164903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178223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516679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516679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971400</v>
      </c>
      <c r="C195" s="189"/>
      <c r="D195" s="174">
        <v>2800</v>
      </c>
      <c r="E195" s="175">
        <f t="shared" ref="E195:E203" si="10">SUM(B195:C195)-D195</f>
        <v>968600</v>
      </c>
    </row>
    <row r="196" spans="1:8" ht="12.6" customHeight="1" x14ac:dyDescent="0.25">
      <c r="A196" s="173" t="s">
        <v>333</v>
      </c>
      <c r="B196" s="174">
        <v>1426739</v>
      </c>
      <c r="C196" s="189"/>
      <c r="D196" s="174"/>
      <c r="E196" s="175">
        <f t="shared" si="10"/>
        <v>1426739</v>
      </c>
    </row>
    <row r="197" spans="1:8" ht="12.6" customHeight="1" x14ac:dyDescent="0.25">
      <c r="A197" s="173" t="s">
        <v>334</v>
      </c>
      <c r="B197" s="174">
        <f>15911832+1112373</f>
        <v>17024205</v>
      </c>
      <c r="C197" s="189"/>
      <c r="D197" s="174">
        <v>36962</v>
      </c>
      <c r="E197" s="175">
        <f t="shared" si="10"/>
        <v>16987243</v>
      </c>
    </row>
    <row r="198" spans="1:8" ht="12.6" customHeight="1" x14ac:dyDescent="0.25">
      <c r="A198" s="173" t="s">
        <v>335</v>
      </c>
      <c r="B198" s="174">
        <v>2677876</v>
      </c>
      <c r="C198" s="189"/>
      <c r="D198" s="174"/>
      <c r="E198" s="175">
        <f t="shared" si="10"/>
        <v>2677876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7377883</v>
      </c>
      <c r="C200" s="189">
        <v>14472</v>
      </c>
      <c r="D200" s="174" t="s">
        <v>1002</v>
      </c>
      <c r="E200" s="175">
        <f t="shared" si="10"/>
        <v>7392355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159091</v>
      </c>
      <c r="C203" s="189"/>
      <c r="D203" s="174"/>
      <c r="E203" s="175">
        <f t="shared" si="10"/>
        <v>159091</v>
      </c>
    </row>
    <row r="204" spans="1:8" ht="12.6" customHeight="1" x14ac:dyDescent="0.25">
      <c r="A204" s="173" t="s">
        <v>203</v>
      </c>
      <c r="B204" s="175">
        <f>SUM(B195:B203)</f>
        <v>29637194</v>
      </c>
      <c r="C204" s="191">
        <f>SUM(C195:C203)</f>
        <v>14472</v>
      </c>
      <c r="D204" s="175">
        <f>SUM(D195:D203)</f>
        <v>39762</v>
      </c>
      <c r="E204" s="175">
        <f>SUM(E195:E203)</f>
        <v>29611904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895795</v>
      </c>
      <c r="C209" s="189">
        <v>89151</v>
      </c>
      <c r="D209" s="174"/>
      <c r="E209" s="175">
        <f t="shared" ref="E209:E216" si="11">SUM(B209:C209)-D209</f>
        <v>984946</v>
      </c>
      <c r="H209" s="255"/>
    </row>
    <row r="210" spans="1:8" ht="12.6" customHeight="1" x14ac:dyDescent="0.25">
      <c r="A210" s="173" t="s">
        <v>334</v>
      </c>
      <c r="B210" s="174">
        <f>9663499+795679</f>
        <v>10459178</v>
      </c>
      <c r="C210" s="189">
        <f>570702+68688</f>
        <v>639390</v>
      </c>
      <c r="D210" s="174"/>
      <c r="E210" s="175">
        <f t="shared" si="11"/>
        <v>11098568</v>
      </c>
      <c r="H210" s="255"/>
    </row>
    <row r="211" spans="1:8" ht="12.6" customHeight="1" x14ac:dyDescent="0.25">
      <c r="A211" s="173" t="s">
        <v>335</v>
      </c>
      <c r="B211" s="174">
        <v>1455903</v>
      </c>
      <c r="C211" s="189">
        <v>127481</v>
      </c>
      <c r="D211" s="174"/>
      <c r="E211" s="175">
        <f t="shared" si="11"/>
        <v>1583384</v>
      </c>
      <c r="H211" s="255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5"/>
    </row>
    <row r="213" spans="1:8" ht="12.6" customHeight="1" x14ac:dyDescent="0.25">
      <c r="A213" s="173" t="s">
        <v>337</v>
      </c>
      <c r="B213" s="174">
        <v>4838743</v>
      </c>
      <c r="C213" s="189">
        <v>283224</v>
      </c>
      <c r="D213" s="174"/>
      <c r="E213" s="175">
        <f t="shared" si="11"/>
        <v>5121967</v>
      </c>
      <c r="H213" s="255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5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17649619</v>
      </c>
      <c r="C217" s="191">
        <f>SUM(C208:C216)</f>
        <v>1139246</v>
      </c>
      <c r="D217" s="175">
        <f>SUM(D208:D216)</f>
        <v>0</v>
      </c>
      <c r="E217" s="175">
        <f>SUM(E208:E216)</f>
        <v>18788865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76" t="s">
        <v>991</v>
      </c>
      <c r="C220" s="276"/>
      <c r="D220" s="205"/>
      <c r="E220" s="205"/>
    </row>
    <row r="221" spans="1:8" ht="12.6" customHeight="1" x14ac:dyDescent="0.25">
      <c r="A221" s="267" t="s">
        <v>991</v>
      </c>
      <c r="B221" s="205"/>
      <c r="C221" s="189">
        <v>1152550</v>
      </c>
      <c r="D221" s="172">
        <f>C221</f>
        <v>1152550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>
        <f>5755513+2140061</f>
        <v>7895574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672713+4760385</f>
        <v>5433098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316654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 t="s">
        <v>1002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2458872</f>
        <v>2458872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16104198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>
        <v>0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154969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154969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>
        <v>1095808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1095808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18507525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>
        <v>3669662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 t="s">
        <v>1002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7130324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3756600</v>
      </c>
      <c r="D253" s="175"/>
      <c r="E253" s="175"/>
    </row>
    <row r="254" spans="1:5" ht="12.45" customHeight="1" x14ac:dyDescent="0.25">
      <c r="A254" s="173" t="s">
        <v>977</v>
      </c>
      <c r="B254" s="172" t="s">
        <v>256</v>
      </c>
      <c r="C254" s="189">
        <v>892822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58920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301089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278903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8575120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>
        <v>1282344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1282344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>
        <v>968600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1426739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15853907+1133336</f>
        <v>16987243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2677876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7392356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159092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29611906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18788866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10823040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20680504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503666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540121+908404</f>
        <v>1448525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978</v>
      </c>
      <c r="B309" s="172" t="s">
        <v>256</v>
      </c>
      <c r="C309" s="189">
        <v>487853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25506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1722955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4188505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76581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8237809+1722955</f>
        <v>9960764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 t="s">
        <v>1002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10037345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1722955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8314390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>
        <v>8177609</v>
      </c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878</v>
      </c>
      <c r="B334" s="172" t="s">
        <v>256</v>
      </c>
      <c r="C334" s="218"/>
      <c r="D334" s="175"/>
      <c r="E334" s="175"/>
    </row>
    <row r="335" spans="1:5" ht="12.6" customHeight="1" x14ac:dyDescent="0.25">
      <c r="A335" s="173" t="s">
        <v>879</v>
      </c>
      <c r="B335" s="172" t="s">
        <v>256</v>
      </c>
      <c r="C335" s="218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989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20680504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20680504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v>8592937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31570468+2854926</f>
        <v>34425394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43018331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991</v>
      </c>
      <c r="B363" s="253"/>
      <c r="C363" s="189">
        <v>1152550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>
        <f>17182493-1095808</f>
        <v>16086685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154969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1095808+17513</f>
        <v>1113321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18507525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24510806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>
        <v>512958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1809700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2322658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26833464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v>13827291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3228420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1745271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2117454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411363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2720081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1810679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143686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205577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178223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516679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267755+69152-178223-143686-3999</f>
        <v>10999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26915723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-82259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-82259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-82259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Morton General Hospital   H-0     FYE 12/31/2018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181</v>
      </c>
      <c r="C414" s="194">
        <f>E138</f>
        <v>181</v>
      </c>
      <c r="D414" s="179"/>
    </row>
    <row r="415" spans="1:5" ht="12.6" customHeight="1" x14ac:dyDescent="0.25">
      <c r="A415" s="179" t="s">
        <v>464</v>
      </c>
      <c r="B415" s="179">
        <f>D111</f>
        <v>575</v>
      </c>
      <c r="C415" s="179">
        <f>E139</f>
        <v>575</v>
      </c>
      <c r="D415" s="194">
        <f>SUM(C59:H59)+N59</f>
        <v>575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53</v>
      </c>
      <c r="C417" s="194">
        <f>E144</f>
        <v>53</v>
      </c>
      <c r="D417" s="179"/>
    </row>
    <row r="418" spans="1:7" ht="12.6" customHeight="1" x14ac:dyDescent="0.25">
      <c r="A418" s="179" t="s">
        <v>466</v>
      </c>
      <c r="B418" s="179">
        <f>D112</f>
        <v>4767</v>
      </c>
      <c r="C418" s="179">
        <f>E145</f>
        <v>4767</v>
      </c>
      <c r="D418" s="179">
        <f>K59+L59</f>
        <v>4767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980</v>
      </c>
      <c r="B424" s="179">
        <f>D114</f>
        <v>0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13827291</v>
      </c>
      <c r="C427" s="179">
        <f t="shared" ref="C427:C434" si="13">CE61</f>
        <v>13827291</v>
      </c>
      <c r="D427" s="179"/>
    </row>
    <row r="428" spans="1:7" ht="12.6" customHeight="1" x14ac:dyDescent="0.25">
      <c r="A428" s="179" t="s">
        <v>3</v>
      </c>
      <c r="B428" s="179">
        <f t="shared" si="12"/>
        <v>3228420</v>
      </c>
      <c r="C428" s="179">
        <f t="shared" si="13"/>
        <v>3228418</v>
      </c>
      <c r="D428" s="179">
        <f>D173</f>
        <v>3228420</v>
      </c>
    </row>
    <row r="429" spans="1:7" ht="12.6" customHeight="1" x14ac:dyDescent="0.25">
      <c r="A429" s="179" t="s">
        <v>236</v>
      </c>
      <c r="B429" s="179">
        <f t="shared" si="12"/>
        <v>1745271</v>
      </c>
      <c r="C429" s="179">
        <f t="shared" si="13"/>
        <v>1745271</v>
      </c>
      <c r="D429" s="179"/>
    </row>
    <row r="430" spans="1:7" ht="12.6" customHeight="1" x14ac:dyDescent="0.25">
      <c r="A430" s="179" t="s">
        <v>237</v>
      </c>
      <c r="B430" s="179">
        <f t="shared" si="12"/>
        <v>2117454</v>
      </c>
      <c r="C430" s="179">
        <f t="shared" si="13"/>
        <v>2117454</v>
      </c>
      <c r="D430" s="179"/>
    </row>
    <row r="431" spans="1:7" ht="12.6" customHeight="1" x14ac:dyDescent="0.25">
      <c r="A431" s="179" t="s">
        <v>444</v>
      </c>
      <c r="B431" s="179">
        <f t="shared" si="12"/>
        <v>411363</v>
      </c>
      <c r="C431" s="179">
        <f t="shared" si="13"/>
        <v>411363</v>
      </c>
      <c r="D431" s="179"/>
    </row>
    <row r="432" spans="1:7" ht="12.6" customHeight="1" x14ac:dyDescent="0.25">
      <c r="A432" s="179" t="s">
        <v>445</v>
      </c>
      <c r="B432" s="179">
        <f t="shared" si="12"/>
        <v>2720081</v>
      </c>
      <c r="C432" s="179">
        <f t="shared" si="13"/>
        <v>2720081</v>
      </c>
      <c r="D432" s="179"/>
    </row>
    <row r="433" spans="1:7" ht="12.6" customHeight="1" x14ac:dyDescent="0.25">
      <c r="A433" s="179" t="s">
        <v>6</v>
      </c>
      <c r="B433" s="179">
        <f t="shared" si="12"/>
        <v>1810679</v>
      </c>
      <c r="C433" s="179">
        <f t="shared" si="13"/>
        <v>1810680</v>
      </c>
      <c r="D433" s="179">
        <f>C217</f>
        <v>1139246</v>
      </c>
    </row>
    <row r="434" spans="1:7" ht="12.6" customHeight="1" x14ac:dyDescent="0.25">
      <c r="A434" s="179" t="s">
        <v>474</v>
      </c>
      <c r="B434" s="179">
        <f t="shared" si="12"/>
        <v>143686</v>
      </c>
      <c r="C434" s="179">
        <f t="shared" si="13"/>
        <v>143686</v>
      </c>
      <c r="D434" s="179">
        <f>D177</f>
        <v>143686</v>
      </c>
    </row>
    <row r="435" spans="1:7" ht="12.6" customHeight="1" x14ac:dyDescent="0.25">
      <c r="A435" s="179" t="s">
        <v>447</v>
      </c>
      <c r="B435" s="179">
        <f t="shared" si="12"/>
        <v>205577</v>
      </c>
      <c r="C435" s="179"/>
      <c r="D435" s="179">
        <f>D181</f>
        <v>205577</v>
      </c>
    </row>
    <row r="436" spans="1:7" ht="12.6" customHeight="1" x14ac:dyDescent="0.25">
      <c r="A436" s="179" t="s">
        <v>475</v>
      </c>
      <c r="B436" s="179">
        <f t="shared" si="12"/>
        <v>178223</v>
      </c>
      <c r="C436" s="179"/>
      <c r="D436" s="179">
        <f>D186</f>
        <v>178223</v>
      </c>
    </row>
    <row r="437" spans="1:7" ht="12.6" customHeight="1" x14ac:dyDescent="0.25">
      <c r="A437" s="194" t="s">
        <v>449</v>
      </c>
      <c r="B437" s="194">
        <f t="shared" si="12"/>
        <v>516679</v>
      </c>
      <c r="C437" s="194"/>
      <c r="D437" s="194">
        <f>D190</f>
        <v>516679</v>
      </c>
    </row>
    <row r="438" spans="1:7" ht="12.6" customHeight="1" x14ac:dyDescent="0.25">
      <c r="A438" s="194" t="s">
        <v>476</v>
      </c>
      <c r="B438" s="194">
        <f>C386+C387+C388</f>
        <v>900479</v>
      </c>
      <c r="C438" s="194">
        <f>CD69</f>
        <v>0</v>
      </c>
      <c r="D438" s="194">
        <f>D181+D186+D190</f>
        <v>900479</v>
      </c>
    </row>
    <row r="439" spans="1:7" ht="12.6" customHeight="1" x14ac:dyDescent="0.25">
      <c r="A439" s="179" t="s">
        <v>451</v>
      </c>
      <c r="B439" s="194">
        <f>C389</f>
        <v>10999</v>
      </c>
      <c r="C439" s="194">
        <f>SUM(C69:CC69)</f>
        <v>911477</v>
      </c>
      <c r="D439" s="179"/>
    </row>
    <row r="440" spans="1:7" ht="12.6" customHeight="1" x14ac:dyDescent="0.25">
      <c r="A440" s="179" t="s">
        <v>477</v>
      </c>
      <c r="B440" s="194">
        <f>B438+B439</f>
        <v>911478</v>
      </c>
      <c r="C440" s="194">
        <f>CE69</f>
        <v>911477</v>
      </c>
      <c r="D440" s="179"/>
    </row>
    <row r="441" spans="1:7" ht="12.6" customHeight="1" x14ac:dyDescent="0.25">
      <c r="A441" s="179" t="s">
        <v>478</v>
      </c>
      <c r="B441" s="179">
        <f>D390</f>
        <v>26915723</v>
      </c>
      <c r="C441" s="179">
        <f>SUM(C427:C437)+C440</f>
        <v>26915721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1152550</v>
      </c>
      <c r="C444" s="179">
        <f>C363</f>
        <v>1152550</v>
      </c>
      <c r="D444" s="179"/>
    </row>
    <row r="445" spans="1:7" ht="12.6" customHeight="1" x14ac:dyDescent="0.25">
      <c r="A445" s="179" t="s">
        <v>343</v>
      </c>
      <c r="B445" s="179">
        <f>D229</f>
        <v>16104198</v>
      </c>
      <c r="C445" s="179">
        <f>C364</f>
        <v>16086685</v>
      </c>
      <c r="D445" s="179"/>
    </row>
    <row r="446" spans="1:7" ht="12.6" customHeight="1" x14ac:dyDescent="0.25">
      <c r="A446" s="179" t="s">
        <v>351</v>
      </c>
      <c r="B446" s="179">
        <f>D236</f>
        <v>154969</v>
      </c>
      <c r="C446" s="179">
        <f>C365</f>
        <v>154969</v>
      </c>
      <c r="D446" s="179"/>
    </row>
    <row r="447" spans="1:7" ht="12.6" customHeight="1" x14ac:dyDescent="0.25">
      <c r="A447" s="179" t="s">
        <v>356</v>
      </c>
      <c r="B447" s="179">
        <f>D240</f>
        <v>1095808</v>
      </c>
      <c r="C447" s="179">
        <f>C366</f>
        <v>1113321</v>
      </c>
      <c r="D447" s="179"/>
    </row>
    <row r="448" spans="1:7" ht="12.6" customHeight="1" x14ac:dyDescent="0.25">
      <c r="A448" s="179" t="s">
        <v>358</v>
      </c>
      <c r="B448" s="179">
        <f>D242</f>
        <v>18507525</v>
      </c>
      <c r="C448" s="179">
        <f>D367</f>
        <v>18507525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154969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512958</v>
      </c>
      <c r="C458" s="194">
        <f>CE70</f>
        <v>512958</v>
      </c>
      <c r="D458" s="194"/>
    </row>
    <row r="459" spans="1:7" ht="12.6" customHeight="1" x14ac:dyDescent="0.25">
      <c r="A459" s="179" t="s">
        <v>244</v>
      </c>
      <c r="B459" s="194">
        <f>C371</f>
        <v>1809700</v>
      </c>
      <c r="C459" s="194">
        <f>CE72</f>
        <v>1809700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8592937</v>
      </c>
      <c r="C463" s="194">
        <f>CE73</f>
        <v>8592937</v>
      </c>
      <c r="D463" s="194">
        <f>E141+E147+E153</f>
        <v>8592937</v>
      </c>
    </row>
    <row r="464" spans="1:7" ht="12.6" customHeight="1" x14ac:dyDescent="0.25">
      <c r="A464" s="179" t="s">
        <v>246</v>
      </c>
      <c r="B464" s="194">
        <f>C360</f>
        <v>34425394</v>
      </c>
      <c r="C464" s="194">
        <f>CE74</f>
        <v>34425394</v>
      </c>
      <c r="D464" s="194">
        <f>E142+E148+E154</f>
        <v>34425394</v>
      </c>
    </row>
    <row r="465" spans="1:7" ht="12.6" customHeight="1" x14ac:dyDescent="0.25">
      <c r="A465" s="179" t="s">
        <v>247</v>
      </c>
      <c r="B465" s="194">
        <f>D361</f>
        <v>43018331</v>
      </c>
      <c r="C465" s="194">
        <f>CE75</f>
        <v>43018331</v>
      </c>
      <c r="D465" s="194">
        <f>D463+D464</f>
        <v>43018331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968600</v>
      </c>
      <c r="C468" s="179">
        <f>E195</f>
        <v>968600</v>
      </c>
      <c r="D468" s="179"/>
    </row>
    <row r="469" spans="1:7" ht="12.6" customHeight="1" x14ac:dyDescent="0.25">
      <c r="A469" s="179" t="s">
        <v>333</v>
      </c>
      <c r="B469" s="179">
        <f t="shared" si="14"/>
        <v>1426739</v>
      </c>
      <c r="C469" s="179">
        <f>E196</f>
        <v>1426739</v>
      </c>
      <c r="D469" s="179"/>
    </row>
    <row r="470" spans="1:7" ht="12.6" customHeight="1" x14ac:dyDescent="0.25">
      <c r="A470" s="179" t="s">
        <v>334</v>
      </c>
      <c r="B470" s="179">
        <f t="shared" si="14"/>
        <v>16987243</v>
      </c>
      <c r="C470" s="179">
        <f>E197</f>
        <v>16987243</v>
      </c>
      <c r="D470" s="179"/>
    </row>
    <row r="471" spans="1:7" ht="12.6" customHeight="1" x14ac:dyDescent="0.25">
      <c r="A471" s="179" t="s">
        <v>494</v>
      </c>
      <c r="B471" s="179">
        <f t="shared" si="14"/>
        <v>2677876</v>
      </c>
      <c r="C471" s="179">
        <f>E198</f>
        <v>2677876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7392356</v>
      </c>
      <c r="C473" s="179">
        <f>SUM(E200:E201)</f>
        <v>7392355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159092</v>
      </c>
      <c r="C475" s="179">
        <f>E203</f>
        <v>159091</v>
      </c>
      <c r="D475" s="179"/>
    </row>
    <row r="476" spans="1:7" ht="12.6" customHeight="1" x14ac:dyDescent="0.25">
      <c r="A476" s="179" t="s">
        <v>203</v>
      </c>
      <c r="B476" s="179">
        <f>D275</f>
        <v>29611906</v>
      </c>
      <c r="C476" s="179">
        <f>E204</f>
        <v>29611904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18788866</v>
      </c>
      <c r="C478" s="179">
        <f>E217</f>
        <v>18788865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20680504</v>
      </c>
    </row>
    <row r="482" spans="1:12" ht="12.6" customHeight="1" x14ac:dyDescent="0.25">
      <c r="A482" s="180" t="s">
        <v>499</v>
      </c>
      <c r="C482" s="180">
        <f>D339</f>
        <v>20680504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172</v>
      </c>
      <c r="B493" s="257" t="s">
        <v>1003</v>
      </c>
      <c r="C493" s="257" t="str">
        <f>RIGHT(C82,4)</f>
        <v>2018</v>
      </c>
      <c r="D493" s="257" t="s">
        <v>1003</v>
      </c>
      <c r="E493" s="257" t="str">
        <f>RIGHT(C82,4)</f>
        <v>2018</v>
      </c>
      <c r="F493" s="257" t="s">
        <v>1003</v>
      </c>
      <c r="G493" s="257" t="str">
        <f>RIGHT(C82,4)</f>
        <v>2018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v>0</v>
      </c>
      <c r="C496" s="236">
        <f>C71</f>
        <v>0</v>
      </c>
      <c r="D496" s="236">
        <v>0</v>
      </c>
      <c r="E496" s="180">
        <f>C59</f>
        <v>0</v>
      </c>
      <c r="F496" s="259" t="str">
        <f t="shared" ref="F496:G511" si="15">IF(B496=0,"",IF(D496=0,"",B496/D496))</f>
        <v/>
      </c>
      <c r="G496" s="260" t="str">
        <f t="shared" si="15"/>
        <v/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v>0</v>
      </c>
      <c r="C497" s="236">
        <f>D71</f>
        <v>0</v>
      </c>
      <c r="D497" s="236"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v>2348775</v>
      </c>
      <c r="C498" s="236">
        <f>E71</f>
        <v>2508439</v>
      </c>
      <c r="D498" s="236">
        <v>639</v>
      </c>
      <c r="E498" s="180">
        <f>E59</f>
        <v>575</v>
      </c>
      <c r="F498" s="259">
        <f t="shared" si="15"/>
        <v>3675.7042253521126</v>
      </c>
      <c r="G498" s="259">
        <f t="shared" si="15"/>
        <v>4362.5026086956523</v>
      </c>
      <c r="H498" s="261" t="str">
        <f t="shared" si="16"/>
        <v/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v>0</v>
      </c>
      <c r="C499" s="236">
        <f>F71</f>
        <v>0</v>
      </c>
      <c r="D499" s="236">
        <v>0</v>
      </c>
      <c r="E499" s="180">
        <f>F59</f>
        <v>0</v>
      </c>
      <c r="F499" s="259" t="str">
        <f t="shared" si="15"/>
        <v/>
      </c>
      <c r="G499" s="259" t="str">
        <f t="shared" si="15"/>
        <v/>
      </c>
      <c r="H499" s="261" t="str">
        <f t="shared" si="16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v>0</v>
      </c>
      <c r="C500" s="236">
        <f>G71</f>
        <v>0</v>
      </c>
      <c r="D500" s="236"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v>0</v>
      </c>
      <c r="C501" s="236">
        <f>H71</f>
        <v>0</v>
      </c>
      <c r="D501" s="236">
        <v>0</v>
      </c>
      <c r="E501" s="180">
        <f>H59</f>
        <v>0</v>
      </c>
      <c r="F501" s="259" t="str">
        <f t="shared" si="15"/>
        <v/>
      </c>
      <c r="G501" s="259" t="str">
        <f t="shared" si="15"/>
        <v/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v>0</v>
      </c>
      <c r="C502" s="236">
        <f>I71</f>
        <v>0</v>
      </c>
      <c r="D502" s="236"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v>0</v>
      </c>
      <c r="C503" s="236">
        <f>J71</f>
        <v>0</v>
      </c>
      <c r="D503" s="236">
        <v>0</v>
      </c>
      <c r="E503" s="180">
        <f>J59</f>
        <v>0</v>
      </c>
      <c r="F503" s="259" t="str">
        <f t="shared" si="15"/>
        <v/>
      </c>
      <c r="G503" s="259" t="str">
        <f t="shared" si="15"/>
        <v/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v>0</v>
      </c>
      <c r="C504" s="236">
        <f>K71</f>
        <v>0</v>
      </c>
      <c r="D504" s="236"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v>1100260</v>
      </c>
      <c r="C505" s="236">
        <f>L71</f>
        <v>1144223</v>
      </c>
      <c r="D505" s="236">
        <v>5879</v>
      </c>
      <c r="E505" s="180">
        <f>L59</f>
        <v>4767</v>
      </c>
      <c r="F505" s="259">
        <f t="shared" si="15"/>
        <v>187.15087599931962</v>
      </c>
      <c r="G505" s="259">
        <f t="shared" si="15"/>
        <v>240.02999790224459</v>
      </c>
      <c r="H505" s="261">
        <f t="shared" si="16"/>
        <v>0.28254808651345664</v>
      </c>
      <c r="I505" s="263" t="s">
        <v>1015</v>
      </c>
      <c r="K505" s="257"/>
      <c r="L505" s="257"/>
    </row>
    <row r="506" spans="1:12" ht="12.6" customHeight="1" x14ac:dyDescent="0.25">
      <c r="A506" s="180" t="s">
        <v>522</v>
      </c>
      <c r="B506" s="236">
        <v>0</v>
      </c>
      <c r="C506" s="236">
        <f>M71</f>
        <v>0</v>
      </c>
      <c r="D506" s="236"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v>189324</v>
      </c>
      <c r="C507" s="236">
        <f>N71</f>
        <v>194467</v>
      </c>
      <c r="D507" s="236"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v>0</v>
      </c>
      <c r="C508" s="236">
        <f>O71</f>
        <v>0</v>
      </c>
      <c r="D508" s="236">
        <v>0</v>
      </c>
      <c r="E508" s="180">
        <f>O59</f>
        <v>0</v>
      </c>
      <c r="F508" s="259" t="str">
        <f t="shared" si="15"/>
        <v/>
      </c>
      <c r="G508" s="259" t="str">
        <f t="shared" si="15"/>
        <v/>
      </c>
      <c r="H508" s="261" t="str">
        <f t="shared" si="16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v>368827</v>
      </c>
      <c r="C509" s="236">
        <f>P71</f>
        <v>419343</v>
      </c>
      <c r="D509" s="236">
        <v>8677</v>
      </c>
      <c r="E509" s="180">
        <f>P59</f>
        <v>8208</v>
      </c>
      <c r="F509" s="259">
        <f t="shared" si="15"/>
        <v>42.506280972686412</v>
      </c>
      <c r="G509" s="259">
        <f t="shared" si="15"/>
        <v>51.089546783625728</v>
      </c>
      <c r="H509" s="261" t="str">
        <f t="shared" si="16"/>
        <v/>
      </c>
      <c r="I509" s="263" t="s">
        <v>1016</v>
      </c>
      <c r="K509" s="257"/>
      <c r="L509" s="257"/>
    </row>
    <row r="510" spans="1:12" ht="12.6" customHeight="1" x14ac:dyDescent="0.25">
      <c r="A510" s="180" t="s">
        <v>526</v>
      </c>
      <c r="B510" s="236">
        <v>0</v>
      </c>
      <c r="C510" s="236">
        <f>Q71</f>
        <v>0</v>
      </c>
      <c r="D510" s="236">
        <v>0</v>
      </c>
      <c r="E510" s="180">
        <f>Q59</f>
        <v>0</v>
      </c>
      <c r="F510" s="259" t="str">
        <f t="shared" si="15"/>
        <v/>
      </c>
      <c r="G510" s="259" t="str">
        <f t="shared" si="15"/>
        <v/>
      </c>
      <c r="H510" s="261" t="str">
        <f t="shared" si="16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v>570970</v>
      </c>
      <c r="C511" s="236">
        <f>R71</f>
        <v>562323</v>
      </c>
      <c r="D511" s="236">
        <v>14756</v>
      </c>
      <c r="E511" s="180">
        <f>R59</f>
        <v>13736</v>
      </c>
      <c r="F511" s="259">
        <f t="shared" si="15"/>
        <v>38.694090539441582</v>
      </c>
      <c r="G511" s="259">
        <f t="shared" si="15"/>
        <v>40.937900407687827</v>
      </c>
      <c r="H511" s="261" t="str">
        <f t="shared" si="16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v>70909</v>
      </c>
      <c r="C512" s="236">
        <f>S71</f>
        <v>33914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982</v>
      </c>
      <c r="B513" s="236">
        <v>0</v>
      </c>
      <c r="C513" s="236">
        <f>T71</f>
        <v>0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v>1055873</v>
      </c>
      <c r="C514" s="236">
        <f>U71</f>
        <v>1161768</v>
      </c>
      <c r="D514" s="236">
        <v>44660</v>
      </c>
      <c r="E514" s="180">
        <f>U59</f>
        <v>48014</v>
      </c>
      <c r="F514" s="259">
        <f t="shared" si="17"/>
        <v>23.642476489028212</v>
      </c>
      <c r="G514" s="259">
        <f t="shared" si="17"/>
        <v>24.196442704211272</v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v>0</v>
      </c>
      <c r="C515" s="236">
        <f>V71</f>
        <v>0</v>
      </c>
      <c r="D515" s="236">
        <v>0</v>
      </c>
      <c r="E515" s="180">
        <f>V59</f>
        <v>0</v>
      </c>
      <c r="F515" s="259" t="str">
        <f t="shared" si="17"/>
        <v/>
      </c>
      <c r="G515" s="259" t="str">
        <f t="shared" si="17"/>
        <v/>
      </c>
      <c r="H515" s="261" t="str">
        <f t="shared" si="16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v>141899</v>
      </c>
      <c r="C516" s="236">
        <f>W71</f>
        <v>150688</v>
      </c>
      <c r="D516" s="236">
        <v>293</v>
      </c>
      <c r="E516" s="180">
        <f>W59</f>
        <v>293</v>
      </c>
      <c r="F516" s="259">
        <f t="shared" si="17"/>
        <v>484.29692832764505</v>
      </c>
      <c r="G516" s="259">
        <f t="shared" si="17"/>
        <v>514.29351535836179</v>
      </c>
      <c r="H516" s="261" t="str">
        <f t="shared" si="16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v>117713</v>
      </c>
      <c r="C517" s="236">
        <f>X71</f>
        <v>108056</v>
      </c>
      <c r="D517" s="236">
        <v>1285</v>
      </c>
      <c r="E517" s="180">
        <f>X59</f>
        <v>1459</v>
      </c>
      <c r="F517" s="259">
        <f t="shared" si="17"/>
        <v>91.605447470817126</v>
      </c>
      <c r="G517" s="259">
        <f t="shared" si="17"/>
        <v>74.061686086360524</v>
      </c>
      <c r="H517" s="261" t="str">
        <f t="shared" si="16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v>800279</v>
      </c>
      <c r="C518" s="236">
        <f>Y71</f>
        <v>844657</v>
      </c>
      <c r="D518" s="236">
        <v>5188</v>
      </c>
      <c r="E518" s="180">
        <f>Y59</f>
        <v>5328</v>
      </c>
      <c r="F518" s="259">
        <f t="shared" si="17"/>
        <v>154.25578257517347</v>
      </c>
      <c r="G518" s="259">
        <f t="shared" si="17"/>
        <v>158.53171921921921</v>
      </c>
      <c r="H518" s="261" t="str">
        <f t="shared" si="16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v>0</v>
      </c>
      <c r="C519" s="236">
        <f>Z71</f>
        <v>0</v>
      </c>
      <c r="D519" s="236">
        <v>0</v>
      </c>
      <c r="E519" s="180">
        <f>Z59</f>
        <v>0</v>
      </c>
      <c r="F519" s="259" t="str">
        <f t="shared" si="17"/>
        <v/>
      </c>
      <c r="G519" s="259" t="str">
        <f t="shared" si="17"/>
        <v/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v>101048</v>
      </c>
      <c r="C520" s="236">
        <f>AA71</f>
        <v>119083</v>
      </c>
      <c r="D520" s="236">
        <v>77</v>
      </c>
      <c r="E520" s="180">
        <f>AA59</f>
        <v>80</v>
      </c>
      <c r="F520" s="259">
        <f t="shared" si="17"/>
        <v>1312.3116883116884</v>
      </c>
      <c r="G520" s="259">
        <f t="shared" si="17"/>
        <v>1488.5374999999999</v>
      </c>
      <c r="H520" s="261" t="str">
        <f t="shared" si="16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v>860277</v>
      </c>
      <c r="C521" s="236">
        <f>AB71</f>
        <v>925664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v>702231</v>
      </c>
      <c r="C522" s="236">
        <f>AC71</f>
        <v>689677</v>
      </c>
      <c r="D522" s="236">
        <v>10536</v>
      </c>
      <c r="E522" s="180">
        <f>AC59</f>
        <v>11005</v>
      </c>
      <c r="F522" s="259">
        <f t="shared" si="17"/>
        <v>66.650626423690198</v>
      </c>
      <c r="G522" s="259">
        <f t="shared" si="17"/>
        <v>62.669422989550206</v>
      </c>
      <c r="H522" s="261" t="str">
        <f t="shared" si="16"/>
        <v/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v>0</v>
      </c>
      <c r="C523" s="236">
        <f>AD71</f>
        <v>0</v>
      </c>
      <c r="D523" s="236"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v>830624</v>
      </c>
      <c r="C524" s="236">
        <f>AE71</f>
        <v>1170484</v>
      </c>
      <c r="D524" s="236">
        <v>17461</v>
      </c>
      <c r="E524" s="180">
        <f>AE59</f>
        <v>20386</v>
      </c>
      <c r="F524" s="259">
        <f t="shared" si="17"/>
        <v>47.57024225416643</v>
      </c>
      <c r="G524" s="259">
        <f t="shared" si="17"/>
        <v>57.41606985185912</v>
      </c>
      <c r="H524" s="261" t="str">
        <f t="shared" si="16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v>0</v>
      </c>
      <c r="C525" s="236">
        <f>AF71</f>
        <v>0</v>
      </c>
      <c r="D525" s="236"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v>2273633</v>
      </c>
      <c r="C526" s="236">
        <f>AG71</f>
        <v>2526817</v>
      </c>
      <c r="D526" s="236">
        <v>4610</v>
      </c>
      <c r="E526" s="180">
        <f>AG59</f>
        <v>4456</v>
      </c>
      <c r="F526" s="259">
        <f t="shared" si="17"/>
        <v>493.19587852494578</v>
      </c>
      <c r="G526" s="259">
        <f t="shared" si="17"/>
        <v>567.05947037701969</v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v>0</v>
      </c>
      <c r="C527" s="236">
        <f>AH71</f>
        <v>0</v>
      </c>
      <c r="D527" s="236"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v>19199</v>
      </c>
      <c r="C528" s="236">
        <f>AI71</f>
        <v>39022</v>
      </c>
      <c r="D528" s="236">
        <v>0</v>
      </c>
      <c r="E528" s="180">
        <f>AI59</f>
        <v>0</v>
      </c>
      <c r="F528" s="259" t="str">
        <f t="shared" ref="F528:G540" si="18">IF(B528=0,"",IF(D528=0,"",B528/D528))</f>
        <v/>
      </c>
      <c r="G528" s="259" t="str">
        <f t="shared" si="18"/>
        <v/>
      </c>
      <c r="H528" s="261" t="str">
        <f t="shared" si="16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v>652028</v>
      </c>
      <c r="C529" s="236">
        <f>AJ71</f>
        <v>540884</v>
      </c>
      <c r="D529" s="236">
        <v>1084</v>
      </c>
      <c r="E529" s="180">
        <f>AJ59</f>
        <v>1133</v>
      </c>
      <c r="F529" s="259">
        <f t="shared" si="18"/>
        <v>601.50184501845024</v>
      </c>
      <c r="G529" s="259">
        <f t="shared" si="18"/>
        <v>477.3909973521624</v>
      </c>
      <c r="H529" s="261" t="str">
        <f t="shared" si="16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v>0</v>
      </c>
      <c r="C530" s="236">
        <f>AK71</f>
        <v>0</v>
      </c>
      <c r="D530" s="236">
        <v>0</v>
      </c>
      <c r="E530" s="180">
        <f>AK59</f>
        <v>0</v>
      </c>
      <c r="F530" s="259" t="str">
        <f t="shared" si="18"/>
        <v/>
      </c>
      <c r="G530" s="259" t="str">
        <f t="shared" si="18"/>
        <v/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v>0</v>
      </c>
      <c r="C531" s="236">
        <f>AL71</f>
        <v>0</v>
      </c>
      <c r="D531" s="236">
        <v>0</v>
      </c>
      <c r="E531" s="180">
        <f>AL59</f>
        <v>0</v>
      </c>
      <c r="F531" s="259" t="str">
        <f t="shared" si="18"/>
        <v/>
      </c>
      <c r="G531" s="259" t="str">
        <f t="shared" si="18"/>
        <v/>
      </c>
      <c r="H531" s="261" t="str">
        <f t="shared" si="16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v>59547</v>
      </c>
      <c r="C532" s="236">
        <f>AM71</f>
        <v>69927</v>
      </c>
      <c r="D532" s="236"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983</v>
      </c>
      <c r="B533" s="236">
        <v>0</v>
      </c>
      <c r="C533" s="236">
        <f>AN71</f>
        <v>0</v>
      </c>
      <c r="D533" s="236"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v>0</v>
      </c>
      <c r="C534" s="236">
        <f>AO71</f>
        <v>0</v>
      </c>
      <c r="D534" s="236"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v>2576575</v>
      </c>
      <c r="C535" s="236">
        <f>AP71</f>
        <v>2856567</v>
      </c>
      <c r="D535" s="236">
        <v>10805</v>
      </c>
      <c r="E535" s="180">
        <f>AP59</f>
        <v>12963</v>
      </c>
      <c r="F535" s="259">
        <f t="shared" si="18"/>
        <v>238.46136048125868</v>
      </c>
      <c r="G535" s="259">
        <f t="shared" si="18"/>
        <v>220.36311039111317</v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v>0</v>
      </c>
      <c r="C536" s="236">
        <f>AQ71</f>
        <v>0</v>
      </c>
      <c r="D536" s="236"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v>0</v>
      </c>
      <c r="C537" s="236">
        <f>AR71</f>
        <v>0</v>
      </c>
      <c r="D537" s="236"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v>0</v>
      </c>
      <c r="C538" s="236">
        <f>AS71</f>
        <v>0</v>
      </c>
      <c r="D538" s="236"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v>0</v>
      </c>
      <c r="C539" s="236">
        <f>AT71</f>
        <v>0</v>
      </c>
      <c r="D539" s="236"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v>0</v>
      </c>
      <c r="C540" s="236">
        <f>AU71</f>
        <v>0</v>
      </c>
      <c r="D540" s="236"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v>81645</v>
      </c>
      <c r="C541" s="236">
        <f>AV71</f>
        <v>534908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984</v>
      </c>
      <c r="B542" s="236"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v>703384</v>
      </c>
      <c r="C544" s="236">
        <f>AY71</f>
        <v>772034</v>
      </c>
      <c r="D544" s="236">
        <v>51975</v>
      </c>
      <c r="E544" s="180">
        <f>AY59</f>
        <v>63442</v>
      </c>
      <c r="F544" s="259">
        <f t="shared" ref="F544:G550" si="19">IF(B544=0,"",IF(D544=0,"",B544/D544))</f>
        <v>13.533121693121693</v>
      </c>
      <c r="G544" s="259">
        <f t="shared" si="19"/>
        <v>12.169130859682859</v>
      </c>
      <c r="H544" s="261" t="str">
        <f t="shared" si="16"/>
        <v/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v>0</v>
      </c>
      <c r="C545" s="236">
        <f>AZ71</f>
        <v>0</v>
      </c>
      <c r="D545" s="236">
        <v>0</v>
      </c>
      <c r="E545" s="180">
        <f>AZ59</f>
        <v>0</v>
      </c>
      <c r="F545" s="259" t="str">
        <f t="shared" si="19"/>
        <v/>
      </c>
      <c r="G545" s="259" t="str">
        <f t="shared" si="19"/>
        <v/>
      </c>
      <c r="H545" s="261" t="str">
        <f t="shared" si="16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v>172473</v>
      </c>
      <c r="C546" s="236">
        <f>BA71</f>
        <v>167405</v>
      </c>
      <c r="D546" s="236"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v>115139</v>
      </c>
      <c r="C547" s="236">
        <f>BB71</f>
        <v>123143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v>41589</v>
      </c>
      <c r="C548" s="236">
        <f>BC71</f>
        <v>43776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v>144646</v>
      </c>
      <c r="C549" s="236">
        <f>BD71</f>
        <v>150778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v>1284135</v>
      </c>
      <c r="C550" s="236">
        <f>BE71</f>
        <v>1344915</v>
      </c>
      <c r="D550" s="236">
        <v>78437</v>
      </c>
      <c r="E550" s="180">
        <f>BE59</f>
        <v>78437</v>
      </c>
      <c r="F550" s="259">
        <f t="shared" si="19"/>
        <v>16.371546591532059</v>
      </c>
      <c r="G550" s="259">
        <f t="shared" si="19"/>
        <v>17.146435993217487</v>
      </c>
      <c r="H550" s="261" t="str">
        <f t="shared" si="16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v>393268</v>
      </c>
      <c r="C551" s="236">
        <f>BF71</f>
        <v>476185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v>159885</v>
      </c>
      <c r="C552" s="236">
        <f>BG71</f>
        <v>218809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v>1319430</v>
      </c>
      <c r="C553" s="236">
        <f>BH71</f>
        <v>1408035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v>0</v>
      </c>
      <c r="C554" s="236">
        <f>BI71</f>
        <v>0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v>437593</v>
      </c>
      <c r="C555" s="236">
        <f>BJ71</f>
        <v>444168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v>700279</v>
      </c>
      <c r="C556" s="236">
        <f>BK71</f>
        <v>828143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v>453869</v>
      </c>
      <c r="C557" s="236">
        <f>BL71</f>
        <v>470603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v>981119</v>
      </c>
      <c r="C559" s="236">
        <f>BN71</f>
        <v>1294972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v>190483</v>
      </c>
      <c r="C560" s="236">
        <f>BO71</f>
        <v>98465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v>0</v>
      </c>
      <c r="C561" s="236">
        <f>BP71</f>
        <v>0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v>17573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v>409751</v>
      </c>
      <c r="C563" s="236">
        <f>BR71</f>
        <v>372613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985</v>
      </c>
      <c r="B564" s="236">
        <v>50914</v>
      </c>
      <c r="C564" s="236">
        <f>BS71</f>
        <v>0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v>0</v>
      </c>
      <c r="C565" s="236">
        <f>BT71</f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v>241182</v>
      </c>
      <c r="C567" s="236">
        <f>BV71</f>
        <v>259524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v>0</v>
      </c>
      <c r="C568" s="236">
        <f>BW71</f>
        <v>0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v>96585</v>
      </c>
      <c r="C569" s="236">
        <f>BX71</f>
        <v>0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v>372513</v>
      </c>
      <c r="C570" s="236">
        <f>BY71</f>
        <v>475196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v>0</v>
      </c>
      <c r="C572" s="236">
        <f>CA71</f>
        <v>0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v>383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v>1040673</v>
      </c>
      <c r="C574" s="236">
        <f>CC71</f>
        <v>853088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v>0</v>
      </c>
      <c r="C575" s="236">
        <f>CD71</f>
        <v>0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54203</v>
      </c>
      <c r="E612" s="180">
        <f>SUM(C624:D647)+SUM(C668:D713)</f>
        <v>23524384.72165747</v>
      </c>
      <c r="F612" s="180">
        <f>CE64-(AX64+BD64+BE64+BG64+BJ64+BN64+BP64+BQ64+CB64+CC64+CD64)</f>
        <v>2017003</v>
      </c>
      <c r="G612" s="180">
        <f>CE77-(AX77+AY77+BD77+BE77+BG77+BJ77+BN77+BP77+BQ77+CB77+CC77+CD77)</f>
        <v>58224</v>
      </c>
      <c r="H612" s="197">
        <f>CE60-(AX60+AY60+AZ60+BD60+BE60+BG60+BJ60+BN60+BO60+BP60+BQ60+BR60+CB60+CC60+CD60)</f>
        <v>142.4</v>
      </c>
      <c r="I612" s="180">
        <f>CE78-(AX78+AY78+AZ78+BD78+BE78+BF78+BG78+BJ78+BN78+BO78+BP78+BQ78+BR78+CB78+CC78+CD78)</f>
        <v>47900</v>
      </c>
      <c r="J612" s="180">
        <f>CE79-(AX79+AY79+AZ79+BA79+BD79+BE79+BF79+BG79+BJ79+BN79+BO79+BP79+BQ79+BR79+CB79+CC79+CD79)</f>
        <v>189368</v>
      </c>
      <c r="K612" s="180">
        <f>CE75-(AW75+AX75+AY75+AZ75+BA75+BB75+BC75+BD75+BE75+BF75+BG75+BH75+BI75+BJ75+BK75+BL75+BM75+BN75+BO75+BP75+BQ75+BR75+BS75+BT75+BU75+BV75+BW75+BX75+CB75+CC75+CD75)</f>
        <v>43018331</v>
      </c>
      <c r="L612" s="197">
        <f>CE80-(AW80+AX80+AY80+AZ80+BA80+BB80+BC80+BD80+BE80+BF80+BG80+BH80+BI80+BJ80+BK80+BL80+BM80+BN80+BO80+BP80+BQ80+BR80+BS80+BT80+BU80+BV80+BW80+BX80+BY80+BZ80+CA80+CB80+CC80+CD80)</f>
        <v>45.5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1344915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8">
        <f>CD69-CD70</f>
        <v>0</v>
      </c>
      <c r="D615" s="262">
        <f>SUM(C614:C615)</f>
        <v>1344915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444168</v>
      </c>
      <c r="D617" s="180">
        <f>(D615/D612)*BJ76</f>
        <v>33993.202405770899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218809</v>
      </c>
      <c r="D618" s="180">
        <f>(D615/D612)*BG76</f>
        <v>11240.088094754903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1294972</v>
      </c>
      <c r="D619" s="180">
        <f>(D615/D612)*BN76</f>
        <v>22107.987842001367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853088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2878378.2783425273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150778</v>
      </c>
      <c r="D624" s="180">
        <f>(D615/D612)*BD76</f>
        <v>18708.667601424277</v>
      </c>
      <c r="E624" s="180">
        <f>(E623/E612)*SUM(C624:D624)</f>
        <v>20737.917198041272</v>
      </c>
      <c r="F624" s="180">
        <f>SUM(C624:E624)</f>
        <v>190224.58479946555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772034</v>
      </c>
      <c r="D625" s="180">
        <f>(D615/D612)*AY76</f>
        <v>69872.159105584564</v>
      </c>
      <c r="E625" s="180">
        <f>(E623/E612)*SUM(C625:D625)</f>
        <v>103013.2957543963</v>
      </c>
      <c r="F625" s="180">
        <f>(F624/F612)*AY64</f>
        <v>16924.964409131808</v>
      </c>
      <c r="G625" s="180">
        <f>SUM(C625:F625)</f>
        <v>961844.41926911264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372613</v>
      </c>
      <c r="D626" s="180">
        <f>(D615/D612)*BR76</f>
        <v>13944.656753316238</v>
      </c>
      <c r="E626" s="180">
        <f>(E623/E612)*SUM(C626:D626)</f>
        <v>47298.119618889519</v>
      </c>
      <c r="F626" s="180">
        <f>(F624/F612)*BR64</f>
        <v>725.5307656271649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98465</v>
      </c>
      <c r="D627" s="180">
        <f>(D615/D612)*BO76</f>
        <v>0</v>
      </c>
      <c r="E627" s="180">
        <f>(E623/E612)*SUM(C627:D627)</f>
        <v>12047.903506529115</v>
      </c>
      <c r="F627" s="180">
        <f>(F624/F612)*BO64</f>
        <v>409.30762028102112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694538.7626980507</v>
      </c>
      <c r="H628" s="180">
        <f>SUM(C626:G628)</f>
        <v>1240042.280962694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476185</v>
      </c>
      <c r="D629" s="180">
        <f>(D615/D612)*BF76</f>
        <v>9900.2100437245172</v>
      </c>
      <c r="E629" s="180">
        <f>(E623/E612)*SUM(C629:D629)</f>
        <v>59476.034190399936</v>
      </c>
      <c r="F629" s="180">
        <f>(F624/F612)*BF64</f>
        <v>3062.733863738747</v>
      </c>
      <c r="G629" s="180">
        <f>(G625/G612)*BF77</f>
        <v>0</v>
      </c>
      <c r="H629" s="180">
        <f>(H628/H612)*BF60</f>
        <v>90564.885688286624</v>
      </c>
      <c r="I629" s="180">
        <f>SUM(C629:H629)</f>
        <v>639188.86378614977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167405</v>
      </c>
      <c r="D630" s="180">
        <f>(D615/D612)*BA76</f>
        <v>16798.100750880949</v>
      </c>
      <c r="E630" s="180">
        <f>(E623/E612)*SUM(C630:D630)</f>
        <v>22538.579022496058</v>
      </c>
      <c r="F630" s="180">
        <f>(F624/F612)*BA64</f>
        <v>1462.7560346909304</v>
      </c>
      <c r="G630" s="180">
        <f>(G625/G612)*BA77</f>
        <v>0</v>
      </c>
      <c r="H630" s="180">
        <f>(H628/H612)*BA60</f>
        <v>26124.486256236527</v>
      </c>
      <c r="I630" s="180">
        <f>(I629/I612)*BA78</f>
        <v>9340.9646064781809</v>
      </c>
      <c r="J630" s="180">
        <f>SUM(C630:I630)</f>
        <v>243669.88667078267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123143</v>
      </c>
      <c r="D632" s="180">
        <f>(D615/D612)*BB76</f>
        <v>0</v>
      </c>
      <c r="E632" s="180">
        <f>(E623/E612)*SUM(C632:D632)</f>
        <v>15067.43494139557</v>
      </c>
      <c r="F632" s="180">
        <f>(F624/F612)*BB64</f>
        <v>173.90858336364124</v>
      </c>
      <c r="G632" s="180">
        <f>(G625/G612)*BB77</f>
        <v>0</v>
      </c>
      <c r="H632" s="180">
        <f>(H628/H612)*BB60</f>
        <v>8708.1620854121757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43776</v>
      </c>
      <c r="D633" s="180">
        <f>(D615/D612)*BC76</f>
        <v>0</v>
      </c>
      <c r="E633" s="180">
        <f>(E623/E612)*SUM(C633:D633)</f>
        <v>5356.3095912437775</v>
      </c>
      <c r="F633" s="180">
        <f>(F624/F612)*BC64</f>
        <v>21.125554595149477</v>
      </c>
      <c r="G633" s="180">
        <f>(G625/G612)*BC77</f>
        <v>0</v>
      </c>
      <c r="H633" s="180">
        <f>(H628/H612)*BC60</f>
        <v>8708.1620854121757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828143</v>
      </c>
      <c r="D635" s="180">
        <f>(D615/D612)*BK76</f>
        <v>33993.202405770899</v>
      </c>
      <c r="E635" s="180">
        <f>(E623/E612)*SUM(C635:D635)</f>
        <v>105488.58758005567</v>
      </c>
      <c r="F635" s="180">
        <f>(F624/F612)*BK64</f>
        <v>173.53134131729928</v>
      </c>
      <c r="G635" s="180">
        <f>(G625/G612)*BK77</f>
        <v>0</v>
      </c>
      <c r="H635" s="180">
        <f>(H628/H612)*BK60</f>
        <v>82727.539811415671</v>
      </c>
      <c r="I635" s="180">
        <f>(I629/I612)*BK78</f>
        <v>17347.505697745193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1408035</v>
      </c>
      <c r="D636" s="180">
        <f>(D615/D612)*BH76</f>
        <v>1985.0045200450159</v>
      </c>
      <c r="E636" s="180">
        <f>(E623/E612)*SUM(C636:D636)</f>
        <v>172526.12559521911</v>
      </c>
      <c r="F636" s="180">
        <f>(F624/F612)*BH64</f>
        <v>4671.293949340843</v>
      </c>
      <c r="G636" s="180">
        <f>(G625/G612)*BH77</f>
        <v>0</v>
      </c>
      <c r="H636" s="180">
        <f>(H628/H612)*BH60</f>
        <v>47894.891469766968</v>
      </c>
      <c r="I636" s="180">
        <f>(I629/I612)*BH78</f>
        <v>1334.4235152111687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470603</v>
      </c>
      <c r="D637" s="180">
        <f>(D615/D612)*BL76</f>
        <v>15284.534804346624</v>
      </c>
      <c r="E637" s="180">
        <f>(E623/E612)*SUM(C637:D637)</f>
        <v>59451.847197969582</v>
      </c>
      <c r="F637" s="180">
        <f>(F624/F612)*BL64</f>
        <v>399.59363758771582</v>
      </c>
      <c r="G637" s="180">
        <f>(G625/G612)*BL77</f>
        <v>0</v>
      </c>
      <c r="H637" s="180">
        <f>(H628/H612)*BL60</f>
        <v>73148.56151746228</v>
      </c>
      <c r="I637" s="180">
        <f>(I629/I612)*BL78</f>
        <v>8006.5410912670113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259524</v>
      </c>
      <c r="D642" s="180">
        <f>(D615/D612)*BV76</f>
        <v>28137.439071638102</v>
      </c>
      <c r="E642" s="180">
        <f>(E623/E612)*SUM(C642:D642)</f>
        <v>35197.453516319503</v>
      </c>
      <c r="F642" s="180">
        <f>(F624/F612)*BV64</f>
        <v>171.6451310855895</v>
      </c>
      <c r="G642" s="180">
        <f>(G625/G612)*BV77</f>
        <v>0</v>
      </c>
      <c r="H642" s="180">
        <f>(H628/H612)*BV60</f>
        <v>33961.832133107484</v>
      </c>
      <c r="I642" s="180">
        <f>(I629/I612)*BV78</f>
        <v>13344.235152111687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3906504.8919802052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475196</v>
      </c>
      <c r="D645" s="180">
        <f>(D615/D612)*BY76</f>
        <v>17542.477445897828</v>
      </c>
      <c r="E645" s="180">
        <f>(E623/E612)*SUM(C645:D645)</f>
        <v>60290.10948278322</v>
      </c>
      <c r="F645" s="180">
        <f>(F624/F612)*BY64</f>
        <v>501.92054265797105</v>
      </c>
      <c r="G645" s="180">
        <f>(G625/G612)*BY77</f>
        <v>0</v>
      </c>
      <c r="H645" s="180">
        <f>(H628/H612)*BY60</f>
        <v>26995.302464777746</v>
      </c>
      <c r="I645" s="180">
        <f>(I629/I612)*BY78</f>
        <v>10675.38812168935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591201.198057806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9801852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2508439</v>
      </c>
      <c r="D670" s="180">
        <f>(D615/D612)*E76</f>
        <v>454888.59832481598</v>
      </c>
      <c r="E670" s="180">
        <f>(E623/E612)*SUM(C670:D670)</f>
        <v>362584.52204186306</v>
      </c>
      <c r="F670" s="180">
        <f>(F624/F612)*E64</f>
        <v>5115.4964589084948</v>
      </c>
      <c r="G670" s="180">
        <f>(G625/G612)*E77</f>
        <v>68424.697454875393</v>
      </c>
      <c r="H670" s="180">
        <f>(H628/H612)*E60</f>
        <v>141072.22578367725</v>
      </c>
      <c r="I670" s="180">
        <f>(I629/I612)*E78</f>
        <v>246868.35031406619</v>
      </c>
      <c r="J670" s="180">
        <f>(J630/J612)*E79</f>
        <v>31082.811152990082</v>
      </c>
      <c r="K670" s="180">
        <f>(K644/K612)*E75</f>
        <v>308991.09866586019</v>
      </c>
      <c r="L670" s="180">
        <f>(L647/L612)*E80</f>
        <v>210493.6133744276</v>
      </c>
      <c r="M670" s="180">
        <f t="shared" si="20"/>
        <v>1829521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1144223</v>
      </c>
      <c r="D677" s="180">
        <f>(D615/D612)*L76</f>
        <v>0</v>
      </c>
      <c r="E677" s="180">
        <f>(E623/E612)*SUM(C677:D677)</f>
        <v>140003.94347180484</v>
      </c>
      <c r="F677" s="180">
        <f>(F624/F612)*L64</f>
        <v>5731.3440995617366</v>
      </c>
      <c r="G677" s="180">
        <f>(G625/G612)*L77</f>
        <v>198880.95911618657</v>
      </c>
      <c r="H677" s="180">
        <f>(H628/H612)*L60</f>
        <v>140201.40957513603</v>
      </c>
      <c r="I677" s="180">
        <f>(I629/I612)*L78</f>
        <v>0</v>
      </c>
      <c r="J677" s="180">
        <f>(J630/J612)*L79</f>
        <v>60903.31738210687</v>
      </c>
      <c r="K677" s="180">
        <f>(K644/K612)*L75</f>
        <v>198925.18493270385</v>
      </c>
      <c r="L677" s="180">
        <f>(L647/L612)*L80</f>
        <v>209194.2700819929</v>
      </c>
      <c r="M677" s="180">
        <f t="shared" si="20"/>
        <v>953840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194467</v>
      </c>
      <c r="D679" s="180">
        <f>(D615/D612)*N76</f>
        <v>0</v>
      </c>
      <c r="E679" s="180">
        <f>(E623/E612)*SUM(C679:D679)</f>
        <v>23794.441184219748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18260.30435000288</v>
      </c>
      <c r="L679" s="180">
        <f>(L647/L612)*N80</f>
        <v>0</v>
      </c>
      <c r="M679" s="180">
        <f t="shared" si="20"/>
        <v>42055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419343</v>
      </c>
      <c r="D681" s="180">
        <f>(D615/D612)*P76</f>
        <v>32157.073224729258</v>
      </c>
      <c r="E681" s="180">
        <f>(E623/E612)*SUM(C681:D681)</f>
        <v>55244.293052377674</v>
      </c>
      <c r="F681" s="180">
        <f>(F624/F612)*P64</f>
        <v>7407.5248219706273</v>
      </c>
      <c r="G681" s="180">
        <f>(G625/G612)*P77</f>
        <v>0</v>
      </c>
      <c r="H681" s="180">
        <f>(H628/H612)*P60</f>
        <v>17416.324170824351</v>
      </c>
      <c r="I681" s="180">
        <f>(I629/I612)*P78</f>
        <v>17347.505697745193</v>
      </c>
      <c r="J681" s="180">
        <f>(J630/J612)*P79</f>
        <v>10418.840946587212</v>
      </c>
      <c r="K681" s="180">
        <f>(K644/K612)*P75</f>
        <v>118321.83574346137</v>
      </c>
      <c r="L681" s="180">
        <f>(L647/L612)*P80</f>
        <v>25986.865848694768</v>
      </c>
      <c r="M681" s="180">
        <f t="shared" si="20"/>
        <v>284300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4153.3878718934648</v>
      </c>
      <c r="L682" s="180">
        <f>(L647/L612)*Q80</f>
        <v>0</v>
      </c>
      <c r="M682" s="180">
        <f t="shared" si="20"/>
        <v>4153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562323</v>
      </c>
      <c r="D683" s="180">
        <f>(D615/D612)*R76</f>
        <v>0</v>
      </c>
      <c r="E683" s="180">
        <f>(E623/E612)*SUM(C683:D683)</f>
        <v>68804.27810391481</v>
      </c>
      <c r="F683" s="180">
        <f>(F624/F612)*R64</f>
        <v>577.5575729495331</v>
      </c>
      <c r="G683" s="180">
        <f>(G625/G612)*R77</f>
        <v>0</v>
      </c>
      <c r="H683" s="180">
        <f>(H628/H612)*R60</f>
        <v>11320.610711035828</v>
      </c>
      <c r="I683" s="180">
        <f>(I629/I612)*R78</f>
        <v>0</v>
      </c>
      <c r="J683" s="180">
        <f>(J630/J612)*R79</f>
        <v>0</v>
      </c>
      <c r="K683" s="180">
        <f>(K644/K612)*R75</f>
        <v>63715.005920389791</v>
      </c>
      <c r="L683" s="180">
        <f>(L647/L612)*R80</f>
        <v>0</v>
      </c>
      <c r="M683" s="180">
        <f t="shared" si="20"/>
        <v>144417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33914</v>
      </c>
      <c r="D684" s="180">
        <f>(D615/D612)*S76</f>
        <v>0</v>
      </c>
      <c r="E684" s="180">
        <f>(E623/E612)*SUM(C684:D684)</f>
        <v>4149.6227037061735</v>
      </c>
      <c r="F684" s="180">
        <f>(F624/F612)*S64</f>
        <v>1707.6804332784445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11896.504466176868</v>
      </c>
      <c r="L684" s="180">
        <f>(L647/L612)*S80</f>
        <v>0</v>
      </c>
      <c r="M684" s="180">
        <f t="shared" si="20"/>
        <v>17754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1161768</v>
      </c>
      <c r="D686" s="180">
        <f>(D615/D612)*U76</f>
        <v>26127.621995092522</v>
      </c>
      <c r="E686" s="180">
        <f>(E623/E612)*SUM(C686:D686)</f>
        <v>145347.60401792778</v>
      </c>
      <c r="F686" s="180">
        <f>(F624/F612)*U64</f>
        <v>22240.493463113125</v>
      </c>
      <c r="G686" s="180">
        <f>(G625/G612)*U77</f>
        <v>0</v>
      </c>
      <c r="H686" s="180">
        <f>(H628/H612)*U60</f>
        <v>54861.421138096703</v>
      </c>
      <c r="I686" s="180">
        <f>(I629/I612)*U78</f>
        <v>14678.658667322854</v>
      </c>
      <c r="J686" s="180">
        <f>(J630/J612)*U79</f>
        <v>0</v>
      </c>
      <c r="K686" s="180">
        <f>(K644/K612)*U75</f>
        <v>498144.55708954576</v>
      </c>
      <c r="L686" s="180">
        <f>(L647/L612)*U80</f>
        <v>0</v>
      </c>
      <c r="M686" s="180">
        <f t="shared" si="20"/>
        <v>761400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150688</v>
      </c>
      <c r="D688" s="180">
        <f>(D615/D612)*W76</f>
        <v>0</v>
      </c>
      <c r="E688" s="180">
        <f>(E623/E612)*SUM(C688:D688)</f>
        <v>18437.764521320867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71157.903866653432</v>
      </c>
      <c r="L688" s="180">
        <f>(L647/L612)*W80</f>
        <v>0</v>
      </c>
      <c r="M688" s="180">
        <f t="shared" si="20"/>
        <v>89596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108056</v>
      </c>
      <c r="D689" s="180">
        <f>(D615/D612)*X76</f>
        <v>0</v>
      </c>
      <c r="E689" s="180">
        <f>(E623/E612)*SUM(C689:D689)</f>
        <v>13221.431587889199</v>
      </c>
      <c r="F689" s="180">
        <f>(F624/F612)*X64</f>
        <v>1442.5735852116359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286766.2009295153</v>
      </c>
      <c r="L689" s="180">
        <f>(L647/L612)*X80</f>
        <v>0</v>
      </c>
      <c r="M689" s="180">
        <f t="shared" si="20"/>
        <v>301430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844657</v>
      </c>
      <c r="D690" s="180">
        <f>(D615/D612)*Y76</f>
        <v>60865.2010958803</v>
      </c>
      <c r="E690" s="180">
        <f>(E623/E612)*SUM(C690:D690)</f>
        <v>110797.17769586165</v>
      </c>
      <c r="F690" s="180">
        <f>(F624/F612)*Y64</f>
        <v>195.78862205147462</v>
      </c>
      <c r="G690" s="180">
        <f>(G625/G612)*Y77</f>
        <v>0</v>
      </c>
      <c r="H690" s="180">
        <f>(H628/H612)*Y60</f>
        <v>46153.259052684531</v>
      </c>
      <c r="I690" s="180">
        <f>(I629/I612)*Y78</f>
        <v>33360.587880279214</v>
      </c>
      <c r="J690" s="180">
        <f>(J630/J612)*Y79</f>
        <v>11710.741194873437</v>
      </c>
      <c r="K690" s="180">
        <f>(K644/K612)*Y75</f>
        <v>242214.7888001001</v>
      </c>
      <c r="L690" s="180">
        <f>(L647/L612)*Y80</f>
        <v>0</v>
      </c>
      <c r="M690" s="180">
        <f t="shared" si="20"/>
        <v>505298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119083</v>
      </c>
      <c r="D692" s="180">
        <f>(D615/D612)*AA76</f>
        <v>0</v>
      </c>
      <c r="E692" s="180">
        <f>(E623/E612)*SUM(C692:D692)</f>
        <v>14570.664634824623</v>
      </c>
      <c r="F692" s="180">
        <f>(F624/F612)*AA64</f>
        <v>1610.6349168569768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35782.32146213502</v>
      </c>
      <c r="L692" s="180">
        <f>(L647/L612)*AA80</f>
        <v>0</v>
      </c>
      <c r="M692" s="180">
        <f t="shared" si="20"/>
        <v>51964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925664</v>
      </c>
      <c r="D693" s="180">
        <f>(D615/D612)*AB76</f>
        <v>12356.653137280224</v>
      </c>
      <c r="E693" s="180">
        <f>(E623/E612)*SUM(C693:D693)</f>
        <v>114773.59788888812</v>
      </c>
      <c r="F693" s="180">
        <f>(F624/F612)*AB64</f>
        <v>49401.637868199126</v>
      </c>
      <c r="G693" s="180">
        <f>(G625/G612)*AB77</f>
        <v>0</v>
      </c>
      <c r="H693" s="180">
        <f>(H628/H612)*AB60</f>
        <v>17416.324170824351</v>
      </c>
      <c r="I693" s="180">
        <f>(I629/I612)*AB78</f>
        <v>6672.1175760558435</v>
      </c>
      <c r="J693" s="180">
        <f>(J630/J612)*AB79</f>
        <v>0</v>
      </c>
      <c r="K693" s="180">
        <f>(K644/K612)*AB75</f>
        <v>530429.41303146514</v>
      </c>
      <c r="L693" s="180">
        <f>(L647/L612)*AB80</f>
        <v>0</v>
      </c>
      <c r="M693" s="180">
        <f t="shared" si="20"/>
        <v>731050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689677</v>
      </c>
      <c r="D694" s="180">
        <f>(D615/D612)*AC76</f>
        <v>24614.056048558199</v>
      </c>
      <c r="E694" s="180">
        <f>(E623/E612)*SUM(C694:D694)</f>
        <v>87398.6667226914</v>
      </c>
      <c r="F694" s="180">
        <f>(F624/F612)*AC64</f>
        <v>1945.1543014507054</v>
      </c>
      <c r="G694" s="180">
        <f>(G625/G612)*AC77</f>
        <v>0</v>
      </c>
      <c r="H694" s="180">
        <f>(H628/H612)*AC60</f>
        <v>18287.14037936557</v>
      </c>
      <c r="I694" s="180">
        <f>(I629/I612)*AC78</f>
        <v>13344.235152111687</v>
      </c>
      <c r="J694" s="180">
        <f>(J630/J612)*AC79</f>
        <v>0</v>
      </c>
      <c r="K694" s="180">
        <f>(K644/K612)*AC75</f>
        <v>170448.36552619305</v>
      </c>
      <c r="L694" s="180">
        <f>(L647/L612)*AC80</f>
        <v>0</v>
      </c>
      <c r="M694" s="180">
        <f t="shared" si="20"/>
        <v>316038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1170484</v>
      </c>
      <c r="D696" s="180">
        <f>(D615/D612)*AE76</f>
        <v>70120.28467059019</v>
      </c>
      <c r="E696" s="180">
        <f>(E623/E612)*SUM(C696:D696)</f>
        <v>151796.8893667582</v>
      </c>
      <c r="F696" s="180">
        <f>(F624/F612)*AE64</f>
        <v>0</v>
      </c>
      <c r="G696" s="180">
        <f>(G625/G612)*AE77</f>
        <v>0</v>
      </c>
      <c r="H696" s="180">
        <f>(H628/H612)*AE60</f>
        <v>60086.318389344015</v>
      </c>
      <c r="I696" s="180">
        <f>(I629/I612)*AE78</f>
        <v>40032.705456335061</v>
      </c>
      <c r="J696" s="180">
        <f>(J630/J612)*AE79</f>
        <v>20184.011249619241</v>
      </c>
      <c r="K696" s="180">
        <f>(K644/K612)*AE75</f>
        <v>226354.23580901136</v>
      </c>
      <c r="L696" s="180">
        <f>(L647/L612)*AE80</f>
        <v>0</v>
      </c>
      <c r="M696" s="180">
        <f t="shared" si="20"/>
        <v>568574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2526817</v>
      </c>
      <c r="D698" s="180">
        <f>(D615/D612)*AG76</f>
        <v>87786.824898990832</v>
      </c>
      <c r="E698" s="180">
        <f>(E623/E612)*SUM(C698:D698)</f>
        <v>319915.65114695561</v>
      </c>
      <c r="F698" s="180">
        <f>(F624/F612)*AG64</f>
        <v>6995.1049548072851</v>
      </c>
      <c r="G698" s="180">
        <f>(G625/G612)*AG77</f>
        <v>0</v>
      </c>
      <c r="H698" s="180">
        <f>(H628/H612)*AG60</f>
        <v>106239.57744202853</v>
      </c>
      <c r="I698" s="180">
        <f>(I629/I612)*AG78</f>
        <v>53376.940608446748</v>
      </c>
      <c r="J698" s="180">
        <f>(J630/J612)*AG79</f>
        <v>34468.25891518237</v>
      </c>
      <c r="K698" s="180">
        <f>(K644/K612)*AG75</f>
        <v>720947.38609675528</v>
      </c>
      <c r="L698" s="180">
        <f>(L647/L612)*AG80</f>
        <v>132533.01582834331</v>
      </c>
      <c r="M698" s="180">
        <f t="shared" si="20"/>
        <v>1462263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39022</v>
      </c>
      <c r="D700" s="180">
        <f>(D615/D612)*AI76</f>
        <v>0</v>
      </c>
      <c r="E700" s="180">
        <f>(E623/E612)*SUM(C700:D700)</f>
        <v>4774.6233751259751</v>
      </c>
      <c r="F700" s="180">
        <f>(F624/F612)*AI64</f>
        <v>892.17743959872348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7966.5097806501954</v>
      </c>
      <c r="L700" s="180">
        <f>(L647/L612)*AI80</f>
        <v>0</v>
      </c>
      <c r="M700" s="180">
        <f t="shared" si="20"/>
        <v>13633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540884</v>
      </c>
      <c r="D701" s="180">
        <f>(D615/D612)*AJ76</f>
        <v>35432.330682803535</v>
      </c>
      <c r="E701" s="180">
        <f>(E623/E612)*SUM(C701:D701)</f>
        <v>70516.463121955429</v>
      </c>
      <c r="F701" s="180">
        <f>(F624/F612)*AJ64</f>
        <v>987.33674578848161</v>
      </c>
      <c r="G701" s="180">
        <f>(G625/G612)*AJ77</f>
        <v>0</v>
      </c>
      <c r="H701" s="180">
        <f>(H628/H612)*AJ60</f>
        <v>23512.037630612875</v>
      </c>
      <c r="I701" s="180">
        <f>(I629/I612)*AJ78</f>
        <v>20016.352728167531</v>
      </c>
      <c r="J701" s="180">
        <f>(J630/J612)*AJ79</f>
        <v>0</v>
      </c>
      <c r="K701" s="180">
        <f>(K644/K612)*AJ75</f>
        <v>41400.024427591292</v>
      </c>
      <c r="L701" s="180">
        <f>(L647/L612)*AJ80</f>
        <v>12993.432924347384</v>
      </c>
      <c r="M701" s="180">
        <f t="shared" si="20"/>
        <v>204858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69927</v>
      </c>
      <c r="D704" s="180">
        <f>(D615/D612)*AM76</f>
        <v>0</v>
      </c>
      <c r="E704" s="180">
        <f>(E623/E612)*SUM(C704:D704)</f>
        <v>8556.0732087651595</v>
      </c>
      <c r="F704" s="180">
        <f>(F624/F612)*AM64</f>
        <v>638.19923189900226</v>
      </c>
      <c r="G704" s="180">
        <f>(G625/G612)*AM77</f>
        <v>0</v>
      </c>
      <c r="H704" s="180">
        <f>(H628/H612)*AM60</f>
        <v>8708.1620854121757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17902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2856567</v>
      </c>
      <c r="D707" s="180">
        <f>(D615/D612)*AP76</f>
        <v>164854.62538973859</v>
      </c>
      <c r="E707" s="180">
        <f>(E623/E612)*SUM(C707:D707)</f>
        <v>369692.74559727748</v>
      </c>
      <c r="F707" s="180">
        <f>(F624/F612)*AP64</f>
        <v>11530.403146441853</v>
      </c>
      <c r="G707" s="180">
        <f>(G625/G612)*AP77</f>
        <v>0</v>
      </c>
      <c r="H707" s="180">
        <f>(H628/H612)*AP60</f>
        <v>195933.64692177397</v>
      </c>
      <c r="I707" s="180">
        <f>(I629/I612)*AP78</f>
        <v>93409.646064781802</v>
      </c>
      <c r="J707" s="180">
        <f>(J630/J612)*AP79</f>
        <v>0</v>
      </c>
      <c r="K707" s="180">
        <f>(K644/K612)*AP75</f>
        <v>259666.97283893303</v>
      </c>
      <c r="L707" s="180">
        <f>(L647/L612)*AP80</f>
        <v>0</v>
      </c>
      <c r="M707" s="180">
        <f t="shared" si="20"/>
        <v>1095088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534908</v>
      </c>
      <c r="D713" s="180">
        <f>(D615/D612)*AV76</f>
        <v>82203.99968636423</v>
      </c>
      <c r="E713" s="180">
        <f>(E623/E612)*SUM(C713:D713)</f>
        <v>75508.107702661262</v>
      </c>
      <c r="F713" s="180">
        <f>(F624/F612)*AV64</f>
        <v>43107.16570396044</v>
      </c>
      <c r="G713" s="180">
        <f>(G625/G612)*AV77</f>
        <v>0</v>
      </c>
      <c r="H713" s="180">
        <f>(H628/H612)*AV60</f>
        <v>0</v>
      </c>
      <c r="I713" s="180">
        <f>(I629/I612)*AV78</f>
        <v>40032.705456335061</v>
      </c>
      <c r="J713" s="180">
        <f>(J630/J612)*AV79</f>
        <v>74901.905829423442</v>
      </c>
      <c r="K713" s="180">
        <f>(K644/K612)*AV75</f>
        <v>90962.890371168149</v>
      </c>
      <c r="L713" s="180">
        <f>(L647/L612)*AV80</f>
        <v>0</v>
      </c>
      <c r="M713" s="180">
        <f t="shared" si="20"/>
        <v>406717</v>
      </c>
      <c r="N713" s="199" t="s">
        <v>741</v>
      </c>
    </row>
    <row r="715" spans="1:15" ht="12.6" customHeight="1" x14ac:dyDescent="0.25">
      <c r="C715" s="180">
        <f>SUM(C614:C647)+SUM(C668:C713)</f>
        <v>26402763</v>
      </c>
      <c r="D715" s="180">
        <f>SUM(D616:D647)+SUM(D668:D713)</f>
        <v>1344915</v>
      </c>
      <c r="E715" s="180">
        <f>SUM(E624:E647)+SUM(E668:E713)</f>
        <v>2878378.2783425278</v>
      </c>
      <c r="F715" s="180">
        <f>SUM(F625:F648)+SUM(F668:F713)</f>
        <v>190224.58479946555</v>
      </c>
      <c r="G715" s="180">
        <f>SUM(G626:G647)+SUM(G668:G713)</f>
        <v>961844.41926911264</v>
      </c>
      <c r="H715" s="180">
        <f>SUM(H629:H647)+SUM(H668:H713)</f>
        <v>1240042.2809626937</v>
      </c>
      <c r="I715" s="180">
        <f>SUM(I630:I647)+SUM(I668:I713)</f>
        <v>639188.86378614977</v>
      </c>
      <c r="J715" s="180">
        <f>SUM(J631:J647)+SUM(J668:J713)</f>
        <v>243669.88667078264</v>
      </c>
      <c r="K715" s="180">
        <f>SUM(K668:K713)</f>
        <v>3906504.8919802047</v>
      </c>
      <c r="L715" s="180">
        <f>SUM(L668:L713)</f>
        <v>591201.19805780589</v>
      </c>
      <c r="M715" s="180">
        <f>SUM(M668:M713)</f>
        <v>9801851</v>
      </c>
      <c r="N715" s="198" t="s">
        <v>742</v>
      </c>
    </row>
    <row r="716" spans="1:15" ht="12.6" customHeight="1" x14ac:dyDescent="0.25">
      <c r="C716" s="180">
        <f>CE71</f>
        <v>26402763</v>
      </c>
      <c r="D716" s="180">
        <f>D615</f>
        <v>1344915</v>
      </c>
      <c r="E716" s="180">
        <f>E623</f>
        <v>2878378.2783425273</v>
      </c>
      <c r="F716" s="180">
        <f>F624</f>
        <v>190224.58479946555</v>
      </c>
      <c r="G716" s="180">
        <f>G625</f>
        <v>961844.41926911264</v>
      </c>
      <c r="H716" s="180">
        <f>H628</f>
        <v>1240042.280962694</v>
      </c>
      <c r="I716" s="180">
        <f>I629</f>
        <v>639188.86378614977</v>
      </c>
      <c r="J716" s="180">
        <f>J630</f>
        <v>243669.88667078267</v>
      </c>
      <c r="K716" s="180">
        <f>K644</f>
        <v>3906504.8919802052</v>
      </c>
      <c r="L716" s="180">
        <f>L647</f>
        <v>591201.198057806</v>
      </c>
      <c r="M716" s="180">
        <f>C648</f>
        <v>9801852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M39" sqref="M39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744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745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746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74" t="s">
        <v>999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747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748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996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997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998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5"/>
    </row>
    <row r="16" spans="2:13" ht="15.6" thickBot="1" x14ac:dyDescent="0.3">
      <c r="B16" s="144"/>
      <c r="C16" s="8"/>
      <c r="D16" s="8"/>
      <c r="E16" s="8"/>
      <c r="F16" s="8" t="s">
        <v>749</v>
      </c>
      <c r="G16" s="8"/>
      <c r="H16" s="8"/>
      <c r="I16" s="8"/>
      <c r="J16" s="145"/>
    </row>
    <row r="17" spans="2:10" ht="15.6" thickTop="1" x14ac:dyDescent="0.25">
      <c r="B17" s="141"/>
      <c r="C17" s="150" t="s">
        <v>750</v>
      </c>
      <c r="D17" s="150"/>
      <c r="E17" s="142" t="str">
        <f>+data!C84</f>
        <v>Arbor Health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751</v>
      </c>
      <c r="D18" s="151"/>
      <c r="E18" s="8" t="str">
        <f>+"H-"&amp;data!C83</f>
        <v>H-173</v>
      </c>
      <c r="F18" s="76"/>
      <c r="G18" s="76"/>
      <c r="H18" s="8"/>
      <c r="I18" s="8"/>
      <c r="J18" s="145"/>
    </row>
    <row r="19" spans="2:10" x14ac:dyDescent="0.25">
      <c r="B19" s="144"/>
      <c r="C19" s="151" t="s">
        <v>752</v>
      </c>
      <c r="D19" s="151"/>
      <c r="E19" s="8" t="str">
        <f>+data!C85</f>
        <v>521 Adams Ave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753</v>
      </c>
      <c r="D20" s="151"/>
      <c r="E20" s="8" t="str">
        <f>+data!C86</f>
        <v>PO Box 1138</v>
      </c>
      <c r="F20" s="76"/>
      <c r="G20" s="76"/>
      <c r="H20" s="8"/>
      <c r="I20" s="8"/>
      <c r="J20" s="145"/>
    </row>
    <row r="21" spans="2:10" x14ac:dyDescent="0.25">
      <c r="B21" s="144"/>
      <c r="C21" s="151" t="s">
        <v>754</v>
      </c>
      <c r="D21" s="151"/>
      <c r="E21" s="8" t="str">
        <f>+data!C87</f>
        <v>Morton, WA 98356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755</v>
      </c>
      <c r="G26" s="70"/>
      <c r="H26" s="70"/>
      <c r="I26" s="70"/>
      <c r="J26" s="154"/>
    </row>
    <row r="27" spans="2:10" x14ac:dyDescent="0.25">
      <c r="B27" s="155" t="s">
        <v>756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757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758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759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760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761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762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760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761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topLeftCell="A16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763</v>
      </c>
      <c r="H1" s="7"/>
    </row>
    <row r="2" spans="1:13" ht="20.100000000000001" customHeight="1" x14ac:dyDescent="0.25">
      <c r="A2" s="6" t="s">
        <v>764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H-173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Arbor Health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Lewis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765</v>
      </c>
      <c r="C7" s="24"/>
      <c r="D7" s="127" t="str">
        <f>"  "&amp;data!C89</f>
        <v xml:space="preserve">  Leianne Everett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766</v>
      </c>
      <c r="C8" s="24"/>
      <c r="D8" s="127" t="str">
        <f>"  "&amp;data!C90</f>
        <v xml:space="preserve">  Richard Boggess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767</v>
      </c>
      <c r="C9" s="24"/>
      <c r="D9" s="127" t="str">
        <f>"  "&amp;data!C91</f>
        <v xml:space="preserve">  Shelly Fritz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768</v>
      </c>
      <c r="C10" s="24"/>
      <c r="D10" s="127" t="str">
        <f>"  "&amp;data!C92</f>
        <v xml:space="preserve">  360-496-5112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769</v>
      </c>
      <c r="C11" s="24"/>
      <c r="D11" s="127" t="str">
        <f>"  "&amp;data!C93</f>
        <v xml:space="preserve">  360-496-3511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770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771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772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773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774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775</v>
      </c>
      <c r="C23" s="38"/>
      <c r="D23" s="38"/>
      <c r="E23" s="38"/>
      <c r="F23" s="13">
        <f>data!C111</f>
        <v>190</v>
      </c>
      <c r="G23" s="21">
        <f>data!D111</f>
        <v>631</v>
      </c>
      <c r="H23" s="7"/>
    </row>
    <row r="24" spans="1:9" ht="20.100000000000001" customHeight="1" x14ac:dyDescent="0.25">
      <c r="A24" s="130"/>
      <c r="B24" s="49" t="s">
        <v>776</v>
      </c>
      <c r="C24" s="38"/>
      <c r="D24" s="38"/>
      <c r="E24" s="38"/>
      <c r="F24" s="13">
        <f>data!C112</f>
        <v>96</v>
      </c>
      <c r="G24" s="21">
        <f>data!D112</f>
        <v>4089</v>
      </c>
      <c r="H24" s="7"/>
    </row>
    <row r="25" spans="1:9" ht="20.100000000000001" customHeight="1" x14ac:dyDescent="0.25">
      <c r="A25" s="130"/>
      <c r="B25" s="49" t="s">
        <v>777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778</v>
      </c>
      <c r="C29" s="24"/>
      <c r="D29" s="15" t="s">
        <v>167</v>
      </c>
      <c r="E29" s="97" t="s">
        <v>778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15</v>
      </c>
      <c r="H30" s="7"/>
    </row>
    <row r="31" spans="1:9" ht="20.100000000000001" customHeight="1" x14ac:dyDescent="0.25">
      <c r="A31" s="130"/>
      <c r="B31" s="97" t="s">
        <v>779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780</v>
      </c>
      <c r="C32" s="24"/>
      <c r="D32" s="21">
        <f>data!C118</f>
        <v>10</v>
      </c>
      <c r="E32" s="49" t="s">
        <v>781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782</v>
      </c>
      <c r="C33" s="24"/>
      <c r="D33" s="21">
        <f>data!C119</f>
        <v>0</v>
      </c>
      <c r="E33" s="49" t="s">
        <v>783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784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785</v>
      </c>
      <c r="C35" s="24"/>
      <c r="D35" s="21">
        <f>data!C121</f>
        <v>0</v>
      </c>
      <c r="E35" s="49" t="s">
        <v>786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787</v>
      </c>
      <c r="C40" s="136" t="s">
        <v>256</v>
      </c>
      <c r="D40" s="137">
        <f>data!C131</f>
        <v>1938671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topLeftCell="A7" zoomScale="75" workbookViewId="0">
      <selection activeCell="G19" sqref="G1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788</v>
      </c>
      <c r="B1" s="8"/>
      <c r="C1" s="8"/>
      <c r="D1" s="8"/>
      <c r="E1" s="8"/>
      <c r="F1" s="8"/>
      <c r="G1" s="165" t="s">
        <v>789</v>
      </c>
    </row>
    <row r="2" spans="1:13" ht="20.100000000000001" customHeight="1" x14ac:dyDescent="0.25">
      <c r="A2" s="105" t="str">
        <f>"Hospital Name: "&amp;data!C84</f>
        <v>Hospital Name: Arbor Health</v>
      </c>
      <c r="B2" s="8"/>
      <c r="C2" s="8"/>
      <c r="D2" s="8"/>
      <c r="E2" s="8"/>
      <c r="F2" s="11"/>
      <c r="G2" s="76" t="s">
        <v>790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791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792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793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147</v>
      </c>
      <c r="C7" s="48">
        <f>data!B139</f>
        <v>507</v>
      </c>
      <c r="D7" s="48">
        <f>data!B140</f>
        <v>12102</v>
      </c>
      <c r="E7" s="48">
        <f>data!B141</f>
        <v>4202252</v>
      </c>
      <c r="F7" s="48">
        <f>data!B142</f>
        <v>20432891</v>
      </c>
      <c r="G7" s="48">
        <f>data!B141+data!B142</f>
        <v>24635143</v>
      </c>
    </row>
    <row r="8" spans="1:13" ht="20.100000000000001" customHeight="1" x14ac:dyDescent="0.25">
      <c r="A8" s="23" t="s">
        <v>297</v>
      </c>
      <c r="B8" s="48">
        <f>data!C138</f>
        <v>16</v>
      </c>
      <c r="C8" s="48">
        <f>data!C139</f>
        <v>48</v>
      </c>
      <c r="D8" s="48">
        <f>data!C140</f>
        <v>1200</v>
      </c>
      <c r="E8" s="48">
        <f>data!C141</f>
        <v>536975</v>
      </c>
      <c r="F8" s="48">
        <f>data!C142</f>
        <v>6781134</v>
      </c>
      <c r="G8" s="48">
        <f>data!C141+data!C142</f>
        <v>7318109</v>
      </c>
    </row>
    <row r="9" spans="1:13" ht="20.100000000000001" customHeight="1" x14ac:dyDescent="0.25">
      <c r="A9" s="23" t="s">
        <v>794</v>
      </c>
      <c r="B9" s="48">
        <f>data!D138</f>
        <v>27</v>
      </c>
      <c r="C9" s="48">
        <f>data!D139</f>
        <v>76</v>
      </c>
      <c r="D9" s="48">
        <f>data!D140</f>
        <v>2834</v>
      </c>
      <c r="E9" s="48">
        <f>data!D141</f>
        <v>976084</v>
      </c>
      <c r="F9" s="48">
        <f>data!D142</f>
        <v>7856693</v>
      </c>
      <c r="G9" s="48">
        <f>data!D141+data!D142</f>
        <v>8832777</v>
      </c>
    </row>
    <row r="10" spans="1:13" ht="20.100000000000001" customHeight="1" x14ac:dyDescent="0.25">
      <c r="A10" s="111" t="s">
        <v>203</v>
      </c>
      <c r="B10" s="48">
        <f>data!E138</f>
        <v>190</v>
      </c>
      <c r="C10" s="48">
        <f>data!E139</f>
        <v>631</v>
      </c>
      <c r="D10" s="48">
        <f>data!E140</f>
        <v>16136</v>
      </c>
      <c r="E10" s="48">
        <f>data!E141</f>
        <v>5715311</v>
      </c>
      <c r="F10" s="48">
        <f>data!E142</f>
        <v>35070718</v>
      </c>
      <c r="G10" s="48">
        <f>data!E141+data!E142</f>
        <v>40786029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795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792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793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91</v>
      </c>
      <c r="C16" s="48">
        <f>data!B145</f>
        <v>1262</v>
      </c>
      <c r="D16" s="48">
        <f>data!B146</f>
        <v>0</v>
      </c>
      <c r="E16" s="48">
        <f>data!B147</f>
        <v>2963479</v>
      </c>
      <c r="F16" s="48">
        <f>data!B148</f>
        <v>0</v>
      </c>
      <c r="G16" s="48">
        <f>data!B147+data!B148</f>
        <v>2963479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2787</v>
      </c>
      <c r="D17" s="48">
        <f>data!C146</f>
        <v>0</v>
      </c>
      <c r="E17" s="48">
        <f>data!C147</f>
        <v>269746</v>
      </c>
      <c r="F17" s="48">
        <f>data!C148</f>
        <v>0</v>
      </c>
      <c r="G17" s="48">
        <f>data!C147+data!C148</f>
        <v>269746</v>
      </c>
    </row>
    <row r="18" spans="1:7" ht="20.100000000000001" customHeight="1" x14ac:dyDescent="0.25">
      <c r="A18" s="23" t="s">
        <v>794</v>
      </c>
      <c r="B18" s="48">
        <f>data!D144</f>
        <v>5</v>
      </c>
      <c r="C18" s="48">
        <f>data!D145</f>
        <v>40</v>
      </c>
      <c r="D18" s="48">
        <f>data!D146</f>
        <v>0</v>
      </c>
      <c r="E18" s="48">
        <f>data!D147</f>
        <v>1120391</v>
      </c>
      <c r="F18" s="48">
        <f>data!D148</f>
        <v>0</v>
      </c>
      <c r="G18" s="48">
        <f>data!D147+data!D148</f>
        <v>1120391</v>
      </c>
    </row>
    <row r="19" spans="1:7" ht="20.100000000000001" customHeight="1" x14ac:dyDescent="0.25">
      <c r="A19" s="111" t="s">
        <v>203</v>
      </c>
      <c r="B19" s="48">
        <f>data!E144</f>
        <v>96</v>
      </c>
      <c r="C19" s="48">
        <f>data!E145</f>
        <v>4089</v>
      </c>
      <c r="D19" s="48">
        <f>data!E146</f>
        <v>0</v>
      </c>
      <c r="E19" s="48">
        <f>data!E147</f>
        <v>4353616</v>
      </c>
      <c r="F19" s="48">
        <f>data!E148</f>
        <v>0</v>
      </c>
      <c r="G19" s="48">
        <f>data!E147+data!E148</f>
        <v>4353616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796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792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793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794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797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798</v>
      </c>
      <c r="C32" s="123">
        <f>data!B157</f>
        <v>2002008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799</v>
      </c>
      <c r="C33" s="125">
        <f>data!C157</f>
        <v>1956771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9" sqref="C9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800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Arbor Health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801</v>
      </c>
      <c r="C6" s="13">
        <f>data!C165</f>
        <v>922069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-567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371799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1365496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113562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493867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202576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802</v>
      </c>
      <c r="C14" s="13">
        <f>data!D173</f>
        <v>3468802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803</v>
      </c>
      <c r="C18" s="13">
        <f>data!C175</f>
        <v>0</v>
      </c>
    </row>
    <row r="19" spans="1:3" ht="20.100000000000001" customHeight="1" x14ac:dyDescent="0.25">
      <c r="A19" s="13">
        <v>13</v>
      </c>
      <c r="B19" s="49" t="s">
        <v>804</v>
      </c>
      <c r="C19" s="13">
        <f>data!C176</f>
        <v>107602</v>
      </c>
    </row>
    <row r="20" spans="1:3" ht="20.100000000000001" customHeight="1" x14ac:dyDescent="0.25">
      <c r="A20" s="13">
        <v>14</v>
      </c>
      <c r="B20" s="49" t="s">
        <v>805</v>
      </c>
      <c r="C20" s="13">
        <f>data!D177</f>
        <v>107602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806</v>
      </c>
      <c r="C24" s="104"/>
    </row>
    <row r="25" spans="1:3" ht="20.100000000000001" customHeight="1" x14ac:dyDescent="0.25">
      <c r="A25" s="13">
        <v>17</v>
      </c>
      <c r="B25" s="49" t="s">
        <v>807</v>
      </c>
      <c r="C25" s="13">
        <f>data!C179</f>
        <v>90092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109497</v>
      </c>
    </row>
    <row r="27" spans="1:3" ht="20.100000000000001" customHeight="1" x14ac:dyDescent="0.25">
      <c r="A27" s="13">
        <v>19</v>
      </c>
      <c r="B27" s="49" t="s">
        <v>808</v>
      </c>
      <c r="C27" s="13">
        <f>data!D181</f>
        <v>199589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809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4823</v>
      </c>
    </row>
    <row r="32" spans="1:3" ht="20.100000000000001" customHeight="1" x14ac:dyDescent="0.25">
      <c r="A32" s="13">
        <v>22</v>
      </c>
      <c r="B32" s="49" t="s">
        <v>810</v>
      </c>
      <c r="C32" s="13">
        <f>data!C184</f>
        <v>260775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811</v>
      </c>
      <c r="C34" s="13">
        <f>data!D186</f>
        <v>265598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812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455499</v>
      </c>
    </row>
    <row r="40" spans="1:3" ht="20.100000000000001" customHeight="1" x14ac:dyDescent="0.25">
      <c r="A40" s="13">
        <v>28</v>
      </c>
      <c r="B40" s="49" t="s">
        <v>813</v>
      </c>
      <c r="C40" s="13">
        <f>data!D190</f>
        <v>455499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814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Arbor Health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815</v>
      </c>
      <c r="D5" s="47"/>
      <c r="E5" s="47"/>
      <c r="F5" s="72" t="s">
        <v>816</v>
      </c>
    </row>
    <row r="6" spans="1:13" ht="20.100000000000001" customHeight="1" x14ac:dyDescent="0.25">
      <c r="A6" s="19"/>
      <c r="B6" s="20"/>
      <c r="C6" s="18" t="s">
        <v>817</v>
      </c>
      <c r="D6" s="18" t="s">
        <v>329</v>
      </c>
      <c r="E6" s="18" t="s">
        <v>818</v>
      </c>
      <c r="F6" s="18" t="s">
        <v>817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968600</v>
      </c>
      <c r="D7" s="21">
        <f>data!C195</f>
        <v>0</v>
      </c>
      <c r="E7" s="21">
        <f>data!D195</f>
        <v>0</v>
      </c>
      <c r="F7" s="21">
        <f>data!E195</f>
        <v>968600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1426739</v>
      </c>
      <c r="D8" s="21">
        <f>data!C196</f>
        <v>0</v>
      </c>
      <c r="E8" s="21">
        <f>data!D196</f>
        <v>0</v>
      </c>
      <c r="F8" s="21">
        <f>data!E196</f>
        <v>1426739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16987243</v>
      </c>
      <c r="D9" s="21">
        <f>data!C197</f>
        <v>66074</v>
      </c>
      <c r="E9" s="21">
        <f>data!D197</f>
        <v>0</v>
      </c>
      <c r="F9" s="21">
        <f>data!E197</f>
        <v>17053317</v>
      </c>
    </row>
    <row r="10" spans="1:13" ht="20.100000000000001" customHeight="1" x14ac:dyDescent="0.25">
      <c r="A10" s="13">
        <v>4</v>
      </c>
      <c r="B10" s="14" t="s">
        <v>819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820</v>
      </c>
      <c r="C11" s="21">
        <f>data!B199</f>
        <v>2677876</v>
      </c>
      <c r="D11" s="21">
        <f>data!C199</f>
        <v>0</v>
      </c>
      <c r="E11" s="21">
        <f>data!D199</f>
        <v>0</v>
      </c>
      <c r="F11" s="21">
        <f>data!E199</f>
        <v>2677876</v>
      </c>
    </row>
    <row r="12" spans="1:13" ht="20.100000000000001" customHeight="1" x14ac:dyDescent="0.25">
      <c r="A12" s="13">
        <v>6</v>
      </c>
      <c r="B12" s="14" t="s">
        <v>821</v>
      </c>
      <c r="C12" s="21">
        <f>data!B200</f>
        <v>7392356</v>
      </c>
      <c r="D12" s="21">
        <f>data!C200</f>
        <v>114056</v>
      </c>
      <c r="E12" s="21">
        <f>data!D200</f>
        <v>0</v>
      </c>
      <c r="F12" s="21">
        <f>data!E200</f>
        <v>7506412</v>
      </c>
    </row>
    <row r="13" spans="1:13" ht="20.100000000000001" customHeight="1" x14ac:dyDescent="0.25">
      <c r="A13" s="13">
        <v>7</v>
      </c>
      <c r="B13" s="14" t="s">
        <v>822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823</v>
      </c>
      <c r="C15" s="21">
        <f>data!B203</f>
        <v>159091</v>
      </c>
      <c r="D15" s="21">
        <f>data!C203</f>
        <v>246708</v>
      </c>
      <c r="E15" s="21">
        <f>data!D203</f>
        <v>0</v>
      </c>
      <c r="F15" s="21">
        <f>data!E203</f>
        <v>405799</v>
      </c>
      <c r="M15" s="265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29611905</v>
      </c>
      <c r="D16" s="21">
        <f>data!C204</f>
        <v>426838</v>
      </c>
      <c r="E16" s="21">
        <f>data!D204</f>
        <v>0</v>
      </c>
      <c r="F16" s="21">
        <f>data!E204</f>
        <v>30038743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815</v>
      </c>
      <c r="D21" s="76" t="s">
        <v>203</v>
      </c>
      <c r="E21" s="25"/>
      <c r="F21" s="18" t="s">
        <v>816</v>
      </c>
    </row>
    <row r="22" spans="1:6" ht="20.100000000000001" customHeight="1" x14ac:dyDescent="0.25">
      <c r="A22" s="75"/>
      <c r="B22" s="44"/>
      <c r="C22" s="18" t="s">
        <v>817</v>
      </c>
      <c r="D22" s="18" t="s">
        <v>824</v>
      </c>
      <c r="E22" s="18" t="s">
        <v>818</v>
      </c>
      <c r="F22" s="18" t="s">
        <v>817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984946</v>
      </c>
      <c r="D24" s="21">
        <f>data!C209</f>
        <v>71340</v>
      </c>
      <c r="E24" s="21">
        <f>data!D209</f>
        <v>0</v>
      </c>
      <c r="F24" s="21">
        <f>data!E209</f>
        <v>1056286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11098569</v>
      </c>
      <c r="D25" s="21">
        <f>data!C210</f>
        <v>698357</v>
      </c>
      <c r="E25" s="21">
        <f>data!D210</f>
        <v>0</v>
      </c>
      <c r="F25" s="21">
        <f>data!E210</f>
        <v>11796926</v>
      </c>
    </row>
    <row r="26" spans="1:6" ht="20.100000000000001" customHeight="1" x14ac:dyDescent="0.25">
      <c r="A26" s="13">
        <v>14</v>
      </c>
      <c r="B26" s="14" t="s">
        <v>819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820</v>
      </c>
      <c r="C27" s="21">
        <f>data!B212</f>
        <v>1583384</v>
      </c>
      <c r="D27" s="21">
        <f>data!C212</f>
        <v>127130</v>
      </c>
      <c r="E27" s="21">
        <f>data!D212</f>
        <v>0</v>
      </c>
      <c r="F27" s="21">
        <f>data!E212</f>
        <v>1710514</v>
      </c>
    </row>
    <row r="28" spans="1:6" ht="20.100000000000001" customHeight="1" x14ac:dyDescent="0.25">
      <c r="A28" s="13">
        <v>16</v>
      </c>
      <c r="B28" s="14" t="s">
        <v>821</v>
      </c>
      <c r="C28" s="21">
        <f>data!B213</f>
        <v>5121967</v>
      </c>
      <c r="D28" s="21">
        <f>data!C213</f>
        <v>883633</v>
      </c>
      <c r="E28" s="21">
        <f>data!D213</f>
        <v>0</v>
      </c>
      <c r="F28" s="21">
        <f>data!E213</f>
        <v>6005600</v>
      </c>
    </row>
    <row r="29" spans="1:6" ht="20.100000000000001" customHeight="1" x14ac:dyDescent="0.25">
      <c r="A29" s="13">
        <v>17</v>
      </c>
      <c r="B29" s="14" t="s">
        <v>822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823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18788866</v>
      </c>
      <c r="D32" s="21">
        <f>data!C217</f>
        <v>1780460</v>
      </c>
      <c r="E32" s="21">
        <f>data!D217</f>
        <v>0</v>
      </c>
      <c r="F32" s="21">
        <f>data!E217</f>
        <v>20569326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D24" sqref="D24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825</v>
      </c>
      <c r="B1" s="6"/>
      <c r="C1" s="6"/>
      <c r="D1" s="169" t="s">
        <v>826</v>
      </c>
    </row>
    <row r="2" spans="1:13" ht="20.100000000000001" customHeight="1" x14ac:dyDescent="0.25">
      <c r="A2" s="29" t="str">
        <f>"Hospital: "&amp;data!C84</f>
        <v>Hospital: Arbor Health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827</v>
      </c>
      <c r="C4" s="41" t="s">
        <v>828</v>
      </c>
      <c r="D4" s="54"/>
    </row>
    <row r="5" spans="1:13" ht="20.100000000000001" customHeight="1" x14ac:dyDescent="0.25">
      <c r="A5" s="102">
        <v>1</v>
      </c>
      <c r="B5" s="55"/>
      <c r="C5" s="22" t="s">
        <v>991</v>
      </c>
      <c r="D5" s="14">
        <f>data!D221</f>
        <v>824572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8480493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5050382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308152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829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2818195</v>
      </c>
    </row>
    <row r="13" spans="1:13" ht="20.100000000000001" customHeight="1" x14ac:dyDescent="0.25">
      <c r="A13" s="23">
        <v>9</v>
      </c>
      <c r="B13" s="24"/>
      <c r="C13" s="14" t="s">
        <v>830</v>
      </c>
      <c r="D13" s="14">
        <f>data!D229</f>
        <v>16657222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831</v>
      </c>
      <c r="D16" s="140" t="str">
        <f>+data!C231</f>
        <v xml:space="preserve"> </v>
      </c>
      <c r="M16" s="265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00000000000001" customHeight="1" x14ac:dyDescent="0.25">
      <c r="A19" s="61">
        <v>15</v>
      </c>
      <c r="B19" s="55">
        <v>5910</v>
      </c>
      <c r="C19" s="22" t="s">
        <v>832</v>
      </c>
      <c r="D19" s="14">
        <f>data!C234</f>
        <v>119590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833</v>
      </c>
      <c r="D22" s="14">
        <f>data!D236</f>
        <v>119590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0">
        <v>20</v>
      </c>
      <c r="B24" s="55">
        <v>5970</v>
      </c>
      <c r="C24" s="14" t="s">
        <v>357</v>
      </c>
      <c r="D24" s="14">
        <f>data!C238</f>
        <v>821833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834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835</v>
      </c>
      <c r="C27" s="56"/>
      <c r="D27" s="14">
        <f>data!D242</f>
        <v>18423217</v>
      </c>
    </row>
    <row r="28" spans="1:4" ht="20.100000000000001" customHeight="1" x14ac:dyDescent="0.25">
      <c r="A28" s="126">
        <v>24</v>
      </c>
      <c r="B28" s="65" t="s">
        <v>836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4" zoomScale="75" workbookViewId="0">
      <selection activeCell="C6" sqref="C6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837</v>
      </c>
      <c r="B1" s="5"/>
      <c r="C1" s="6"/>
    </row>
    <row r="2" spans="1:13" ht="20.100000000000001" customHeight="1" x14ac:dyDescent="0.25">
      <c r="A2" s="4"/>
      <c r="B2" s="5"/>
      <c r="C2" s="167" t="s">
        <v>838</v>
      </c>
    </row>
    <row r="3" spans="1:13" ht="20.100000000000001" customHeight="1" x14ac:dyDescent="0.25">
      <c r="A3" s="29" t="str">
        <f>"HOSPITAL: "&amp;data!C84</f>
        <v>HOSPITAL: Arbor Health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839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4690389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6827483</v>
      </c>
    </row>
    <row r="9" spans="1:13" ht="20.100000000000001" customHeight="1" x14ac:dyDescent="0.25">
      <c r="A9" s="13">
        <v>5</v>
      </c>
      <c r="B9" s="14" t="s">
        <v>840</v>
      </c>
      <c r="C9" s="21">
        <f>data!C253</f>
        <v>2967894</v>
      </c>
    </row>
    <row r="10" spans="1:13" ht="20.100000000000001" customHeight="1" x14ac:dyDescent="0.25">
      <c r="A10" s="13">
        <v>6</v>
      </c>
      <c r="B10" s="14" t="s">
        <v>841</v>
      </c>
      <c r="C10" s="21">
        <f>data!C254</f>
        <v>430892</v>
      </c>
    </row>
    <row r="11" spans="1:13" ht="20.100000000000001" customHeight="1" x14ac:dyDescent="0.25">
      <c r="A11" s="13">
        <v>7</v>
      </c>
      <c r="B11" s="14" t="s">
        <v>842</v>
      </c>
      <c r="C11" s="21">
        <f>data!C255</f>
        <v>127809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257647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270106</v>
      </c>
    </row>
    <row r="15" spans="1:13" ht="20.100000000000001" customHeight="1" x14ac:dyDescent="0.25">
      <c r="A15" s="13">
        <v>11</v>
      </c>
      <c r="B15" s="14" t="s">
        <v>843</v>
      </c>
      <c r="C15" s="21">
        <f>data!C259</f>
        <v>0</v>
      </c>
      <c r="M15" s="265"/>
    </row>
    <row r="16" spans="1:13" ht="20.100000000000001" customHeight="1" x14ac:dyDescent="0.25">
      <c r="A16" s="13">
        <v>12</v>
      </c>
      <c r="B16" s="14" t="s">
        <v>844</v>
      </c>
      <c r="C16" s="21">
        <f>data!D260</f>
        <v>9636432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845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1339891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846</v>
      </c>
      <c r="C22" s="21">
        <f>data!D265</f>
        <v>1339891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847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968600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1426739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17053317</v>
      </c>
    </row>
    <row r="28" spans="1:3" ht="20.100000000000001" customHeight="1" x14ac:dyDescent="0.25">
      <c r="A28" s="13">
        <v>24</v>
      </c>
      <c r="B28" s="14" t="s">
        <v>848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2677876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7506412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405798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30038742</v>
      </c>
    </row>
    <row r="34" spans="1:3" ht="20.100000000000001" customHeight="1" x14ac:dyDescent="0.25">
      <c r="A34" s="13">
        <v>30</v>
      </c>
      <c r="B34" s="14" t="s">
        <v>849</v>
      </c>
      <c r="C34" s="21">
        <f>data!C276</f>
        <v>20569325</v>
      </c>
    </row>
    <row r="35" spans="1:3" ht="20.100000000000001" customHeight="1" x14ac:dyDescent="0.25">
      <c r="A35" s="13">
        <v>31</v>
      </c>
      <c r="B35" s="14" t="s">
        <v>850</v>
      </c>
      <c r="C35" s="21">
        <f>data!D277</f>
        <v>9469417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851</v>
      </c>
      <c r="C37" s="36"/>
    </row>
    <row r="38" spans="1:3" ht="20.100000000000001" customHeight="1" x14ac:dyDescent="0.25">
      <c r="A38" s="13">
        <v>34</v>
      </c>
      <c r="B38" s="14" t="s">
        <v>852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853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854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855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856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857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858</v>
      </c>
      <c r="C50" s="21">
        <f>data!D292</f>
        <v>20445740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859</v>
      </c>
      <c r="B53" s="5"/>
      <c r="C53" s="6"/>
    </row>
    <row r="54" spans="1:3" ht="20.100000000000001" customHeight="1" x14ac:dyDescent="0.25">
      <c r="A54" s="4"/>
      <c r="B54" s="5"/>
      <c r="C54" s="167" t="s">
        <v>860</v>
      </c>
    </row>
    <row r="55" spans="1:3" ht="20.100000000000001" customHeight="1" x14ac:dyDescent="0.25">
      <c r="A55" s="29" t="str">
        <f>"HOSPITAL: "&amp;data!C84</f>
        <v>HOSPITAL: Arbor Health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861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862</v>
      </c>
      <c r="C59" s="21">
        <f>data!C305</f>
        <v>579609</v>
      </c>
    </row>
    <row r="60" spans="1:3" ht="20.100000000000001" customHeight="1" x14ac:dyDescent="0.25">
      <c r="A60" s="13">
        <v>4</v>
      </c>
      <c r="B60" s="14" t="s">
        <v>863</v>
      </c>
      <c r="C60" s="21">
        <f>data!C306</f>
        <v>1446789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213</v>
      </c>
    </row>
    <row r="62" spans="1:3" ht="20.100000000000001" customHeight="1" x14ac:dyDescent="0.25">
      <c r="A62" s="13">
        <v>6</v>
      </c>
      <c r="B62" s="14" t="s">
        <v>864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865</v>
      </c>
      <c r="C63" s="21">
        <f>data!C309</f>
        <v>828241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866</v>
      </c>
      <c r="C67" s="21">
        <f>data!C313</f>
        <v>1080932</v>
      </c>
    </row>
    <row r="68" spans="1:3" ht="20.100000000000001" customHeight="1" x14ac:dyDescent="0.25">
      <c r="A68" s="13">
        <v>12</v>
      </c>
      <c r="B68" s="14" t="s">
        <v>867</v>
      </c>
      <c r="C68" s="21">
        <f>data!D314</f>
        <v>3935784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868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869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870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 t="str">
        <f>data!C321</f>
        <v xml:space="preserve"> </v>
      </c>
    </row>
    <row r="78" spans="1:3" ht="20.100000000000001" customHeight="1" x14ac:dyDescent="0.25">
      <c r="A78" s="13">
        <v>22</v>
      </c>
      <c r="B78" s="14" t="s">
        <v>871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872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8288807</v>
      </c>
    </row>
    <row r="82" spans="1:3" ht="20.100000000000001" customHeight="1" x14ac:dyDescent="0.25">
      <c r="A82" s="13">
        <v>26</v>
      </c>
      <c r="B82" s="14" t="s">
        <v>873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8288807</v>
      </c>
    </row>
    <row r="85" spans="1:3" ht="20.100000000000001" customHeight="1" x14ac:dyDescent="0.25">
      <c r="A85" s="13">
        <v>29</v>
      </c>
      <c r="B85" s="14" t="s">
        <v>874</v>
      </c>
      <c r="C85" s="21">
        <f>data!D329</f>
        <v>1080932</v>
      </c>
    </row>
    <row r="86" spans="1:3" ht="20.100000000000001" customHeight="1" x14ac:dyDescent="0.25">
      <c r="A86" s="13">
        <v>30</v>
      </c>
      <c r="B86" s="14" t="s">
        <v>875</v>
      </c>
      <c r="C86" s="21">
        <f>data!D330</f>
        <v>7207875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876</v>
      </c>
      <c r="C88" s="21">
        <f>data!C332</f>
        <v>9302081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877</v>
      </c>
      <c r="C90" s="36"/>
    </row>
    <row r="91" spans="1:3" ht="20.100000000000001" customHeight="1" x14ac:dyDescent="0.25">
      <c r="A91" s="13">
        <v>35</v>
      </c>
      <c r="B91" s="14" t="s">
        <v>878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879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880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881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882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883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884</v>
      </c>
      <c r="C101" s="21">
        <f>data!C332+data!C334+data!C335+data!C336+data!C337-data!C338</f>
        <v>9302081</v>
      </c>
    </row>
    <row r="102" spans="1:3" ht="20.100000000000001" customHeight="1" x14ac:dyDescent="0.25">
      <c r="A102" s="13">
        <v>46</v>
      </c>
      <c r="B102" s="14" t="s">
        <v>885</v>
      </c>
      <c r="C102" s="21">
        <f>data!D339</f>
        <v>20445740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886</v>
      </c>
      <c r="B105" s="5"/>
      <c r="C105" s="6"/>
    </row>
    <row r="106" spans="1:3" ht="20.100000000000001" customHeight="1" x14ac:dyDescent="0.25">
      <c r="A106" s="45"/>
      <c r="B106" s="8"/>
      <c r="C106" s="167" t="s">
        <v>887</v>
      </c>
    </row>
    <row r="107" spans="1:3" ht="20.100000000000001" customHeight="1" x14ac:dyDescent="0.25">
      <c r="A107" s="29" t="str">
        <f>"HOSPITAL: "&amp;data!C84</f>
        <v>HOSPITAL: Arbor Health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888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10068927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35070718</v>
      </c>
    </row>
    <row r="112" spans="1:3" ht="20.100000000000001" customHeight="1" x14ac:dyDescent="0.25">
      <c r="A112" s="13">
        <v>4</v>
      </c>
      <c r="B112" s="14" t="s">
        <v>889</v>
      </c>
      <c r="C112" s="21">
        <f>data!D361</f>
        <v>45139645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890</v>
      </c>
      <c r="C114" s="36"/>
    </row>
    <row r="115" spans="1:3" ht="20.100000000000001" customHeight="1" x14ac:dyDescent="0.25">
      <c r="A115" s="13">
        <v>7</v>
      </c>
      <c r="B115" s="269" t="s">
        <v>450</v>
      </c>
      <c r="C115" s="48">
        <f>data!C363</f>
        <v>824572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16657222</v>
      </c>
    </row>
    <row r="117" spans="1:3" ht="20.100000000000001" customHeight="1" x14ac:dyDescent="0.25">
      <c r="A117" s="13">
        <v>9</v>
      </c>
      <c r="B117" s="14" t="s">
        <v>891</v>
      </c>
      <c r="C117" s="48">
        <f>data!C365</f>
        <v>119590</v>
      </c>
    </row>
    <row r="118" spans="1:3" ht="20.100000000000001" customHeight="1" x14ac:dyDescent="0.25">
      <c r="A118" s="13">
        <v>10</v>
      </c>
      <c r="B118" s="14" t="s">
        <v>892</v>
      </c>
      <c r="C118" s="48">
        <f>data!C366</f>
        <v>821833</v>
      </c>
    </row>
    <row r="119" spans="1:3" ht="20.100000000000001" customHeight="1" x14ac:dyDescent="0.25">
      <c r="A119" s="13">
        <v>11</v>
      </c>
      <c r="B119" s="14" t="s">
        <v>835</v>
      </c>
      <c r="C119" s="48">
        <f>data!D367</f>
        <v>18423217</v>
      </c>
    </row>
    <row r="120" spans="1:3" ht="20.100000000000001" customHeight="1" x14ac:dyDescent="0.25">
      <c r="A120" s="13">
        <v>12</v>
      </c>
      <c r="B120" s="14" t="s">
        <v>893</v>
      </c>
      <c r="C120" s="48">
        <f>data!D368</f>
        <v>26716428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879741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1626679</v>
      </c>
    </row>
    <row r="125" spans="1:3" ht="20.100000000000001" customHeight="1" x14ac:dyDescent="0.25">
      <c r="A125" s="13">
        <v>17</v>
      </c>
      <c r="B125" s="14" t="s">
        <v>894</v>
      </c>
      <c r="C125" s="48">
        <f>data!D372</f>
        <v>2506420</v>
      </c>
    </row>
    <row r="126" spans="1:3" ht="20.100000000000001" customHeight="1" x14ac:dyDescent="0.25">
      <c r="A126" s="13">
        <v>18</v>
      </c>
      <c r="B126" s="14" t="s">
        <v>895</v>
      </c>
      <c r="C126" s="48">
        <f>data!D373</f>
        <v>29222848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896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14806725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3468802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2117301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1893282</v>
      </c>
    </row>
    <row r="133" spans="1:3" ht="20.100000000000001" customHeight="1" x14ac:dyDescent="0.25">
      <c r="A133" s="13">
        <v>25</v>
      </c>
      <c r="B133" s="14" t="s">
        <v>897</v>
      </c>
      <c r="C133" s="48">
        <f>data!C382</f>
        <v>417883</v>
      </c>
    </row>
    <row r="134" spans="1:3" ht="20.100000000000001" customHeight="1" x14ac:dyDescent="0.25">
      <c r="A134" s="13">
        <v>26</v>
      </c>
      <c r="B134" s="14" t="s">
        <v>898</v>
      </c>
      <c r="C134" s="48">
        <f>data!C383</f>
        <v>3268295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1753600</v>
      </c>
    </row>
    <row r="136" spans="1:3" ht="20.100000000000001" customHeight="1" x14ac:dyDescent="0.25">
      <c r="A136" s="13">
        <v>28</v>
      </c>
      <c r="B136" s="14" t="s">
        <v>899</v>
      </c>
      <c r="C136" s="48">
        <f>data!C385</f>
        <v>128088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199589</v>
      </c>
    </row>
    <row r="138" spans="1:3" ht="20.100000000000001" customHeight="1" x14ac:dyDescent="0.25">
      <c r="A138" s="13">
        <v>30</v>
      </c>
      <c r="B138" s="14" t="s">
        <v>900</v>
      </c>
      <c r="C138" s="48">
        <f>data!C387</f>
        <v>256598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455499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106932</v>
      </c>
    </row>
    <row r="141" spans="1:3" ht="20.100000000000001" customHeight="1" x14ac:dyDescent="0.25">
      <c r="A141" s="13">
        <v>34</v>
      </c>
      <c r="B141" s="14" t="s">
        <v>901</v>
      </c>
      <c r="C141" s="48">
        <f>data!D390</f>
        <v>28872594</v>
      </c>
    </row>
    <row r="142" spans="1:3" ht="20.100000000000001" customHeight="1" x14ac:dyDescent="0.25">
      <c r="A142" s="13">
        <v>35</v>
      </c>
      <c r="B142" s="14" t="s">
        <v>902</v>
      </c>
      <c r="C142" s="48">
        <f>data!D391</f>
        <v>350254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903</v>
      </c>
      <c r="C144" s="48">
        <f>data!C392</f>
        <v>134557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904</v>
      </c>
      <c r="C146" s="21">
        <f>data!D393</f>
        <v>484811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905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906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907</v>
      </c>
      <c r="C151" s="48">
        <f>data!D396</f>
        <v>484811</v>
      </c>
    </row>
    <row r="152" spans="1:3" ht="20.100000000000001" customHeight="1" x14ac:dyDescent="0.25">
      <c r="A152" s="40">
        <v>45</v>
      </c>
      <c r="B152" s="49" t="s">
        <v>908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8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52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909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910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Arbor Health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911</v>
      </c>
      <c r="C6" s="88" t="s">
        <v>92</v>
      </c>
      <c r="D6" s="18" t="s">
        <v>912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913</v>
      </c>
      <c r="E7" s="18" t="s">
        <v>163</v>
      </c>
      <c r="F7" s="18" t="s">
        <v>914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915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631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18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1890861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428843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-32031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55273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4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165696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409851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916</v>
      </c>
      <c r="C21" s="14">
        <f>data!C71</f>
        <v>0</v>
      </c>
      <c r="D21" s="14">
        <f>data!D71</f>
        <v>0</v>
      </c>
      <c r="E21" s="14">
        <f>data!E71</f>
        <v>2918493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06"/>
      <c r="D22" s="207"/>
      <c r="E22" s="207"/>
      <c r="F22" s="207"/>
      <c r="G22" s="207"/>
      <c r="H22" s="207"/>
      <c r="I22" s="207"/>
    </row>
    <row r="23" spans="1:9" ht="20.100000000000001" customHeight="1" x14ac:dyDescent="0.25">
      <c r="A23" s="23">
        <v>18</v>
      </c>
      <c r="B23" s="14" t="s">
        <v>917</v>
      </c>
      <c r="C23" s="48">
        <f>+data!M668</f>
        <v>0</v>
      </c>
      <c r="D23" s="48">
        <f>+data!M669</f>
        <v>0</v>
      </c>
      <c r="E23" s="48">
        <f>+data!M670</f>
        <v>2270795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918</v>
      </c>
      <c r="C24" s="14">
        <f>data!C73</f>
        <v>0</v>
      </c>
      <c r="D24" s="14">
        <f>data!D73</f>
        <v>0</v>
      </c>
      <c r="E24" s="14">
        <f>data!E73</f>
        <v>2668832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919</v>
      </c>
      <c r="C25" s="14">
        <f>data!C74</f>
        <v>0</v>
      </c>
      <c r="D25" s="14">
        <f>data!D74</f>
        <v>0</v>
      </c>
      <c r="E25" s="14">
        <f>data!E74</f>
        <v>1144376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920</v>
      </c>
      <c r="C26" s="14">
        <f>data!C75</f>
        <v>0</v>
      </c>
      <c r="D26" s="14">
        <f>data!D75</f>
        <v>0</v>
      </c>
      <c r="E26" s="14">
        <f>data!E75</f>
        <v>3813208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921</v>
      </c>
      <c r="B27" s="60"/>
      <c r="C27" s="207"/>
      <c r="D27" s="207"/>
      <c r="E27" s="207"/>
      <c r="F27" s="207"/>
      <c r="G27" s="207"/>
      <c r="H27" s="207"/>
      <c r="I27" s="207"/>
    </row>
    <row r="28" spans="1:9" ht="20.100000000000001" customHeight="1" x14ac:dyDescent="0.25">
      <c r="A28" s="23">
        <v>22</v>
      </c>
      <c r="B28" s="14" t="s">
        <v>922</v>
      </c>
      <c r="C28" s="14">
        <f>data!C76</f>
        <v>0</v>
      </c>
      <c r="D28" s="14">
        <f>data!D76</f>
        <v>0</v>
      </c>
      <c r="E28" s="14">
        <f>data!E76</f>
        <v>18333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923</v>
      </c>
      <c r="C29" s="14">
        <f>data!C77</f>
        <v>0</v>
      </c>
      <c r="D29" s="14">
        <f>data!D77</f>
        <v>0</v>
      </c>
      <c r="E29" s="14">
        <f>data!E77</f>
        <v>6351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924</v>
      </c>
      <c r="C30" s="14">
        <f>data!C78</f>
        <v>0</v>
      </c>
      <c r="D30" s="14">
        <f>data!D78</f>
        <v>0</v>
      </c>
      <c r="E30" s="14">
        <f>data!E78</f>
        <v>9000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925</v>
      </c>
      <c r="C31" s="14">
        <f>data!C79</f>
        <v>0</v>
      </c>
      <c r="D31" s="14">
        <f>data!D79</f>
        <v>0</v>
      </c>
      <c r="E31" s="14">
        <f>data!E79</f>
        <v>28078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18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909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926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Arbor Health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911</v>
      </c>
      <c r="C38" s="25"/>
      <c r="D38" s="18" t="s">
        <v>100</v>
      </c>
      <c r="E38" s="18" t="s">
        <v>101</v>
      </c>
      <c r="F38" s="18" t="s">
        <v>927</v>
      </c>
      <c r="G38" s="18" t="s">
        <v>103</v>
      </c>
      <c r="H38" s="18" t="s">
        <v>928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915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4089</v>
      </c>
      <c r="E41" s="14" t="str">
        <f>data!L59</f>
        <v xml:space="preserve"> 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12536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16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2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867248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258224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211994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65916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310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501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57721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55951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2211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23302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28973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526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916</v>
      </c>
      <c r="C53" s="14">
        <f>data!J71</f>
        <v>0</v>
      </c>
      <c r="D53" s="14">
        <f>data!K71</f>
        <v>1139484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433393</v>
      </c>
    </row>
    <row r="54" spans="1:9" ht="20.100000000000001" customHeight="1" x14ac:dyDescent="0.25">
      <c r="A54" s="23">
        <v>17</v>
      </c>
      <c r="B54" s="14" t="s">
        <v>244</v>
      </c>
      <c r="C54" s="207"/>
      <c r="D54" s="207"/>
      <c r="E54" s="207"/>
      <c r="F54" s="207"/>
      <c r="G54" s="207"/>
      <c r="H54" s="207"/>
      <c r="I54" s="207"/>
    </row>
    <row r="55" spans="1:9" ht="20.100000000000001" customHeight="1" x14ac:dyDescent="0.25">
      <c r="A55" s="23">
        <v>18</v>
      </c>
      <c r="B55" s="14" t="s">
        <v>917</v>
      </c>
      <c r="C55" s="48">
        <f>+data!M675</f>
        <v>0</v>
      </c>
      <c r="D55" s="48">
        <f>+data!M676</f>
        <v>1408792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332330</v>
      </c>
    </row>
    <row r="56" spans="1:9" ht="20.100000000000001" customHeight="1" x14ac:dyDescent="0.25">
      <c r="A56" s="23">
        <v>19</v>
      </c>
      <c r="B56" s="48" t="s">
        <v>918</v>
      </c>
      <c r="C56" s="14">
        <f>data!J73</f>
        <v>0</v>
      </c>
      <c r="D56" s="14">
        <f>data!K73</f>
        <v>2414946</v>
      </c>
      <c r="E56" s="14" t="str">
        <f>data!L73</f>
        <v xml:space="preserve"> 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169373</v>
      </c>
    </row>
    <row r="57" spans="1:9" ht="20.100000000000001" customHeight="1" x14ac:dyDescent="0.25">
      <c r="A57" s="23">
        <v>20</v>
      </c>
      <c r="B57" s="48" t="s">
        <v>919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1178697</v>
      </c>
    </row>
    <row r="58" spans="1:9" ht="20.100000000000001" customHeight="1" x14ac:dyDescent="0.25">
      <c r="A58" s="23">
        <v>21</v>
      </c>
      <c r="B58" s="48" t="s">
        <v>920</v>
      </c>
      <c r="C58" s="14">
        <f>data!J75</f>
        <v>0</v>
      </c>
      <c r="D58" s="14">
        <f>data!K75</f>
        <v>2414946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1348070</v>
      </c>
    </row>
    <row r="59" spans="1:9" ht="20.100000000000001" customHeight="1" x14ac:dyDescent="0.25">
      <c r="A59" s="23" t="s">
        <v>921</v>
      </c>
      <c r="B59" s="60"/>
      <c r="C59" s="207"/>
      <c r="D59" s="207"/>
      <c r="E59" s="207"/>
      <c r="F59" s="207"/>
      <c r="G59" s="207"/>
      <c r="H59" s="207"/>
      <c r="I59" s="207"/>
    </row>
    <row r="60" spans="1:9" ht="20.100000000000001" customHeight="1" x14ac:dyDescent="0.25">
      <c r="A60" s="23">
        <v>22</v>
      </c>
      <c r="B60" s="14" t="s">
        <v>922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1296</v>
      </c>
    </row>
    <row r="61" spans="1:9" ht="20.100000000000001" customHeight="1" x14ac:dyDescent="0.25">
      <c r="A61" s="23">
        <v>23</v>
      </c>
      <c r="B61" s="14" t="s">
        <v>923</v>
      </c>
      <c r="C61" s="14">
        <f>data!J77</f>
        <v>0</v>
      </c>
      <c r="D61" s="14">
        <f>data!K77</f>
        <v>7561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924</v>
      </c>
      <c r="C62" s="14">
        <f>data!J78</f>
        <v>0</v>
      </c>
      <c r="D62" s="14">
        <f>data!K78</f>
        <v>9000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1200</v>
      </c>
    </row>
    <row r="63" spans="1:9" ht="20.100000000000001" customHeight="1" x14ac:dyDescent="0.25">
      <c r="A63" s="23">
        <v>25</v>
      </c>
      <c r="B63" s="14" t="s">
        <v>925</v>
      </c>
      <c r="C63" s="14">
        <f>data!J79</f>
        <v>0</v>
      </c>
      <c r="D63" s="14">
        <f>data!K79</f>
        <v>37899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7841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16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2</v>
      </c>
    </row>
    <row r="65" spans="1:9" ht="20.100000000000001" customHeight="1" x14ac:dyDescent="0.25">
      <c r="A65" s="4" t="s">
        <v>909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929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Arbor Health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911</v>
      </c>
      <c r="C70" s="18" t="s">
        <v>106</v>
      </c>
      <c r="D70" s="25"/>
      <c r="E70" s="18" t="s">
        <v>108</v>
      </c>
      <c r="F70" s="18" t="s">
        <v>930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931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915</v>
      </c>
      <c r="C72" s="15" t="s">
        <v>932</v>
      </c>
      <c r="D72" s="89" t="s">
        <v>933</v>
      </c>
      <c r="E72" s="208"/>
      <c r="F72" s="208"/>
      <c r="G72" s="89" t="s">
        <v>934</v>
      </c>
      <c r="H72" s="89" t="s">
        <v>934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21310</v>
      </c>
      <c r="E73" s="208"/>
      <c r="F73" s="208"/>
      <c r="G73" s="14">
        <f>data!U59</f>
        <v>44807</v>
      </c>
      <c r="H73" s="14">
        <f>data!V59</f>
        <v>0</v>
      </c>
      <c r="I73" s="14">
        <f>data!W59</f>
        <v>277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1</v>
      </c>
      <c r="F74" s="26">
        <f>data!T60</f>
        <v>0</v>
      </c>
      <c r="G74" s="26">
        <f>data!U60</f>
        <v>7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436539</v>
      </c>
      <c r="E75" s="14">
        <f>data!S61</f>
        <v>36698</v>
      </c>
      <c r="F75" s="14">
        <f>data!T61</f>
        <v>0</v>
      </c>
      <c r="G75" s="14">
        <f>data!U61</f>
        <v>538702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105278</v>
      </c>
      <c r="E76" s="14">
        <f>data!S62</f>
        <v>7636</v>
      </c>
      <c r="F76" s="14">
        <f>data!T62</f>
        <v>0</v>
      </c>
      <c r="G76" s="14">
        <f>data!U62</f>
        <v>132856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9184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4758</v>
      </c>
      <c r="E78" s="14">
        <f>data!S64</f>
        <v>16704</v>
      </c>
      <c r="F78" s="14">
        <f>data!T64</f>
        <v>0</v>
      </c>
      <c r="G78" s="14">
        <f>data!U64</f>
        <v>203549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4961</v>
      </c>
      <c r="E80" s="14">
        <f>data!S66</f>
        <v>16947</v>
      </c>
      <c r="F80" s="14">
        <f>data!T66</f>
        <v>0</v>
      </c>
      <c r="G80" s="14">
        <f>data!U66</f>
        <v>232408</v>
      </c>
      <c r="H80" s="14">
        <f>data!V66</f>
        <v>0</v>
      </c>
      <c r="I80" s="14">
        <f>data!W66</f>
        <v>141945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23541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3288</v>
      </c>
      <c r="E83" s="14">
        <f>data!S69</f>
        <v>0</v>
      </c>
      <c r="F83" s="14">
        <f>data!T69</f>
        <v>0</v>
      </c>
      <c r="G83" s="14">
        <f>data!U69</f>
        <v>2918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916</v>
      </c>
      <c r="C85" s="14">
        <f>data!Q71</f>
        <v>0</v>
      </c>
      <c r="D85" s="14">
        <f>data!R71</f>
        <v>554824</v>
      </c>
      <c r="E85" s="14">
        <f>data!S71</f>
        <v>77985</v>
      </c>
      <c r="F85" s="14">
        <f>data!T71</f>
        <v>0</v>
      </c>
      <c r="G85" s="14">
        <f>data!U71</f>
        <v>1143158</v>
      </c>
      <c r="H85" s="14">
        <f>data!V71</f>
        <v>0</v>
      </c>
      <c r="I85" s="14">
        <f>data!W71</f>
        <v>141945</v>
      </c>
    </row>
    <row r="86" spans="1:9" ht="20.100000000000001" customHeight="1" x14ac:dyDescent="0.25">
      <c r="A86" s="23">
        <v>17</v>
      </c>
      <c r="B86" s="14" t="s">
        <v>244</v>
      </c>
      <c r="C86" s="207"/>
      <c r="D86" s="207"/>
      <c r="E86" s="207"/>
      <c r="F86" s="207"/>
      <c r="G86" s="207"/>
      <c r="H86" s="207"/>
      <c r="I86" s="207"/>
    </row>
    <row r="87" spans="1:9" ht="20.100000000000001" customHeight="1" x14ac:dyDescent="0.25">
      <c r="A87" s="23">
        <v>18</v>
      </c>
      <c r="B87" s="14" t="s">
        <v>917</v>
      </c>
      <c r="C87" s="48">
        <f>+data!M682</f>
        <v>4222</v>
      </c>
      <c r="D87" s="48">
        <f>+data!M683</f>
        <v>130885</v>
      </c>
      <c r="E87" s="48">
        <f>+data!M684</f>
        <v>44421</v>
      </c>
      <c r="F87" s="48">
        <f>+data!M685</f>
        <v>0</v>
      </c>
      <c r="G87" s="48">
        <f>+data!M686</f>
        <v>922466</v>
      </c>
      <c r="H87" s="48">
        <f>+data!M687</f>
        <v>0</v>
      </c>
      <c r="I87" s="48">
        <f>+data!M688</f>
        <v>70906</v>
      </c>
    </row>
    <row r="88" spans="1:9" ht="20.100000000000001" customHeight="1" x14ac:dyDescent="0.25">
      <c r="A88" s="23">
        <v>19</v>
      </c>
      <c r="B88" s="48" t="s">
        <v>918</v>
      </c>
      <c r="C88" s="14">
        <f>data!Q73</f>
        <v>10272</v>
      </c>
      <c r="D88" s="14">
        <f>data!R73</f>
        <v>59875</v>
      </c>
      <c r="E88" s="14">
        <f>data!S73</f>
        <v>0</v>
      </c>
      <c r="F88" s="14">
        <f>data!T73</f>
        <v>0</v>
      </c>
      <c r="G88" s="14">
        <f>data!U73</f>
        <v>634504</v>
      </c>
      <c r="H88" s="14">
        <f>data!V73</f>
        <v>0</v>
      </c>
      <c r="I88" s="14">
        <f>data!W73</f>
        <v>13066</v>
      </c>
    </row>
    <row r="89" spans="1:9" ht="20.100000000000001" customHeight="1" x14ac:dyDescent="0.25">
      <c r="A89" s="23">
        <v>20</v>
      </c>
      <c r="B89" s="48" t="s">
        <v>919</v>
      </c>
      <c r="C89" s="14">
        <f>data!Q74</f>
        <v>35173</v>
      </c>
      <c r="D89" s="14">
        <f>data!R74</f>
        <v>644314</v>
      </c>
      <c r="E89" s="14">
        <f>data!S74</f>
        <v>0</v>
      </c>
      <c r="F89" s="14">
        <f>data!T74</f>
        <v>0</v>
      </c>
      <c r="G89" s="14">
        <f>data!U74</f>
        <v>4648016</v>
      </c>
      <c r="H89" s="14">
        <f>data!V74</f>
        <v>0</v>
      </c>
      <c r="I89" s="14">
        <f>data!W74</f>
        <v>571182</v>
      </c>
    </row>
    <row r="90" spans="1:9" ht="20.100000000000001" customHeight="1" x14ac:dyDescent="0.25">
      <c r="A90" s="23">
        <v>21</v>
      </c>
      <c r="B90" s="48" t="s">
        <v>920</v>
      </c>
      <c r="C90" s="14">
        <f>data!Q75</f>
        <v>45445</v>
      </c>
      <c r="D90" s="14">
        <f>data!R75</f>
        <v>704189</v>
      </c>
      <c r="E90" s="14">
        <f>data!S75</f>
        <v>0</v>
      </c>
      <c r="F90" s="14">
        <f>data!T75</f>
        <v>0</v>
      </c>
      <c r="G90" s="14">
        <f>data!U75</f>
        <v>5282520</v>
      </c>
      <c r="H90" s="14">
        <f>data!V75</f>
        <v>0</v>
      </c>
      <c r="I90" s="14">
        <f>data!W75</f>
        <v>584248</v>
      </c>
    </row>
    <row r="91" spans="1:9" ht="20.100000000000001" customHeight="1" x14ac:dyDescent="0.25">
      <c r="A91" s="23" t="s">
        <v>921</v>
      </c>
      <c r="B91" s="60"/>
      <c r="C91" s="207"/>
      <c r="D91" s="207"/>
      <c r="E91" s="207"/>
      <c r="F91" s="207"/>
      <c r="G91" s="207"/>
      <c r="H91" s="207"/>
      <c r="I91" s="207"/>
    </row>
    <row r="92" spans="1:9" ht="20.100000000000001" customHeight="1" x14ac:dyDescent="0.25">
      <c r="A92" s="23">
        <v>22</v>
      </c>
      <c r="B92" s="14" t="s">
        <v>922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1053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923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924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1100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925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1327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909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935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Arbor Health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911</v>
      </c>
      <c r="C102" s="18" t="s">
        <v>936</v>
      </c>
      <c r="D102" s="18" t="s">
        <v>937</v>
      </c>
      <c r="E102" s="18" t="s">
        <v>937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915</v>
      </c>
      <c r="C104" s="89" t="s">
        <v>224</v>
      </c>
      <c r="D104" s="15" t="s">
        <v>938</v>
      </c>
      <c r="E104" s="15" t="s">
        <v>938</v>
      </c>
      <c r="F104" s="15" t="s">
        <v>938</v>
      </c>
      <c r="G104" s="208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1589</v>
      </c>
      <c r="D105" s="14">
        <f>data!Y59</f>
        <v>4450</v>
      </c>
      <c r="E105" s="14">
        <f>data!Z59</f>
        <v>0</v>
      </c>
      <c r="F105" s="14">
        <f>data!AA59</f>
        <v>63</v>
      </c>
      <c r="G105" s="208"/>
      <c r="H105" s="14">
        <f>data!AC59</f>
        <v>9815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6</v>
      </c>
      <c r="E106" s="26">
        <f>data!Z60</f>
        <v>0</v>
      </c>
      <c r="F106" s="26">
        <f>data!AA60</f>
        <v>0</v>
      </c>
      <c r="G106" s="26">
        <f>data!AB60</f>
        <v>0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534420</v>
      </c>
      <c r="E107" s="14">
        <f>data!Z61</f>
        <v>0</v>
      </c>
      <c r="F107" s="14">
        <f>data!AA61</f>
        <v>0</v>
      </c>
      <c r="G107" s="14">
        <f>data!AB61</f>
        <v>221499</v>
      </c>
      <c r="H107" s="14">
        <f>data!AC61</f>
        <v>243830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136941</v>
      </c>
      <c r="E108" s="14">
        <f>data!Z62</f>
        <v>0</v>
      </c>
      <c r="F108" s="14">
        <f>data!AA62</f>
        <v>0</v>
      </c>
      <c r="G108" s="14">
        <f>data!AB62</f>
        <v>49012</v>
      </c>
      <c r="H108" s="14">
        <f>data!AC62</f>
        <v>59058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191353</v>
      </c>
      <c r="H109" s="14">
        <f>data!AC63</f>
        <v>160621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17139</v>
      </c>
      <c r="D110" s="14">
        <f>data!Y64</f>
        <v>26620</v>
      </c>
      <c r="E110" s="14">
        <f>data!Z64</f>
        <v>0</v>
      </c>
      <c r="F110" s="14">
        <f>data!AA64</f>
        <v>0</v>
      </c>
      <c r="G110" s="14">
        <f>data!AB64</f>
        <v>572382</v>
      </c>
      <c r="H110" s="14">
        <f>data!AC64</f>
        <v>23746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896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42653</v>
      </c>
      <c r="D112" s="14">
        <f>data!Y66</f>
        <v>118167</v>
      </c>
      <c r="E112" s="14">
        <f>data!Z66</f>
        <v>0</v>
      </c>
      <c r="F112" s="14">
        <f>data!AA66</f>
        <v>101186</v>
      </c>
      <c r="G112" s="14">
        <f>data!AB66</f>
        <v>117081</v>
      </c>
      <c r="H112" s="14">
        <f>data!AC66</f>
        <v>12852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54839</v>
      </c>
      <c r="E113" s="14">
        <f>data!Z67</f>
        <v>0</v>
      </c>
      <c r="F113" s="14">
        <f>data!AA67</f>
        <v>0</v>
      </c>
      <c r="G113" s="14">
        <f>data!AB67</f>
        <v>11133</v>
      </c>
      <c r="H113" s="14">
        <f>data!AC67</f>
        <v>22177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80499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1686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916</v>
      </c>
      <c r="C117" s="14">
        <f>data!X71</f>
        <v>140291</v>
      </c>
      <c r="D117" s="14">
        <f>data!Y71</f>
        <v>870987</v>
      </c>
      <c r="E117" s="14">
        <f>data!Z71</f>
        <v>0</v>
      </c>
      <c r="F117" s="14">
        <f>data!AA71</f>
        <v>101186</v>
      </c>
      <c r="G117" s="14">
        <f>data!AB71</f>
        <v>1165042</v>
      </c>
      <c r="H117" s="14">
        <f>data!AC71</f>
        <v>522284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07"/>
      <c r="D118" s="207"/>
      <c r="E118" s="207"/>
      <c r="F118" s="207"/>
      <c r="G118" s="207"/>
      <c r="H118" s="207"/>
      <c r="I118" s="207"/>
    </row>
    <row r="119" spans="1:9" ht="20.100000000000001" customHeight="1" x14ac:dyDescent="0.25">
      <c r="A119" s="23">
        <v>18</v>
      </c>
      <c r="B119" s="14" t="s">
        <v>917</v>
      </c>
      <c r="C119" s="48">
        <f>+data!M689</f>
        <v>347140</v>
      </c>
      <c r="D119" s="48">
        <f>+data!M690</f>
        <v>688794</v>
      </c>
      <c r="E119" s="48">
        <f>+data!M691</f>
        <v>0</v>
      </c>
      <c r="F119" s="48">
        <f>+data!M692</f>
        <v>37591</v>
      </c>
      <c r="G119" s="48">
        <f>+data!M693</f>
        <v>830094</v>
      </c>
      <c r="H119" s="48">
        <f>+data!M694</f>
        <v>265128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918</v>
      </c>
      <c r="C120" s="14">
        <f>data!X73</f>
        <v>257372</v>
      </c>
      <c r="D120" s="14">
        <f>data!Y73</f>
        <v>142578</v>
      </c>
      <c r="E120" s="14">
        <f>data!Z73</f>
        <v>0</v>
      </c>
      <c r="F120" s="14">
        <f>data!AA73</f>
        <v>0</v>
      </c>
      <c r="G120" s="14">
        <f>data!AB73</f>
        <v>2240674</v>
      </c>
      <c r="H120" s="14">
        <f>data!AC73</f>
        <v>345899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919</v>
      </c>
      <c r="C121" s="14">
        <f>data!X74</f>
        <v>3283126</v>
      </c>
      <c r="D121" s="14">
        <f>data!Y74</f>
        <v>2855821</v>
      </c>
      <c r="E121" s="14">
        <f>data!Z74</f>
        <v>0</v>
      </c>
      <c r="F121" s="14">
        <f>data!AA74</f>
        <v>277058</v>
      </c>
      <c r="G121" s="14">
        <f>data!AB74</f>
        <v>4385422</v>
      </c>
      <c r="H121" s="14">
        <f>data!AC74</f>
        <v>1381852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920</v>
      </c>
      <c r="C122" s="14">
        <f>data!X75</f>
        <v>3540498</v>
      </c>
      <c r="D122" s="14">
        <f>data!Y75</f>
        <v>2998399</v>
      </c>
      <c r="E122" s="14">
        <f>data!Z75</f>
        <v>0</v>
      </c>
      <c r="F122" s="14">
        <f>data!AA75</f>
        <v>277058</v>
      </c>
      <c r="G122" s="14">
        <f>data!AB75</f>
        <v>6626096</v>
      </c>
      <c r="H122" s="14">
        <f>data!AC75</f>
        <v>1727751</v>
      </c>
      <c r="I122" s="14">
        <f>data!AD75</f>
        <v>0</v>
      </c>
    </row>
    <row r="123" spans="1:9" ht="20.100000000000001" customHeight="1" x14ac:dyDescent="0.25">
      <c r="A123" s="23" t="s">
        <v>921</v>
      </c>
      <c r="B123" s="60"/>
      <c r="C123" s="207"/>
      <c r="D123" s="207"/>
      <c r="E123" s="207"/>
      <c r="F123" s="207"/>
      <c r="G123" s="207"/>
      <c r="H123" s="207"/>
      <c r="I123" s="207"/>
    </row>
    <row r="124" spans="1:9" ht="20.100000000000001" customHeight="1" x14ac:dyDescent="0.25">
      <c r="A124" s="23">
        <v>22</v>
      </c>
      <c r="B124" s="14" t="s">
        <v>922</v>
      </c>
      <c r="C124" s="14">
        <f>data!X76</f>
        <v>0</v>
      </c>
      <c r="D124" s="14">
        <f>data!Y76</f>
        <v>2453</v>
      </c>
      <c r="E124" s="14">
        <f>data!Z76</f>
        <v>0</v>
      </c>
      <c r="F124" s="14">
        <f>data!AA76</f>
        <v>0</v>
      </c>
      <c r="G124" s="14">
        <f>data!AB76</f>
        <v>498</v>
      </c>
      <c r="H124" s="14">
        <f>data!AC76</f>
        <v>992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923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924</v>
      </c>
      <c r="C126" s="14">
        <f>data!X78</f>
        <v>0</v>
      </c>
      <c r="D126" s="14">
        <f>data!Y78</f>
        <v>2600</v>
      </c>
      <c r="E126" s="14">
        <f>data!Z78</f>
        <v>0</v>
      </c>
      <c r="F126" s="14">
        <f>data!AA78</f>
        <v>0</v>
      </c>
      <c r="G126" s="14">
        <f>data!AB78</f>
        <v>550</v>
      </c>
      <c r="H126" s="14">
        <f>data!AC78</f>
        <v>1100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925</v>
      </c>
      <c r="C127" s="14">
        <f>data!X79</f>
        <v>0</v>
      </c>
      <c r="D127" s="14">
        <f>data!Y79</f>
        <v>8343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1898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909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939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Arbor Health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911</v>
      </c>
      <c r="C134" s="18" t="s">
        <v>96</v>
      </c>
      <c r="D134" s="18" t="s">
        <v>97</v>
      </c>
      <c r="E134" s="18" t="s">
        <v>118</v>
      </c>
      <c r="F134" s="25"/>
      <c r="G134" s="18" t="s">
        <v>940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915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941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21340</v>
      </c>
      <c r="D137" s="14">
        <f>data!AF59</f>
        <v>0</v>
      </c>
      <c r="E137" s="14">
        <f>data!AG59</f>
        <v>4721</v>
      </c>
      <c r="F137" s="14">
        <f>data!AH59</f>
        <v>0</v>
      </c>
      <c r="G137" s="14">
        <f>data!AI59</f>
        <v>0</v>
      </c>
      <c r="H137" s="14">
        <f>data!AJ59</f>
        <v>12631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1029315</v>
      </c>
      <c r="D139" s="14">
        <f>data!AF61</f>
        <v>0</v>
      </c>
      <c r="E139" s="14">
        <f>data!AG61</f>
        <v>1354017</v>
      </c>
      <c r="F139" s="14">
        <f>data!AH61</f>
        <v>0</v>
      </c>
      <c r="G139" s="14">
        <f>data!AI61</f>
        <v>14841</v>
      </c>
      <c r="H139" s="14">
        <f>data!AJ61</f>
        <v>2369425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188467</v>
      </c>
      <c r="D140" s="14">
        <f>data!AF62</f>
        <v>0</v>
      </c>
      <c r="E140" s="14">
        <f>data!AG62</f>
        <v>314820</v>
      </c>
      <c r="F140" s="14">
        <f>data!AH62</f>
        <v>0</v>
      </c>
      <c r="G140" s="14">
        <f>data!AI62</f>
        <v>4059</v>
      </c>
      <c r="H140" s="14">
        <f>data!AJ62</f>
        <v>524860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645</v>
      </c>
      <c r="D141" s="14">
        <f>data!AF63</f>
        <v>0</v>
      </c>
      <c r="E141" s="14">
        <f>data!AG63</f>
        <v>719212</v>
      </c>
      <c r="F141" s="14">
        <f>data!AH63</f>
        <v>0</v>
      </c>
      <c r="G141" s="14">
        <f>data!AI63</f>
        <v>0</v>
      </c>
      <c r="H141" s="14">
        <f>data!AJ63</f>
        <v>391972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11672</v>
      </c>
      <c r="D142" s="14">
        <f>data!AF64</f>
        <v>0</v>
      </c>
      <c r="E142" s="14">
        <f>data!AG64</f>
        <v>88844</v>
      </c>
      <c r="F142" s="14">
        <f>data!AH64</f>
        <v>348</v>
      </c>
      <c r="G142" s="14">
        <f>data!AI64</f>
        <v>14033</v>
      </c>
      <c r="H142" s="14">
        <f>data!AJ64</f>
        <v>166059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17966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35072</v>
      </c>
      <c r="D144" s="14">
        <f>data!AF66</f>
        <v>0</v>
      </c>
      <c r="E144" s="14">
        <f>data!AG66</f>
        <v>33253</v>
      </c>
      <c r="F144" s="14">
        <f>data!AH66</f>
        <v>41858</v>
      </c>
      <c r="G144" s="14">
        <f>data!AI66</f>
        <v>1035</v>
      </c>
      <c r="H144" s="14">
        <f>data!AJ66</f>
        <v>50698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63178</v>
      </c>
      <c r="D145" s="14">
        <f>data!AF67</f>
        <v>0</v>
      </c>
      <c r="E145" s="14">
        <f>data!AG67</f>
        <v>79095</v>
      </c>
      <c r="F145" s="14">
        <f>data!AH67</f>
        <v>0</v>
      </c>
      <c r="G145" s="14">
        <f>data!AI67</f>
        <v>0</v>
      </c>
      <c r="H145" s="14">
        <f>data!AJ67</f>
        <v>180457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714</v>
      </c>
      <c r="D147" s="14">
        <f>data!AF69</f>
        <v>0</v>
      </c>
      <c r="E147" s="14">
        <f>data!AG69</f>
        <v>14324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916</v>
      </c>
      <c r="C149" s="14">
        <f>data!AE71</f>
        <v>1329063</v>
      </c>
      <c r="D149" s="14">
        <f>data!AF71</f>
        <v>0</v>
      </c>
      <c r="E149" s="14">
        <f>data!AG71</f>
        <v>2603565</v>
      </c>
      <c r="F149" s="14">
        <f>data!AH71</f>
        <v>42206</v>
      </c>
      <c r="G149" s="14">
        <f>data!AI71</f>
        <v>33968</v>
      </c>
      <c r="H149" s="14">
        <f>data!AJ71</f>
        <v>3701437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07"/>
      <c r="D150" s="207"/>
      <c r="E150" s="207"/>
      <c r="F150" s="207"/>
      <c r="G150" s="207"/>
      <c r="H150" s="207"/>
      <c r="I150" s="207"/>
    </row>
    <row r="151" spans="1:9" ht="20.100000000000001" customHeight="1" x14ac:dyDescent="0.25">
      <c r="A151" s="23">
        <v>18</v>
      </c>
      <c r="B151" s="14" t="s">
        <v>917</v>
      </c>
      <c r="C151" s="48">
        <f>+data!M696</f>
        <v>571188</v>
      </c>
      <c r="D151" s="48">
        <f>+data!M697</f>
        <v>0</v>
      </c>
      <c r="E151" s="48">
        <f>+data!M698</f>
        <v>1456701</v>
      </c>
      <c r="F151" s="48">
        <f>+data!M699</f>
        <v>4978</v>
      </c>
      <c r="G151" s="48">
        <f>+data!M700</f>
        <v>11862</v>
      </c>
      <c r="H151" s="48">
        <f>+data!M701</f>
        <v>1014999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918</v>
      </c>
      <c r="C152" s="14">
        <f>data!AE73</f>
        <v>621936</v>
      </c>
      <c r="D152" s="14">
        <f>data!AF73</f>
        <v>0</v>
      </c>
      <c r="E152" s="14">
        <f>data!AG73</f>
        <v>277304</v>
      </c>
      <c r="F152" s="14">
        <f>data!AH73</f>
        <v>0</v>
      </c>
      <c r="G152" s="14">
        <f>data!AI73</f>
        <v>17460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919</v>
      </c>
      <c r="C153" s="14">
        <f>data!AE74</f>
        <v>2479218</v>
      </c>
      <c r="D153" s="14">
        <f>data!AF74</f>
        <v>0</v>
      </c>
      <c r="E153" s="14">
        <f>data!AG74</f>
        <v>8694296</v>
      </c>
      <c r="F153" s="14">
        <f>data!AH74</f>
        <v>0</v>
      </c>
      <c r="G153" s="14">
        <f>data!AI74</f>
        <v>51955</v>
      </c>
      <c r="H153" s="14">
        <f>data!AJ74</f>
        <v>3061694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920</v>
      </c>
      <c r="C154" s="14">
        <f>data!AE75</f>
        <v>3101154</v>
      </c>
      <c r="D154" s="14">
        <f>data!AF75</f>
        <v>0</v>
      </c>
      <c r="E154" s="14">
        <f>data!AG75</f>
        <v>8971600</v>
      </c>
      <c r="F154" s="14">
        <f>data!AH75</f>
        <v>0</v>
      </c>
      <c r="G154" s="14">
        <f>data!AI75</f>
        <v>69415</v>
      </c>
      <c r="H154" s="14">
        <f>data!AJ75</f>
        <v>3061694</v>
      </c>
      <c r="I154" s="14">
        <f>data!AK75</f>
        <v>0</v>
      </c>
    </row>
    <row r="155" spans="1:9" ht="20.100000000000001" customHeight="1" x14ac:dyDescent="0.25">
      <c r="A155" s="23" t="s">
        <v>921</v>
      </c>
      <c r="B155" s="60"/>
      <c r="C155" s="207"/>
      <c r="D155" s="207"/>
      <c r="E155" s="207"/>
      <c r="F155" s="207"/>
      <c r="G155" s="207"/>
      <c r="H155" s="207"/>
      <c r="I155" s="207"/>
    </row>
    <row r="156" spans="1:9" ht="20.100000000000001" customHeight="1" x14ac:dyDescent="0.25">
      <c r="A156" s="23">
        <v>22</v>
      </c>
      <c r="B156" s="14" t="s">
        <v>922</v>
      </c>
      <c r="C156" s="14">
        <f>data!AE76</f>
        <v>2826</v>
      </c>
      <c r="D156" s="14">
        <f>data!AF76</f>
        <v>0</v>
      </c>
      <c r="E156" s="14">
        <f>data!AG76</f>
        <v>3538</v>
      </c>
      <c r="F156" s="14">
        <f>data!AH76</f>
        <v>0</v>
      </c>
      <c r="G156" s="14">
        <f>data!AI76</f>
        <v>0</v>
      </c>
      <c r="H156" s="14">
        <f>data!AJ76</f>
        <v>8072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923</v>
      </c>
      <c r="C157" s="14">
        <f>data!AE77</f>
        <v>0</v>
      </c>
      <c r="D157" s="14">
        <f>data!AF77</f>
        <v>0</v>
      </c>
      <c r="E157" s="14">
        <f>data!AG77</f>
        <v>400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924</v>
      </c>
      <c r="C158" s="14">
        <f>data!AE78</f>
        <v>3100</v>
      </c>
      <c r="D158" s="14">
        <f>data!AF78</f>
        <v>0</v>
      </c>
      <c r="E158" s="14">
        <f>data!AG78</f>
        <v>3800</v>
      </c>
      <c r="F158" s="14">
        <f>data!AH78</f>
        <v>0</v>
      </c>
      <c r="G158" s="14">
        <f>data!AI78</f>
        <v>0</v>
      </c>
      <c r="H158" s="14">
        <f>data!AJ78</f>
        <v>5000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925</v>
      </c>
      <c r="C159" s="14">
        <f>data!AE79</f>
        <v>14136</v>
      </c>
      <c r="D159" s="14">
        <f>data!AF79</f>
        <v>0</v>
      </c>
      <c r="E159" s="14">
        <f>data!AG79</f>
        <v>27302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10</v>
      </c>
      <c r="F160" s="26">
        <f>data!AH80</f>
        <v>0</v>
      </c>
      <c r="G160" s="26">
        <f>data!AI80</f>
        <v>0</v>
      </c>
      <c r="H160" s="26">
        <f>data!AJ80</f>
        <v>1</v>
      </c>
      <c r="I160" s="26">
        <f>data!AK80</f>
        <v>0</v>
      </c>
    </row>
    <row r="161" spans="1:9" ht="20.100000000000001" customHeight="1" x14ac:dyDescent="0.25">
      <c r="A161" s="4" t="s">
        <v>909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942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Arbor Health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911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943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944</v>
      </c>
      <c r="F167" s="18" t="s">
        <v>182</v>
      </c>
      <c r="G167" s="18" t="s">
        <v>121</v>
      </c>
      <c r="H167" s="88" t="s">
        <v>945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915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916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07"/>
      <c r="D182" s="207"/>
      <c r="E182" s="207"/>
      <c r="F182" s="207"/>
      <c r="G182" s="207"/>
      <c r="H182" s="207"/>
      <c r="I182" s="207"/>
    </row>
    <row r="183" spans="1:9" ht="20.100000000000001" customHeight="1" x14ac:dyDescent="0.25">
      <c r="A183" s="23">
        <v>18</v>
      </c>
      <c r="B183" s="14" t="s">
        <v>917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918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919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920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921</v>
      </c>
      <c r="B187" s="60"/>
      <c r="C187" s="207"/>
      <c r="D187" s="207"/>
      <c r="E187" s="207"/>
      <c r="F187" s="207"/>
      <c r="G187" s="207"/>
      <c r="H187" s="207"/>
      <c r="I187" s="207"/>
    </row>
    <row r="188" spans="1:9" ht="20.100000000000001" customHeight="1" x14ac:dyDescent="0.25">
      <c r="A188" s="23">
        <v>22</v>
      </c>
      <c r="B188" s="14" t="s">
        <v>922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923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924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925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909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946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Arbor Health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911</v>
      </c>
      <c r="C198" s="25"/>
      <c r="D198" s="18" t="s">
        <v>130</v>
      </c>
      <c r="E198" s="18" t="s">
        <v>131</v>
      </c>
      <c r="F198" s="18" t="s">
        <v>132</v>
      </c>
      <c r="G198" s="18" t="s">
        <v>947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948</v>
      </c>
      <c r="E199" s="18" t="s">
        <v>949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915</v>
      </c>
      <c r="C200" s="15" t="s">
        <v>226</v>
      </c>
      <c r="D200" s="15" t="s">
        <v>948</v>
      </c>
      <c r="E200" s="15" t="s">
        <v>228</v>
      </c>
      <c r="F200" s="208"/>
      <c r="G200" s="208"/>
      <c r="H200" s="208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08"/>
      <c r="G201" s="208"/>
      <c r="H201" s="208"/>
      <c r="I201" s="14">
        <f>data!AY59</f>
        <v>58125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0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245590</v>
      </c>
      <c r="G203" s="14">
        <f>data!AW61</f>
        <v>0</v>
      </c>
      <c r="H203" s="14">
        <f>data!AX61</f>
        <v>0</v>
      </c>
      <c r="I203" s="14">
        <f>data!AY61</f>
        <v>311750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60205</v>
      </c>
      <c r="G204" s="14">
        <f>data!AW62</f>
        <v>0</v>
      </c>
      <c r="H204" s="14">
        <f>data!AX62</f>
        <v>0</v>
      </c>
      <c r="I204" s="14">
        <f>data!AY62</f>
        <v>76476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75594</v>
      </c>
      <c r="G205" s="14">
        <f>data!AW63</f>
        <v>0</v>
      </c>
      <c r="H205" s="14">
        <f>data!AX63</f>
        <v>0</v>
      </c>
      <c r="I205" s="14">
        <f>data!AY63</f>
        <v>10615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87746</v>
      </c>
      <c r="G206" s="14">
        <f>data!AW64</f>
        <v>0</v>
      </c>
      <c r="H206" s="14">
        <f>data!AX64</f>
        <v>0</v>
      </c>
      <c r="I206" s="14">
        <f>data!AY64</f>
        <v>222917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105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2291</v>
      </c>
      <c r="G208" s="14">
        <f>data!AW66</f>
        <v>0</v>
      </c>
      <c r="H208" s="14">
        <f>data!AX66</f>
        <v>0</v>
      </c>
      <c r="I208" s="14">
        <f>data!AY66</f>
        <v>166221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74065</v>
      </c>
      <c r="G209" s="14">
        <f>data!AW67</f>
        <v>0</v>
      </c>
      <c r="H209" s="14">
        <f>data!AX67</f>
        <v>0</v>
      </c>
      <c r="I209" s="14">
        <f>data!AY67</f>
        <v>62954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11841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916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545491</v>
      </c>
      <c r="G213" s="14">
        <f>data!AW71</f>
        <v>0</v>
      </c>
      <c r="H213" s="14">
        <f>data!AX71</f>
        <v>0</v>
      </c>
      <c r="I213" s="14">
        <f>data!AY71</f>
        <v>862879</v>
      </c>
    </row>
    <row r="214" spans="1:9" ht="20.100000000000001" customHeight="1" x14ac:dyDescent="0.25">
      <c r="A214" s="23">
        <v>17</v>
      </c>
      <c r="B214" s="14" t="s">
        <v>244</v>
      </c>
      <c r="C214" s="207"/>
      <c r="D214" s="207"/>
      <c r="E214" s="207"/>
      <c r="F214" s="207"/>
      <c r="G214" s="207"/>
      <c r="H214" s="207"/>
      <c r="I214" s="207"/>
    </row>
    <row r="215" spans="1:9" ht="20.100000000000001" customHeight="1" x14ac:dyDescent="0.25">
      <c r="A215" s="23">
        <v>18</v>
      </c>
      <c r="B215" s="14" t="s">
        <v>917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242849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918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194836</v>
      </c>
      <c r="G216" s="209" t="str">
        <f>IF(data!AW73&gt;0,data!AW73,"")</f>
        <v>x</v>
      </c>
      <c r="H216" s="209" t="str">
        <f>IF(data!AX73&gt;0,data!AX73,"")</f>
        <v>x</v>
      </c>
      <c r="I216" s="209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919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378518</v>
      </c>
      <c r="G217" s="209" t="str">
        <f>IF(data!AW74&gt;0,data!AW74,"")</f>
        <v>x</v>
      </c>
      <c r="H217" s="209" t="str">
        <f>IF(data!AX74&gt;0,data!AX74,"")</f>
        <v>x</v>
      </c>
      <c r="I217" s="209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920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573354</v>
      </c>
      <c r="G218" s="209" t="str">
        <f>IF(data!AW75&gt;0,data!AW75,"")</f>
        <v>x</v>
      </c>
      <c r="H218" s="209" t="str">
        <f>IF(data!AX75&gt;0,data!AX75,"")</f>
        <v>x</v>
      </c>
      <c r="I218" s="209" t="str">
        <f>IF(data!AY75&gt;0,data!AY75,"")</f>
        <v>x</v>
      </c>
    </row>
    <row r="219" spans="1:9" ht="20.100000000000001" customHeight="1" x14ac:dyDescent="0.25">
      <c r="A219" s="23" t="s">
        <v>921</v>
      </c>
      <c r="B219" s="60"/>
      <c r="C219" s="207"/>
      <c r="D219" s="207"/>
      <c r="E219" s="207"/>
      <c r="F219" s="207"/>
      <c r="G219" s="207"/>
      <c r="H219" s="207"/>
      <c r="I219" s="207"/>
    </row>
    <row r="220" spans="1:9" ht="20.100000000000001" customHeight="1" x14ac:dyDescent="0.25">
      <c r="A220" s="23">
        <v>22</v>
      </c>
      <c r="B220" s="14" t="s">
        <v>922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3313</v>
      </c>
      <c r="G220" s="14">
        <f>data!AW76</f>
        <v>0</v>
      </c>
      <c r="H220" s="14">
        <f>data!AX76</f>
        <v>0</v>
      </c>
      <c r="I220" s="85">
        <f>data!AY76</f>
        <v>2816</v>
      </c>
    </row>
    <row r="221" spans="1:9" ht="20.100000000000001" customHeight="1" x14ac:dyDescent="0.25">
      <c r="A221" s="23">
        <v>23</v>
      </c>
      <c r="B221" s="14" t="s">
        <v>923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09" t="str">
        <f>IF(data!AX77&gt;0,data!AX77,"")</f>
        <v>x</v>
      </c>
      <c r="I221" s="209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924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2000</v>
      </c>
      <c r="G222" s="14">
        <f>data!AW78</f>
        <v>0</v>
      </c>
      <c r="H222" s="209" t="str">
        <f>IF(data!AX78&gt;0,data!AX78,"")</f>
        <v>x</v>
      </c>
      <c r="I222" s="209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925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7040</v>
      </c>
      <c r="G223" s="14">
        <f>data!AW79</f>
        <v>0</v>
      </c>
      <c r="H223" s="209" t="str">
        <f>IF(data!AX79&gt;0,data!AX79,"")</f>
        <v>x</v>
      </c>
      <c r="I223" s="209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09" t="str">
        <f>IF(data!AW80&gt;0,data!AW80,"")</f>
        <v>x</v>
      </c>
      <c r="H224" s="209" t="str">
        <f>IF(data!AX80&gt;0,data!AX80,"")</f>
        <v>x</v>
      </c>
      <c r="I224" s="209" t="str">
        <f>IF(data!AY80&gt;0,data!AY80,"")</f>
        <v>x</v>
      </c>
    </row>
    <row r="225" spans="1:9" ht="20.100000000000001" customHeight="1" x14ac:dyDescent="0.25">
      <c r="A225" s="4" t="s">
        <v>909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950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Arbor Health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911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951</v>
      </c>
      <c r="F231" s="18" t="s">
        <v>952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915</v>
      </c>
      <c r="C232" s="15" t="s">
        <v>953</v>
      </c>
      <c r="D232" s="15" t="s">
        <v>954</v>
      </c>
      <c r="E232" s="208"/>
      <c r="F232" s="208"/>
      <c r="G232" s="208"/>
      <c r="H232" s="15" t="s">
        <v>232</v>
      </c>
      <c r="I232" s="208"/>
    </row>
    <row r="233" spans="1:9" ht="20.100000000000001" customHeight="1" x14ac:dyDescent="0.25">
      <c r="A233" s="23">
        <v>4</v>
      </c>
      <c r="B233" s="14" t="s">
        <v>233</v>
      </c>
      <c r="C233" s="14" t="str">
        <f>data!AZ59</f>
        <v xml:space="preserve"> </v>
      </c>
      <c r="D233" s="14">
        <f>data!BA59</f>
        <v>0</v>
      </c>
      <c r="E233" s="208"/>
      <c r="F233" s="208"/>
      <c r="G233" s="208"/>
      <c r="H233" s="14">
        <f>data!BE59</f>
        <v>78440</v>
      </c>
      <c r="I233" s="208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0</v>
      </c>
      <c r="I234" s="26">
        <f>data!BF60</f>
        <v>0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92655</v>
      </c>
      <c r="E235" s="14">
        <f>data!BB61</f>
        <v>69074</v>
      </c>
      <c r="F235" s="14">
        <f>data!BC61</f>
        <v>31130</v>
      </c>
      <c r="G235" s="14">
        <f>data!BD61</f>
        <v>84595</v>
      </c>
      <c r="H235" s="14">
        <f>data!BE61</f>
        <v>319827</v>
      </c>
      <c r="I235" s="14">
        <f>data!BF61</f>
        <v>335554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23300</v>
      </c>
      <c r="E236" s="14">
        <f>data!BB62</f>
        <v>19436</v>
      </c>
      <c r="F236" s="14">
        <f>data!BC62</f>
        <v>6693</v>
      </c>
      <c r="G236" s="14">
        <f>data!BD62</f>
        <v>23123</v>
      </c>
      <c r="H236" s="14">
        <f>data!BE62</f>
        <v>76237</v>
      </c>
      <c r="I236" s="14">
        <f>data!BF62</f>
        <v>76579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550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19003</v>
      </c>
      <c r="E238" s="14">
        <f>data!BB64</f>
        <v>0</v>
      </c>
      <c r="F238" s="14">
        <f>data!BC64</f>
        <v>34</v>
      </c>
      <c r="G238" s="14">
        <f>data!BD64</f>
        <v>1643</v>
      </c>
      <c r="H238" s="14">
        <f>data!BE64</f>
        <v>26780</v>
      </c>
      <c r="I238" s="14">
        <f>data!BF64</f>
        <v>44384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3628</v>
      </c>
      <c r="G239" s="14">
        <f>data!BD65</f>
        <v>0</v>
      </c>
      <c r="H239" s="14">
        <f>data!BE65</f>
        <v>229700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6561</v>
      </c>
      <c r="E240" s="14">
        <f>data!BB66</f>
        <v>1075</v>
      </c>
      <c r="F240" s="14">
        <f>data!BC66</f>
        <v>14</v>
      </c>
      <c r="G240" s="14">
        <f>data!BD66</f>
        <v>18849</v>
      </c>
      <c r="H240" s="14">
        <f>data!BE66</f>
        <v>186038</v>
      </c>
      <c r="I240" s="14">
        <f>data!BF66</f>
        <v>4364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15135</v>
      </c>
      <c r="E241" s="14">
        <f>data!BB67</f>
        <v>0</v>
      </c>
      <c r="F241" s="14">
        <f>data!BC67</f>
        <v>0</v>
      </c>
      <c r="G241" s="14">
        <f>data!BD67</f>
        <v>16856</v>
      </c>
      <c r="H241" s="14">
        <f>data!BE67</f>
        <v>541774</v>
      </c>
      <c r="I241" s="14">
        <f>data!BF67</f>
        <v>8920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0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916</v>
      </c>
      <c r="C245" s="14">
        <f>data!AZ71</f>
        <v>0</v>
      </c>
      <c r="D245" s="14">
        <f>data!BA71</f>
        <v>156654</v>
      </c>
      <c r="E245" s="14">
        <f>data!BB71</f>
        <v>89585</v>
      </c>
      <c r="F245" s="14">
        <f>data!BC71</f>
        <v>41499</v>
      </c>
      <c r="G245" s="14">
        <f>data!BD71</f>
        <v>145066</v>
      </c>
      <c r="H245" s="14">
        <f>data!BE71</f>
        <v>1380906</v>
      </c>
      <c r="I245" s="14">
        <f>data!BF71</f>
        <v>469801</v>
      </c>
    </row>
    <row r="246" spans="1:9" ht="20.100000000000001" customHeight="1" x14ac:dyDescent="0.25">
      <c r="A246" s="23">
        <v>17</v>
      </c>
      <c r="B246" s="14" t="s">
        <v>244</v>
      </c>
      <c r="C246" s="207"/>
      <c r="D246" s="207"/>
      <c r="E246" s="207"/>
      <c r="F246" s="207"/>
      <c r="G246" s="207"/>
      <c r="H246" s="207"/>
      <c r="I246" s="207"/>
    </row>
    <row r="247" spans="1:9" ht="20.100000000000001" customHeight="1" x14ac:dyDescent="0.25">
      <c r="A247" s="23">
        <v>18</v>
      </c>
      <c r="B247" s="14" t="s">
        <v>917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918</v>
      </c>
      <c r="C248" s="209" t="str">
        <f>IF(data!AZ73&gt;0,data!AZ73,"")</f>
        <v>x</v>
      </c>
      <c r="D248" s="209" t="str">
        <f>IF(data!BA73&gt;0,data!BA73,"")</f>
        <v>x</v>
      </c>
      <c r="E248" s="209" t="str">
        <f>IF(data!BB73&gt;0,data!BB73,"")</f>
        <v>x</v>
      </c>
      <c r="F248" s="209" t="str">
        <f>IF(data!BC73&gt;0,data!BC73,"")</f>
        <v>x</v>
      </c>
      <c r="G248" s="209" t="str">
        <f>IF(data!BD73&gt;0,data!BD73,"")</f>
        <v>x</v>
      </c>
      <c r="H248" s="209" t="str">
        <f>IF(data!BE73&gt;0,data!BE73,"")</f>
        <v>x</v>
      </c>
      <c r="I248" s="209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919</v>
      </c>
      <c r="C249" s="209" t="str">
        <f>IF(data!AZ74&gt;0,data!AZ74,"")</f>
        <v>x</v>
      </c>
      <c r="D249" s="209" t="str">
        <f>IF(data!BA74&gt;0,data!BA74,"")</f>
        <v>x</v>
      </c>
      <c r="E249" s="209" t="str">
        <f>IF(data!BB74&gt;0,data!BB74,"")</f>
        <v>x</v>
      </c>
      <c r="F249" s="209" t="str">
        <f>IF(data!BC74&gt;0,data!BC74,"")</f>
        <v>x</v>
      </c>
      <c r="G249" s="209" t="str">
        <f>IF(data!BD74&gt;0,data!BD74,"")</f>
        <v>x</v>
      </c>
      <c r="H249" s="209" t="str">
        <f>IF(data!BE74&gt;0,data!BE74,"")</f>
        <v>x</v>
      </c>
      <c r="I249" s="209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920</v>
      </c>
      <c r="C250" s="209" t="str">
        <f>IF(data!AZ75&gt;0,data!AZ75,"")</f>
        <v>x</v>
      </c>
      <c r="D250" s="209" t="str">
        <f>IF(data!BA75&gt;0,data!BA75,"")</f>
        <v>x</v>
      </c>
      <c r="E250" s="209" t="str">
        <f>IF(data!BB75&gt;0,data!BB75,"")</f>
        <v>x</v>
      </c>
      <c r="F250" s="209" t="str">
        <f>IF(data!BC75&gt;0,data!BC75,"")</f>
        <v>x</v>
      </c>
      <c r="G250" s="209" t="str">
        <f>IF(data!BD75&gt;0,data!BD75,"")</f>
        <v>x</v>
      </c>
      <c r="H250" s="209" t="str">
        <f>IF(data!BE75&gt;0,data!BE75,"")</f>
        <v>x</v>
      </c>
      <c r="I250" s="209" t="str">
        <f>IF(data!BF75&gt;0,data!BF75,"")</f>
        <v>x</v>
      </c>
    </row>
    <row r="251" spans="1:9" ht="20.100000000000001" customHeight="1" x14ac:dyDescent="0.25">
      <c r="A251" s="23" t="s">
        <v>921</v>
      </c>
      <c r="B251" s="60"/>
      <c r="C251" s="207"/>
      <c r="D251" s="207"/>
      <c r="E251" s="207"/>
      <c r="F251" s="207"/>
      <c r="G251" s="207"/>
      <c r="H251" s="207"/>
      <c r="I251" s="207"/>
    </row>
    <row r="252" spans="1:9" ht="20.100000000000001" customHeight="1" x14ac:dyDescent="0.25">
      <c r="A252" s="23">
        <v>22</v>
      </c>
      <c r="B252" s="14" t="s">
        <v>922</v>
      </c>
      <c r="C252" s="85">
        <f>data!AZ76</f>
        <v>0</v>
      </c>
      <c r="D252" s="85">
        <f>data!BA76</f>
        <v>677</v>
      </c>
      <c r="E252" s="85">
        <f>data!BB76</f>
        <v>0</v>
      </c>
      <c r="F252" s="85">
        <f>data!BC76</f>
        <v>0</v>
      </c>
      <c r="G252" s="85">
        <f>data!BD76</f>
        <v>754</v>
      </c>
      <c r="H252" s="85">
        <f>data!BE76</f>
        <v>24234</v>
      </c>
      <c r="I252" s="85">
        <f>data!BF76</f>
        <v>399</v>
      </c>
    </row>
    <row r="253" spans="1:9" ht="20.100000000000001" customHeight="1" x14ac:dyDescent="0.25">
      <c r="A253" s="23">
        <v>23</v>
      </c>
      <c r="B253" s="14" t="s">
        <v>923</v>
      </c>
      <c r="C253" s="85">
        <f>data!AZ77</f>
        <v>43813</v>
      </c>
      <c r="D253" s="85">
        <f>data!BA77</f>
        <v>0</v>
      </c>
      <c r="E253" s="85">
        <f>data!BB77</f>
        <v>0</v>
      </c>
      <c r="F253" s="85">
        <f>data!BC77</f>
        <v>0</v>
      </c>
      <c r="G253" s="209" t="str">
        <f>IF(data!BD77&gt;0,data!BD77,"")</f>
        <v>x</v>
      </c>
      <c r="H253" s="209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924</v>
      </c>
      <c r="C254" s="209" t="str">
        <f>IF(data!AZ78&gt;0,data!AZ78,"")</f>
        <v>x</v>
      </c>
      <c r="D254" s="85">
        <f>data!BA78</f>
        <v>700</v>
      </c>
      <c r="E254" s="85">
        <f>data!BB78</f>
        <v>0</v>
      </c>
      <c r="F254" s="85">
        <f>data!BC78</f>
        <v>0</v>
      </c>
      <c r="G254" s="209" t="str">
        <f>IF(data!BD78&gt;0,data!BD78,"")</f>
        <v>x</v>
      </c>
      <c r="H254" s="209" t="str">
        <f>IF(data!BE78&gt;0,data!BE78,"")</f>
        <v>x</v>
      </c>
      <c r="I254" s="209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925</v>
      </c>
      <c r="C255" s="209" t="str">
        <f>IF(data!AZ79&gt;0,data!AZ79,"")</f>
        <v>x</v>
      </c>
      <c r="D255" s="209" t="str">
        <f>IF(data!BA79&gt;0,data!BA79,"")</f>
        <v>x</v>
      </c>
      <c r="E255" s="85">
        <f>data!BB79</f>
        <v>0</v>
      </c>
      <c r="F255" s="85">
        <f>data!BC79</f>
        <v>0</v>
      </c>
      <c r="G255" s="209" t="str">
        <f>IF(data!BD79&gt;0,data!BD79,"")</f>
        <v>x</v>
      </c>
      <c r="H255" s="209" t="str">
        <f>IF(data!BE79&gt;0,data!BE79,"")</f>
        <v>x</v>
      </c>
      <c r="I255" s="209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09" t="str">
        <f>IF(data!AZ80&gt;0,data!AZ80,"")</f>
        <v>x</v>
      </c>
      <c r="D256" s="209" t="str">
        <f>IF(data!BA80&gt;0,data!BA80,"")</f>
        <v>x</v>
      </c>
      <c r="E256" s="209" t="str">
        <f>IF(data!BB80&gt;0,data!BB80,"")</f>
        <v>x</v>
      </c>
      <c r="F256" s="209" t="str">
        <f>IF(data!BC80&gt;0,data!BC80,"")</f>
        <v>x</v>
      </c>
      <c r="G256" s="209" t="str">
        <f>IF(data!BD80&gt;0,data!BD80,"")</f>
        <v>x</v>
      </c>
      <c r="H256" s="209" t="str">
        <f>IF(data!BE80&gt;0,data!BE80,"")</f>
        <v>x</v>
      </c>
      <c r="I256" s="209" t="str">
        <f>IF(data!BF80&gt;0,data!BF80,"")</f>
        <v>x</v>
      </c>
    </row>
    <row r="257" spans="1:9" ht="20.100000000000001" customHeight="1" x14ac:dyDescent="0.25">
      <c r="A257" s="4" t="s">
        <v>909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955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Arbor Health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911</v>
      </c>
      <c r="C262" s="18" t="s">
        <v>956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957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958</v>
      </c>
    </row>
    <row r="264" spans="1:9" ht="20.100000000000001" customHeight="1" x14ac:dyDescent="0.25">
      <c r="A264" s="23">
        <v>3</v>
      </c>
      <c r="B264" s="14" t="s">
        <v>915</v>
      </c>
      <c r="C264" s="208"/>
      <c r="D264" s="208"/>
      <c r="E264" s="208"/>
      <c r="F264" s="208"/>
      <c r="G264" s="208"/>
      <c r="H264" s="208"/>
      <c r="I264" s="208"/>
    </row>
    <row r="265" spans="1:9" ht="20.100000000000001" customHeight="1" x14ac:dyDescent="0.25">
      <c r="A265" s="23">
        <v>4</v>
      </c>
      <c r="B265" s="14" t="s">
        <v>233</v>
      </c>
      <c r="C265" s="208"/>
      <c r="D265" s="208"/>
      <c r="E265" s="208"/>
      <c r="F265" s="208"/>
      <c r="G265" s="208"/>
      <c r="H265" s="208"/>
      <c r="I265" s="208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47408</v>
      </c>
      <c r="D267" s="14">
        <f>data!BH61</f>
        <v>528773</v>
      </c>
      <c r="E267" s="14">
        <f>data!BI61</f>
        <v>0</v>
      </c>
      <c r="F267" s="14">
        <f>data!BJ61</f>
        <v>270187</v>
      </c>
      <c r="G267" s="14">
        <f>data!BK61</f>
        <v>467014</v>
      </c>
      <c r="H267" s="14">
        <f>data!BL61</f>
        <v>351309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12796</v>
      </c>
      <c r="D268" s="14">
        <f>data!BH62</f>
        <v>128126</v>
      </c>
      <c r="E268" s="14">
        <f>data!BI62</f>
        <v>0</v>
      </c>
      <c r="F268" s="14">
        <f>data!BJ62</f>
        <v>72280</v>
      </c>
      <c r="G268" s="14">
        <f>data!BK62</f>
        <v>115664</v>
      </c>
      <c r="H268" s="14">
        <f>data!BL62</f>
        <v>85263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106052</v>
      </c>
      <c r="E269" s="14">
        <f>data!BI63</f>
        <v>0</v>
      </c>
      <c r="F269" s="14">
        <f>data!BJ63</f>
        <v>71796</v>
      </c>
      <c r="G269" s="14">
        <f>data!BK63</f>
        <v>227575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53516</v>
      </c>
      <c r="E270" s="14">
        <f>data!BI64</f>
        <v>0</v>
      </c>
      <c r="F270" s="14">
        <f>data!BJ64</f>
        <v>5525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162860</v>
      </c>
      <c r="E271" s="14">
        <f>data!BI65</f>
        <v>500</v>
      </c>
      <c r="F271" s="14">
        <f>data!BJ65</f>
        <v>0</v>
      </c>
      <c r="G271" s="14">
        <f>data!BK65</f>
        <v>0</v>
      </c>
      <c r="H271" s="14">
        <f>data!BL65</f>
        <v>2227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181434</v>
      </c>
      <c r="D272" s="14">
        <f>data!BH66</f>
        <v>745889</v>
      </c>
      <c r="E272" s="14">
        <f>data!BI66</f>
        <v>0</v>
      </c>
      <c r="F272" s="14">
        <f>data!BJ66</f>
        <v>12826</v>
      </c>
      <c r="G272" s="14">
        <f>data!BK66</f>
        <v>43400</v>
      </c>
      <c r="H272" s="14">
        <f>data!BL66</f>
        <v>16456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10194</v>
      </c>
      <c r="D273" s="14">
        <f>data!BH67</f>
        <v>1788</v>
      </c>
      <c r="E273" s="14">
        <f>data!BI67</f>
        <v>0</v>
      </c>
      <c r="F273" s="14">
        <f>data!BJ67</f>
        <v>30628</v>
      </c>
      <c r="G273" s="14">
        <f>data!BK67</f>
        <v>30628</v>
      </c>
      <c r="H273" s="14">
        <f>data!BL67</f>
        <v>13771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18049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3851</v>
      </c>
      <c r="H275" s="14">
        <f>data!BL69</f>
        <v>8835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916</v>
      </c>
      <c r="C277" s="14">
        <f>data!BG71</f>
        <v>269881</v>
      </c>
      <c r="D277" s="14">
        <f>data!BH71</f>
        <v>1727004</v>
      </c>
      <c r="E277" s="14">
        <f>data!BI71</f>
        <v>500</v>
      </c>
      <c r="F277" s="14">
        <f>data!BJ71</f>
        <v>463242</v>
      </c>
      <c r="G277" s="14">
        <f>data!BK71</f>
        <v>888132</v>
      </c>
      <c r="H277" s="14">
        <f>data!BL71</f>
        <v>477861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07"/>
      <c r="D278" s="207"/>
      <c r="E278" s="207"/>
      <c r="F278" s="207"/>
      <c r="G278" s="207"/>
      <c r="H278" s="207"/>
      <c r="I278" s="207"/>
    </row>
    <row r="279" spans="1:9" ht="20.100000000000001" customHeight="1" x14ac:dyDescent="0.25">
      <c r="A279" s="23">
        <v>18</v>
      </c>
      <c r="B279" s="14" t="s">
        <v>917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918</v>
      </c>
      <c r="C280" s="209" t="str">
        <f>IF(data!BG73&gt;0,data!BG73,"")</f>
        <v>x</v>
      </c>
      <c r="D280" s="209" t="str">
        <f>IF(data!BH73&gt;0,data!BH73,"")</f>
        <v>x</v>
      </c>
      <c r="E280" s="209" t="str">
        <f>IF(data!BI73&gt;0,data!BI73,"")</f>
        <v>x</v>
      </c>
      <c r="F280" s="209" t="str">
        <f>IF(data!BJ73&gt;0,data!BJ73,"")</f>
        <v>x</v>
      </c>
      <c r="G280" s="209" t="str">
        <f>IF(data!BK73&gt;0,data!BK73,"")</f>
        <v>x</v>
      </c>
      <c r="H280" s="209" t="str">
        <f>IF(data!BL73&gt;0,data!BL73,"")</f>
        <v>x</v>
      </c>
      <c r="I280" s="209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919</v>
      </c>
      <c r="C281" s="209" t="str">
        <f>IF(data!BG74&gt;0,data!BG74,"")</f>
        <v>x</v>
      </c>
      <c r="D281" s="209" t="str">
        <f>IF(data!BH74&gt;0,data!BH74,"")</f>
        <v>x</v>
      </c>
      <c r="E281" s="209" t="str">
        <f>IF(data!BI74&gt;0,data!BI74,"")</f>
        <v>x</v>
      </c>
      <c r="F281" s="209" t="str">
        <f>IF(data!BJ74&gt;0,data!BJ74,"")</f>
        <v>x</v>
      </c>
      <c r="G281" s="209" t="str">
        <f>IF(data!BK74&gt;0,data!BK74,"")</f>
        <v>x</v>
      </c>
      <c r="H281" s="209" t="str">
        <f>IF(data!BL74&gt;0,data!BL74,"")</f>
        <v>x</v>
      </c>
      <c r="I281" s="209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920</v>
      </c>
      <c r="C282" s="209" t="str">
        <f>IF(data!BG75&gt;0,data!BG75,"")</f>
        <v>x</v>
      </c>
      <c r="D282" s="209" t="str">
        <f>IF(data!BH75&gt;0,data!BH75,"")</f>
        <v>x</v>
      </c>
      <c r="E282" s="209" t="str">
        <f>IF(data!BI75&gt;0,data!BI75,"")</f>
        <v>x</v>
      </c>
      <c r="F282" s="209" t="str">
        <f>IF(data!BJ75&gt;0,data!BJ75,"")</f>
        <v>x</v>
      </c>
      <c r="G282" s="209" t="str">
        <f>IF(data!BK75&gt;0,data!BK75,"")</f>
        <v>x</v>
      </c>
      <c r="H282" s="209" t="str">
        <f>IF(data!BL75&gt;0,data!BL75,"")</f>
        <v>x</v>
      </c>
      <c r="I282" s="209" t="str">
        <f>IF(data!BM75&gt;0,data!BM75,"")</f>
        <v>x</v>
      </c>
    </row>
    <row r="283" spans="1:9" ht="20.100000000000001" customHeight="1" x14ac:dyDescent="0.25">
      <c r="A283" s="23" t="s">
        <v>921</v>
      </c>
      <c r="B283" s="60"/>
      <c r="C283" s="211"/>
      <c r="D283" s="211"/>
      <c r="E283" s="211"/>
      <c r="F283" s="211"/>
      <c r="G283" s="211"/>
      <c r="H283" s="211"/>
      <c r="I283" s="211"/>
    </row>
    <row r="284" spans="1:9" ht="20.100000000000001" customHeight="1" x14ac:dyDescent="0.25">
      <c r="A284" s="23">
        <v>22</v>
      </c>
      <c r="B284" s="14" t="s">
        <v>922</v>
      </c>
      <c r="C284" s="85">
        <f>data!BG76</f>
        <v>456</v>
      </c>
      <c r="D284" s="85">
        <f>data!BH76</f>
        <v>80</v>
      </c>
      <c r="E284" s="85">
        <f>data!BI76</f>
        <v>0</v>
      </c>
      <c r="F284" s="85">
        <f>data!BJ76</f>
        <v>1370</v>
      </c>
      <c r="G284" s="85">
        <f>data!BK76</f>
        <v>1370</v>
      </c>
      <c r="H284" s="85">
        <f>data!BL76</f>
        <v>616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923</v>
      </c>
      <c r="C285" s="209" t="str">
        <f>IF(data!BG77&gt;0,data!BG77,"")</f>
        <v>x</v>
      </c>
      <c r="D285" s="85">
        <f>data!BH77</f>
        <v>0</v>
      </c>
      <c r="E285" s="85">
        <f>data!BI77</f>
        <v>0</v>
      </c>
      <c r="F285" s="209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924</v>
      </c>
      <c r="C286" s="209" t="str">
        <f>IF(data!BG78&gt;0,data!BG78,"")</f>
        <v>x</v>
      </c>
      <c r="D286" s="85">
        <f>data!BH78</f>
        <v>100</v>
      </c>
      <c r="E286" s="85">
        <f>data!BI78</f>
        <v>0</v>
      </c>
      <c r="F286" s="209" t="str">
        <f>IF(data!BJ78&gt;0,data!BJ78,"")</f>
        <v>x</v>
      </c>
      <c r="G286" s="85">
        <f>data!BK78</f>
        <v>1300</v>
      </c>
      <c r="H286" s="85">
        <f>data!BL78</f>
        <v>600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925</v>
      </c>
      <c r="C287" s="209" t="str">
        <f>IF(data!BG79&gt;0,data!BG79,"")</f>
        <v>x</v>
      </c>
      <c r="D287" s="85">
        <f>data!BH79</f>
        <v>0</v>
      </c>
      <c r="E287" s="85">
        <f>data!BI79</f>
        <v>46455</v>
      </c>
      <c r="F287" s="209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09" t="str">
        <f>IF(data!BG80&gt;0,data!BG80,"")</f>
        <v>x</v>
      </c>
      <c r="D288" s="209" t="str">
        <f>IF(data!BH80&gt;0,data!BH80,"")</f>
        <v>x</v>
      </c>
      <c r="E288" s="209" t="str">
        <f>IF(data!BI80&gt;0,data!BI80,"")</f>
        <v>x</v>
      </c>
      <c r="F288" s="209" t="str">
        <f>IF(data!BJ80&gt;0,data!BJ80,"")</f>
        <v>x</v>
      </c>
      <c r="G288" s="209" t="str">
        <f>IF(data!BK80&gt;0,data!BK80,"")</f>
        <v>x</v>
      </c>
      <c r="H288" s="209" t="str">
        <f>IF(data!BL80&gt;0,data!BL80,"")</f>
        <v>x</v>
      </c>
      <c r="I288" s="209" t="str">
        <f>IF(data!BM80&gt;0,data!BM80,"")</f>
        <v>x</v>
      </c>
    </row>
    <row r="289" spans="1:9" ht="20.100000000000001" customHeight="1" x14ac:dyDescent="0.25">
      <c r="A289" s="4" t="s">
        <v>909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959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Arbor Health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911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960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915</v>
      </c>
      <c r="C296" s="208"/>
      <c r="D296" s="208"/>
      <c r="E296" s="208"/>
      <c r="F296" s="208"/>
      <c r="G296" s="208"/>
      <c r="H296" s="208"/>
      <c r="I296" s="208"/>
    </row>
    <row r="297" spans="1:9" ht="20.100000000000001" customHeight="1" x14ac:dyDescent="0.25">
      <c r="A297" s="23">
        <v>4</v>
      </c>
      <c r="B297" s="14" t="s">
        <v>233</v>
      </c>
      <c r="C297" s="208"/>
      <c r="D297" s="208"/>
      <c r="E297" s="208"/>
      <c r="F297" s="208"/>
      <c r="G297" s="208"/>
      <c r="H297" s="208"/>
      <c r="I297" s="208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0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611073</v>
      </c>
      <c r="D299" s="14">
        <f>data!BO61</f>
        <v>84262</v>
      </c>
      <c r="E299" s="14">
        <f>data!BP61</f>
        <v>0</v>
      </c>
      <c r="F299" s="14">
        <f>data!BQ61</f>
        <v>0</v>
      </c>
      <c r="G299" s="14">
        <f>data!BR61</f>
        <v>245196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143402</v>
      </c>
      <c r="D300" s="14">
        <f>data!BO62</f>
        <v>22056</v>
      </c>
      <c r="E300" s="14">
        <f>data!BP62</f>
        <v>0</v>
      </c>
      <c r="F300" s="14">
        <f>data!BQ62</f>
        <v>0</v>
      </c>
      <c r="G300" s="14">
        <f>data!BR62</f>
        <v>70658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71269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99668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16499</v>
      </c>
      <c r="D302" s="14">
        <f>data!BO64</f>
        <v>12962</v>
      </c>
      <c r="E302" s="14">
        <f>data!BP64</f>
        <v>0</v>
      </c>
      <c r="F302" s="14">
        <f>data!BQ64</f>
        <v>0</v>
      </c>
      <c r="G302" s="14">
        <f>data!BR64</f>
        <v>8017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405645</v>
      </c>
      <c r="D304" s="14">
        <f>data!BO66</f>
        <v>98505</v>
      </c>
      <c r="E304" s="14">
        <f>data!BP66</f>
        <v>0</v>
      </c>
      <c r="F304" s="14">
        <f>data!BQ66</f>
        <v>0</v>
      </c>
      <c r="G304" s="14">
        <f>data!BR66</f>
        <v>120723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19919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12564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272850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916</v>
      </c>
      <c r="C309" s="14">
        <f>data!BN71</f>
        <v>1540657</v>
      </c>
      <c r="D309" s="14">
        <f>data!BO71</f>
        <v>217785</v>
      </c>
      <c r="E309" s="14">
        <f>data!BP71</f>
        <v>0</v>
      </c>
      <c r="F309" s="14">
        <f>data!BQ71</f>
        <v>0</v>
      </c>
      <c r="G309" s="14">
        <f>data!BR71</f>
        <v>556826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07"/>
      <c r="D310" s="207"/>
      <c r="E310" s="207"/>
      <c r="F310" s="207"/>
      <c r="G310" s="207"/>
      <c r="H310" s="207"/>
      <c r="I310" s="207"/>
    </row>
    <row r="311" spans="1:9" ht="20.100000000000001" customHeight="1" x14ac:dyDescent="0.25">
      <c r="A311" s="23">
        <v>18</v>
      </c>
      <c r="B311" s="14" t="s">
        <v>917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918</v>
      </c>
      <c r="C312" s="209" t="str">
        <f>IF(data!BN73&gt;0,data!BN73,"")</f>
        <v>x</v>
      </c>
      <c r="D312" s="209" t="str">
        <f>IF(data!BO73&gt;0,data!BO73,"")</f>
        <v>x</v>
      </c>
      <c r="E312" s="209" t="str">
        <f>IF(data!BP73&gt;0,data!BP73,"")</f>
        <v>x</v>
      </c>
      <c r="F312" s="209" t="str">
        <f>IF(data!BQ73&gt;0,data!BQ73,"")</f>
        <v>x</v>
      </c>
      <c r="G312" s="209" t="str">
        <f>IF(data!BR73&gt;0,data!BR73,"")</f>
        <v>x</v>
      </c>
      <c r="H312" s="209" t="str">
        <f>IF(data!BS73&gt;0,data!BS73,"")</f>
        <v>x</v>
      </c>
      <c r="I312" s="209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919</v>
      </c>
      <c r="C313" s="209" t="str">
        <f>IF(data!BN74&gt;0,data!BN74,"")</f>
        <v>x</v>
      </c>
      <c r="D313" s="209" t="str">
        <f>IF(data!BO74&gt;0,data!BO74,"")</f>
        <v>x</v>
      </c>
      <c r="E313" s="209" t="str">
        <f>IF(data!BP74&gt;0,data!BP74,"")</f>
        <v>x</v>
      </c>
      <c r="F313" s="209" t="str">
        <f>IF(data!BQ74&gt;0,data!BQ74,"")</f>
        <v>x</v>
      </c>
      <c r="G313" s="209" t="str">
        <f>IF(data!BR74&gt;0,data!BR74,"")</f>
        <v>x</v>
      </c>
      <c r="H313" s="209" t="str">
        <f>IF(data!BS74&gt;0,data!BS74,"")</f>
        <v>x</v>
      </c>
      <c r="I313" s="209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920</v>
      </c>
      <c r="C314" s="209" t="str">
        <f>IF(data!BN75&gt;0,data!BN75,"")</f>
        <v>x</v>
      </c>
      <c r="D314" s="209" t="str">
        <f>IF(data!BO75&gt;0,data!BO75,"")</f>
        <v>x</v>
      </c>
      <c r="E314" s="209" t="str">
        <f>IF(data!BP75&gt;0,data!BP75,"")</f>
        <v>x</v>
      </c>
      <c r="F314" s="209" t="str">
        <f>IF(data!BQ75&gt;0,data!BQ75,"")</f>
        <v>x</v>
      </c>
      <c r="G314" s="209" t="str">
        <f>IF(data!BR75&gt;0,data!BR75,"")</f>
        <v>x</v>
      </c>
      <c r="H314" s="209" t="str">
        <f>IF(data!BS75&gt;0,data!BS75,"")</f>
        <v>x</v>
      </c>
      <c r="I314" s="209" t="str">
        <f>IF(data!BT75&gt;0,data!BT75,"")</f>
        <v>x</v>
      </c>
    </row>
    <row r="315" spans="1:9" ht="20.100000000000001" customHeight="1" x14ac:dyDescent="0.25">
      <c r="A315" s="23" t="s">
        <v>921</v>
      </c>
      <c r="B315" s="60"/>
      <c r="C315" s="207"/>
      <c r="D315" s="207"/>
      <c r="E315" s="207"/>
      <c r="F315" s="207"/>
      <c r="G315" s="207"/>
      <c r="H315" s="207"/>
      <c r="I315" s="207"/>
    </row>
    <row r="316" spans="1:9" ht="20.100000000000001" customHeight="1" x14ac:dyDescent="0.25">
      <c r="A316" s="23">
        <v>22</v>
      </c>
      <c r="B316" s="14" t="s">
        <v>922</v>
      </c>
      <c r="C316" s="85">
        <f>data!BN76</f>
        <v>891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562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923</v>
      </c>
      <c r="C317" s="209" t="str">
        <f>IF(data!BN77&gt;0,data!BN77,"")</f>
        <v>x</v>
      </c>
      <c r="D317" s="209" t="str">
        <f>IF(data!BO77&gt;0,data!BO77,"")</f>
        <v>x</v>
      </c>
      <c r="E317" s="209" t="str">
        <f>IF(data!BP77&gt;0,data!BP77,"")</f>
        <v>x</v>
      </c>
      <c r="F317" s="209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924</v>
      </c>
      <c r="C318" s="209" t="str">
        <f>IF(data!BN78&gt;0,data!BN78,"")</f>
        <v>x</v>
      </c>
      <c r="D318" s="209" t="str">
        <f>IF(data!BO78&gt;0,data!BO78,"")</f>
        <v>x</v>
      </c>
      <c r="E318" s="209" t="str">
        <f>IF(data!BP78&gt;0,data!BP78,"")</f>
        <v>x</v>
      </c>
      <c r="F318" s="209" t="str">
        <f>IF(data!BQ78&gt;0,data!BQ78,"")</f>
        <v>x</v>
      </c>
      <c r="G318" s="209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925</v>
      </c>
      <c r="C319" s="209" t="str">
        <f>IF(data!BN79&gt;0,data!BN79,"")</f>
        <v>x</v>
      </c>
      <c r="D319" s="209" t="str">
        <f>IF(data!BO79&gt;0,data!BO79,"")</f>
        <v>x</v>
      </c>
      <c r="E319" s="209" t="str">
        <f>IF(data!BP79&gt;0,data!BP79,"")</f>
        <v>x</v>
      </c>
      <c r="F319" s="209" t="str">
        <f>IF(data!BQ79&gt;0,data!BQ79,"")</f>
        <v>x</v>
      </c>
      <c r="G319" s="209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2" t="str">
        <f>IF(data!BN80&gt;0,data!BN80,"")</f>
        <v>x</v>
      </c>
      <c r="D320" s="212" t="str">
        <f>IF(data!BO80&gt;0,data!BO80,"")</f>
        <v>x</v>
      </c>
      <c r="E320" s="212" t="str">
        <f>IF(data!BP80&gt;0,data!BP80,"")</f>
        <v>x</v>
      </c>
      <c r="F320" s="212" t="str">
        <f>IF(data!BQ80&gt;0,data!BQ80,"")</f>
        <v>x</v>
      </c>
      <c r="G320" s="212" t="str">
        <f>IF(data!BR80&gt;0,data!BR80,"")</f>
        <v>x</v>
      </c>
      <c r="H320" s="212" t="str">
        <f>IF(data!BS80&gt;0,data!BS80,"")</f>
        <v>x</v>
      </c>
      <c r="I320" s="212" t="str">
        <f>IF(data!BT80&gt;0,data!BT80,"")</f>
        <v>x</v>
      </c>
    </row>
    <row r="321" spans="1:9" ht="20.100000000000001" customHeight="1" x14ac:dyDescent="0.25">
      <c r="A321" s="4" t="s">
        <v>909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961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Arbor Health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911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960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915</v>
      </c>
      <c r="C328" s="208"/>
      <c r="D328" s="208"/>
      <c r="E328" s="208"/>
      <c r="F328" s="208"/>
      <c r="G328" s="208"/>
      <c r="H328" s="208"/>
      <c r="I328" s="208"/>
    </row>
    <row r="329" spans="1:9" ht="20.100000000000001" customHeight="1" x14ac:dyDescent="0.25">
      <c r="A329" s="23">
        <v>4</v>
      </c>
      <c r="B329" s="14" t="s">
        <v>233</v>
      </c>
      <c r="C329" s="208"/>
      <c r="D329" s="208"/>
      <c r="E329" s="208"/>
      <c r="F329" s="208"/>
      <c r="G329" s="208"/>
      <c r="H329" s="208"/>
      <c r="I329" s="208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0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147352</v>
      </c>
      <c r="E331" s="86">
        <f>data!BW61</f>
        <v>0</v>
      </c>
      <c r="F331" s="86">
        <f>data!BX61</f>
        <v>105494</v>
      </c>
      <c r="G331" s="86">
        <f>data!BY61</f>
        <v>395659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34876</v>
      </c>
      <c r="E332" s="86">
        <f>data!BW62</f>
        <v>0</v>
      </c>
      <c r="F332" s="86">
        <f>data!BX62</f>
        <v>28640</v>
      </c>
      <c r="G332" s="86">
        <f>data!BY62</f>
        <v>94870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2000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7734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22715</v>
      </c>
      <c r="E336" s="86">
        <f>data!BW66</f>
        <v>0</v>
      </c>
      <c r="F336" s="86">
        <f>data!BX66</f>
        <v>2922</v>
      </c>
      <c r="G336" s="86">
        <f>data!BY66</f>
        <v>24313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25352</v>
      </c>
      <c r="E337" s="86">
        <f>data!BW67</f>
        <v>0</v>
      </c>
      <c r="F337" s="86">
        <f>data!BX67</f>
        <v>0</v>
      </c>
      <c r="G337" s="86">
        <f>data!BY67</f>
        <v>15806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2734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916</v>
      </c>
      <c r="C341" s="14">
        <f>data!BU71</f>
        <v>0</v>
      </c>
      <c r="D341" s="14">
        <f>data!BV71</f>
        <v>233029</v>
      </c>
      <c r="E341" s="14">
        <f>data!BW71</f>
        <v>0</v>
      </c>
      <c r="F341" s="14">
        <f>data!BX71</f>
        <v>139056</v>
      </c>
      <c r="G341" s="14">
        <f>data!BY71</f>
        <v>538382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07"/>
      <c r="D342" s="207"/>
      <c r="E342" s="207"/>
      <c r="F342" s="207"/>
      <c r="G342" s="207"/>
      <c r="H342" s="207"/>
      <c r="I342" s="207"/>
    </row>
    <row r="343" spans="1:9" ht="20.100000000000001" customHeight="1" x14ac:dyDescent="0.25">
      <c r="A343" s="23">
        <v>18</v>
      </c>
      <c r="B343" s="14" t="s">
        <v>917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918</v>
      </c>
      <c r="C344" s="209" t="str">
        <f>IF(data!BU73&gt;0,data!BU73,"")</f>
        <v>x</v>
      </c>
      <c r="D344" s="209" t="str">
        <f>IF(data!BV73&gt;0,data!BV73,"")</f>
        <v>x</v>
      </c>
      <c r="E344" s="209" t="str">
        <f>IF(data!BW73&gt;0,data!BW73,"")</f>
        <v>x</v>
      </c>
      <c r="F344" s="209" t="str">
        <f>IF(data!BX73&gt;0,data!BX73,"")</f>
        <v>x</v>
      </c>
      <c r="G344" s="209" t="str">
        <f>IF(data!BY73&gt;0,data!BY73,"")</f>
        <v>x</v>
      </c>
      <c r="H344" s="209" t="str">
        <f>IF(data!BZ73&gt;0,data!BZ73,"")</f>
        <v>x</v>
      </c>
      <c r="I344" s="209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919</v>
      </c>
      <c r="C345" s="209" t="str">
        <f>IF(data!BU74&gt;0,data!BU74,"")</f>
        <v>x</v>
      </c>
      <c r="D345" s="209" t="str">
        <f>IF(data!BV74&gt;0,data!BV74,"")</f>
        <v>x</v>
      </c>
      <c r="E345" s="209" t="str">
        <f>IF(data!BW74&gt;0,data!BW74,"")</f>
        <v>x</v>
      </c>
      <c r="F345" s="209" t="str">
        <f>IF(data!BX74&gt;0,data!BX74,"")</f>
        <v>x</v>
      </c>
      <c r="G345" s="209" t="str">
        <f>IF(data!BY74&gt;0,data!BY74,"")</f>
        <v>x</v>
      </c>
      <c r="H345" s="209" t="str">
        <f>IF(data!BZ74&gt;0,data!BZ74,"")</f>
        <v>x</v>
      </c>
      <c r="I345" s="209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920</v>
      </c>
      <c r="C346" s="209" t="str">
        <f>IF(data!BU75&gt;0,data!BU75,"")</f>
        <v>x</v>
      </c>
      <c r="D346" s="209" t="str">
        <f>IF(data!BV75&gt;0,data!BV75,"")</f>
        <v>x</v>
      </c>
      <c r="E346" s="209" t="str">
        <f>IF(data!BW75&gt;0,data!BW75,"")</f>
        <v>x</v>
      </c>
      <c r="F346" s="209" t="str">
        <f>IF(data!BX75&gt;0,data!BX75,"")</f>
        <v>x</v>
      </c>
      <c r="G346" s="209" t="str">
        <f>IF(data!BY75&gt;0,data!BY75,"")</f>
        <v>x</v>
      </c>
      <c r="H346" s="209" t="str">
        <f>IF(data!BZ75&gt;0,data!BZ75,"")</f>
        <v>x</v>
      </c>
      <c r="I346" s="209" t="str">
        <f>IF(data!CA75&gt;0,data!CA75,"")</f>
        <v>x</v>
      </c>
    </row>
    <row r="347" spans="1:9" ht="20.100000000000001" customHeight="1" x14ac:dyDescent="0.25">
      <c r="A347" s="23" t="s">
        <v>921</v>
      </c>
      <c r="B347" s="60"/>
      <c r="C347" s="207"/>
      <c r="D347" s="207"/>
      <c r="E347" s="207"/>
      <c r="F347" s="207"/>
      <c r="G347" s="207"/>
      <c r="H347" s="207"/>
      <c r="I347" s="207"/>
    </row>
    <row r="348" spans="1:9" ht="20.100000000000001" customHeight="1" x14ac:dyDescent="0.25">
      <c r="A348" s="23">
        <v>22</v>
      </c>
      <c r="B348" s="14" t="s">
        <v>922</v>
      </c>
      <c r="C348" s="85">
        <f>data!BU76</f>
        <v>0</v>
      </c>
      <c r="D348" s="85">
        <f>data!BV76</f>
        <v>1134</v>
      </c>
      <c r="E348" s="85">
        <f>data!BW76</f>
        <v>0</v>
      </c>
      <c r="F348" s="85">
        <f>data!BX76</f>
        <v>0</v>
      </c>
      <c r="G348" s="85">
        <f>data!BY76</f>
        <v>707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923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924</v>
      </c>
      <c r="C350" s="85">
        <f>data!BU78</f>
        <v>0</v>
      </c>
      <c r="D350" s="85">
        <f>data!BV78</f>
        <v>1000</v>
      </c>
      <c r="E350" s="85">
        <f>data!BW78</f>
        <v>0</v>
      </c>
      <c r="F350" s="85">
        <f>data!BX78</f>
        <v>0</v>
      </c>
      <c r="G350" s="85">
        <f>data!BY78</f>
        <v>800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925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2" t="str">
        <f>IF(data!BU80&gt;0,data!BU80,"")</f>
        <v/>
      </c>
      <c r="D352" s="212" t="str">
        <f>IF(data!BV80&gt;0,data!BV80,"")</f>
        <v/>
      </c>
      <c r="E352" s="212" t="str">
        <f>IF(data!BW80&gt;0,data!BW80,"")</f>
        <v/>
      </c>
      <c r="F352" s="212" t="str">
        <f>IF(data!BX80&gt;0,data!BX80,"")</f>
        <v/>
      </c>
      <c r="G352" s="212" t="str">
        <f>IF(data!BY80&gt;0,data!BY80,"")</f>
        <v/>
      </c>
      <c r="H352" s="212" t="str">
        <f>IF(data!BZ80&gt;0,data!BZ80,"")</f>
        <v/>
      </c>
      <c r="I352" s="212" t="str">
        <f>IF(data!CA80&gt;0,data!CA80,"")</f>
        <v/>
      </c>
    </row>
    <row r="353" spans="1:9" ht="20.100000000000001" customHeight="1" x14ac:dyDescent="0.25">
      <c r="A353" s="4" t="s">
        <v>909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962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Arbor Health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911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963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915</v>
      </c>
      <c r="C360" s="208"/>
      <c r="D360" s="208"/>
      <c r="E360" s="208"/>
      <c r="F360" s="208"/>
      <c r="G360" s="208"/>
      <c r="H360" s="208"/>
      <c r="I360" s="208"/>
    </row>
    <row r="361" spans="1:9" ht="20.100000000000001" customHeight="1" x14ac:dyDescent="0.25">
      <c r="A361" s="23">
        <v>4</v>
      </c>
      <c r="B361" s="14" t="s">
        <v>233</v>
      </c>
      <c r="C361" s="208"/>
      <c r="D361" s="208"/>
      <c r="E361" s="208"/>
      <c r="F361" s="208"/>
      <c r="G361" s="208"/>
      <c r="H361" s="208"/>
      <c r="I361" s="208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3"/>
      <c r="F362" s="207"/>
      <c r="G362" s="207"/>
      <c r="H362" s="207"/>
      <c r="I362" s="87">
        <f>data!CE60</f>
        <v>50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267204</v>
      </c>
      <c r="E363" s="214"/>
      <c r="F363" s="215"/>
      <c r="G363" s="215"/>
      <c r="H363" s="215"/>
      <c r="I363" s="86">
        <f>data!CE61</f>
        <v>14806725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68382</v>
      </c>
      <c r="E364" s="214"/>
      <c r="F364" s="215"/>
      <c r="G364" s="215"/>
      <c r="H364" s="215"/>
      <c r="I364" s="86">
        <f>data!CE62</f>
        <v>3468802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10415</v>
      </c>
      <c r="E365" s="214"/>
      <c r="F365" s="215"/>
      <c r="G365" s="215"/>
      <c r="H365" s="215"/>
      <c r="I365" s="86">
        <f>data!CE63</f>
        <v>2117301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71723</v>
      </c>
      <c r="E366" s="214"/>
      <c r="F366" s="215"/>
      <c r="G366" s="215"/>
      <c r="H366" s="215"/>
      <c r="I366" s="86">
        <f>data!CE64</f>
        <v>1893282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4"/>
      <c r="F367" s="215"/>
      <c r="G367" s="215"/>
      <c r="H367" s="215"/>
      <c r="I367" s="86">
        <f>data!CE65</f>
        <v>417882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66729</v>
      </c>
      <c r="E368" s="214"/>
      <c r="F368" s="215"/>
      <c r="G368" s="215"/>
      <c r="H368" s="215"/>
      <c r="I368" s="86">
        <f>data!CE66</f>
        <v>3268295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4"/>
      <c r="F369" s="215"/>
      <c r="G369" s="215"/>
      <c r="H369" s="215"/>
      <c r="I369" s="86">
        <f>data!CE67</f>
        <v>1753598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128088</v>
      </c>
      <c r="E370" s="214"/>
      <c r="F370" s="215"/>
      <c r="G370" s="215"/>
      <c r="H370" s="215"/>
      <c r="I370" s="86">
        <f>data!CE68</f>
        <v>128088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 t="str">
        <f>data!CC69</f>
        <v xml:space="preserve"> </v>
      </c>
      <c r="E371" s="86">
        <f>data!CD69</f>
        <v>596506</v>
      </c>
      <c r="F371" s="215"/>
      <c r="G371" s="215"/>
      <c r="H371" s="215"/>
      <c r="I371" s="86">
        <f>data!CE69</f>
        <v>1018621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5">
        <f>data!CD70</f>
        <v>751653</v>
      </c>
      <c r="F372" s="216"/>
      <c r="G372" s="216"/>
      <c r="H372" s="216"/>
      <c r="I372" s="14">
        <f>-data!CE70</f>
        <v>-751653</v>
      </c>
    </row>
    <row r="373" spans="1:9" ht="20.100000000000001" customHeight="1" x14ac:dyDescent="0.25">
      <c r="A373" s="23">
        <v>16</v>
      </c>
      <c r="B373" s="48" t="s">
        <v>916</v>
      </c>
      <c r="C373" s="86">
        <f>data!CB71</f>
        <v>0</v>
      </c>
      <c r="D373" s="86">
        <f>data!CC71</f>
        <v>612541</v>
      </c>
      <c r="E373" s="86">
        <f>data!CD71</f>
        <v>-155147</v>
      </c>
      <c r="F373" s="215"/>
      <c r="G373" s="215"/>
      <c r="H373" s="215"/>
      <c r="I373" s="14">
        <f>data!CE71</f>
        <v>28120941</v>
      </c>
    </row>
    <row r="374" spans="1:9" ht="20.100000000000001" customHeight="1" x14ac:dyDescent="0.25">
      <c r="A374" s="23">
        <v>17</v>
      </c>
      <c r="B374" s="14" t="s">
        <v>244</v>
      </c>
      <c r="C374" s="215"/>
      <c r="D374" s="215"/>
      <c r="E374" s="215"/>
      <c r="F374" s="215"/>
      <c r="G374" s="215"/>
      <c r="H374" s="215"/>
      <c r="I374" s="14">
        <f>-data!CE72</f>
        <v>-1761236</v>
      </c>
    </row>
    <row r="375" spans="1:9" ht="20.100000000000001" customHeight="1" x14ac:dyDescent="0.25">
      <c r="A375" s="23">
        <v>18</v>
      </c>
      <c r="B375" s="14" t="s">
        <v>917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918</v>
      </c>
      <c r="C376" s="209" t="str">
        <f>IF(data!CB73&gt;0,data!CB73,"")</f>
        <v>x</v>
      </c>
      <c r="D376" s="209" t="str">
        <f>IF(data!CC73&gt;0,data!CC73,"")</f>
        <v>x</v>
      </c>
      <c r="E376" s="210"/>
      <c r="F376" s="207"/>
      <c r="G376" s="207"/>
      <c r="H376" s="207"/>
      <c r="I376" s="85">
        <f>data!CE73</f>
        <v>10068927</v>
      </c>
    </row>
    <row r="377" spans="1:9" ht="20.100000000000001" customHeight="1" x14ac:dyDescent="0.25">
      <c r="A377" s="23">
        <v>20</v>
      </c>
      <c r="B377" s="48" t="s">
        <v>919</v>
      </c>
      <c r="C377" s="209" t="str">
        <f>IF(data!CB74&gt;0,data!CB74,"")</f>
        <v>x</v>
      </c>
      <c r="D377" s="209" t="str">
        <f>IF(data!CC74&gt;0,data!CC74,"")</f>
        <v>x</v>
      </c>
      <c r="E377" s="210"/>
      <c r="F377" s="207"/>
      <c r="G377" s="207"/>
      <c r="H377" s="207"/>
      <c r="I377" s="85">
        <f>data!CE74</f>
        <v>35070718</v>
      </c>
    </row>
    <row r="378" spans="1:9" ht="20.100000000000001" customHeight="1" x14ac:dyDescent="0.25">
      <c r="A378" s="23">
        <v>21</v>
      </c>
      <c r="B378" s="48" t="s">
        <v>920</v>
      </c>
      <c r="C378" s="209" t="str">
        <f>IF(data!CB75&gt;0,data!CB75,"")</f>
        <v>x</v>
      </c>
      <c r="D378" s="209" t="str">
        <f>IF(data!CC75&gt;0,data!CC75,"")</f>
        <v>x</v>
      </c>
      <c r="E378" s="210"/>
      <c r="F378" s="207"/>
      <c r="G378" s="207"/>
      <c r="H378" s="207"/>
      <c r="I378" s="85">
        <f>data!CE75</f>
        <v>45139645</v>
      </c>
    </row>
    <row r="379" spans="1:9" ht="20.100000000000001" customHeight="1" x14ac:dyDescent="0.25">
      <c r="A379" s="23" t="s">
        <v>921</v>
      </c>
      <c r="B379" s="60"/>
      <c r="C379" s="207"/>
      <c r="D379" s="207"/>
      <c r="E379" s="207"/>
      <c r="F379" s="207"/>
      <c r="G379" s="207"/>
      <c r="H379" s="207"/>
      <c r="I379" s="207"/>
    </row>
    <row r="380" spans="1:9" ht="20.100000000000001" customHeight="1" x14ac:dyDescent="0.25">
      <c r="A380" s="23">
        <v>22</v>
      </c>
      <c r="B380" s="14" t="s">
        <v>922</v>
      </c>
      <c r="C380" s="85">
        <f>data!CB76</f>
        <v>0</v>
      </c>
      <c r="D380" s="85">
        <f>data!CC76</f>
        <v>0</v>
      </c>
      <c r="E380" s="210"/>
      <c r="F380" s="207"/>
      <c r="G380" s="207"/>
      <c r="H380" s="207"/>
      <c r="I380" s="14">
        <f>data!CE76</f>
        <v>78440</v>
      </c>
    </row>
    <row r="381" spans="1:9" ht="20.100000000000001" customHeight="1" x14ac:dyDescent="0.25">
      <c r="A381" s="23">
        <v>23</v>
      </c>
      <c r="B381" s="14" t="s">
        <v>923</v>
      </c>
      <c r="C381" s="14" t="str">
        <f>IF(data!CB77&gt;0,data!CB77,"")</f>
        <v/>
      </c>
      <c r="D381" s="209" t="str">
        <f>IF(data!CC77&gt;0,data!CC77,"")</f>
        <v>x</v>
      </c>
      <c r="E381" s="210"/>
      <c r="F381" s="207"/>
      <c r="G381" s="207"/>
      <c r="H381" s="207"/>
      <c r="I381" s="14">
        <f>data!CE77</f>
        <v>58125</v>
      </c>
    </row>
    <row r="382" spans="1:9" ht="20.100000000000001" customHeight="1" x14ac:dyDescent="0.25">
      <c r="A382" s="23">
        <v>24</v>
      </c>
      <c r="B382" s="14" t="s">
        <v>924</v>
      </c>
      <c r="C382" s="14" t="str">
        <f>IF(data!CB78&gt;0,data!CB78,"")</f>
        <v/>
      </c>
      <c r="D382" s="209" t="str">
        <f>IF(data!CC78&gt;0,data!CC78,"")</f>
        <v>x</v>
      </c>
      <c r="E382" s="210"/>
      <c r="F382" s="207"/>
      <c r="G382" s="207"/>
      <c r="H382" s="207"/>
      <c r="I382" s="14">
        <f>data!CE78</f>
        <v>42950</v>
      </c>
    </row>
    <row r="383" spans="1:9" ht="20.100000000000001" customHeight="1" x14ac:dyDescent="0.25">
      <c r="A383" s="23">
        <v>25</v>
      </c>
      <c r="B383" s="14" t="s">
        <v>925</v>
      </c>
      <c r="C383" s="14" t="str">
        <f>IF(data!CB79&gt;0,data!CB79,"")</f>
        <v/>
      </c>
      <c r="D383" s="209" t="str">
        <f>IF(data!CC79&gt;0,data!CC79,"")</f>
        <v>x</v>
      </c>
      <c r="E383" s="210"/>
      <c r="F383" s="207"/>
      <c r="G383" s="207"/>
      <c r="H383" s="207"/>
      <c r="I383" s="14">
        <f>data!CE79</f>
        <v>180319</v>
      </c>
    </row>
    <row r="384" spans="1:9" ht="20.100000000000001" customHeight="1" x14ac:dyDescent="0.25">
      <c r="A384" s="23">
        <v>26</v>
      </c>
      <c r="B384" s="14" t="s">
        <v>252</v>
      </c>
      <c r="C384" s="209" t="str">
        <f>IF(data!CB80&gt;0,data!CB80,"")</f>
        <v/>
      </c>
      <c r="D384" s="209" t="str">
        <f>IF(data!CC80&gt;0,data!CC80,"")</f>
        <v>x</v>
      </c>
      <c r="E384" s="213"/>
      <c r="F384" s="207"/>
      <c r="G384" s="207"/>
      <c r="H384" s="207"/>
      <c r="I384" s="84">
        <f>data!CE80</f>
        <v>47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2020-04-23T17:19:54Z</cp:lastPrinted>
  <dcterms:created xsi:type="dcterms:W3CDTF">1999-06-02T22:01:56Z</dcterms:created>
  <dcterms:modified xsi:type="dcterms:W3CDTF">2020-09-14T22:49:02Z</dcterms:modified>
</cp:coreProperties>
</file>