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 firstSheet="1" activeTab="1"/>
  </bookViews>
  <sheets>
    <sheet name="Sheet1" sheetId="17" state="hidden" r:id="rId1"/>
    <sheet name="data" sheetId="1" r:id="rId2"/>
    <sheet name="Prior Year" sheetId="2" r:id="rId3"/>
    <sheet name="Transmittal" sheetId="5" r:id="rId4"/>
    <sheet name="INFO_PG1" sheetId="6" r:id="rId5"/>
    <sheet name="INFO_PG2" sheetId="7" r:id="rId6"/>
    <sheet name="SS2_3_5_6" sheetId="8" r:id="rId7"/>
    <sheet name="SS4" sheetId="9" r:id="rId8"/>
    <sheet name="SS8" sheetId="10" r:id="rId9"/>
    <sheet name="FS" sheetId="11" r:id="rId10"/>
    <sheet name="CC's" sheetId="12" r:id="rId11"/>
  </sheets>
  <externalReferences>
    <externalReference r:id="rId12"/>
  </externalReferences>
  <definedNames>
    <definedName name="_Fill" localSheetId="2" hidden="1">'Prior Year'!$DR$819:$DR$864</definedName>
    <definedName name="_Fill" hidden="1">data!$DR$823:$DR$868</definedName>
    <definedName name="Costcenter" localSheetId="2">'Prior Year'!#REF!</definedName>
    <definedName name="Costcenter">data!#REF!</definedName>
    <definedName name="DataRange">Journal [1]Header!$A$1:$J$11</definedName>
    <definedName name="Edit" localSheetId="2">'Prior Year'!$A$410:$E$477</definedName>
    <definedName name="Edit">data!$A$411:$E$478</definedName>
    <definedName name="End">#REF!</definedName>
    <definedName name="fd">#REF!</definedName>
    <definedName name="Funds" localSheetId="2">'Prior Year'!#REF!</definedName>
    <definedName name="Funds">data!#REF!</definedName>
    <definedName name="HeaderRange">#REF!</definedName>
    <definedName name="Hospital" localSheetId="2">'Prior Year'!#REF!</definedName>
    <definedName name="Hospital">data!#REF!</definedName>
    <definedName name="JE">#REF!</definedName>
    <definedName name="master_def">#REF!</definedName>
    <definedName name="mb">#REF!</definedName>
    <definedName name="MBF">#REF!</definedName>
    <definedName name="_xlnm.Print_Area" localSheetId="10">'CC''s'!$A$1:$I$384</definedName>
    <definedName name="_xlnm.Print_Area" localSheetId="1">data!$A$411:$E$478</definedName>
    <definedName name="_xlnm.Print_Area" localSheetId="9">FS!$A$1:$D$153</definedName>
    <definedName name="_xlnm.Print_Area" localSheetId="4">INFO_PG1!$A$1:$G$40</definedName>
    <definedName name="_xlnm.Print_Area" localSheetId="5">INFO_PG2!$A$1:$G$33</definedName>
    <definedName name="_xlnm.Print_Area" localSheetId="2">'Prior Year'!$A$410:$E$477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ortcol">#REF!</definedName>
    <definedName name="SortRange">Journal [1]Header!$A$2:$J$11</definedName>
    <definedName name="SS">#REF!</definedName>
    <definedName name="Support" localSheetId="2">'Prior Year'!#REF!</definedName>
    <definedName name="Support">data!#REF!</definedName>
    <definedName name="temp">#REF!</definedName>
    <definedName name="Titles">Journal [1]Header!$A$1:$A$1</definedName>
    <definedName name="TopSection">Journal [1]Header!$A$1:$J$1</definedName>
    <definedName name="Z_1565D254_C65C_4A11_B9EA_4BF10C869FB8_.wvu.PrintArea" localSheetId="10" hidden="1">'CC''s'!$A$1:$I$384</definedName>
    <definedName name="Z_1565D254_C65C_4A11_B9EA_4BF10C869FB8_.wvu.PrintArea" localSheetId="1" hidden="1">data!$A$411:$E$478</definedName>
    <definedName name="Z_1565D254_C65C_4A11_B9EA_4BF10C869FB8_.wvu.PrintArea" localSheetId="9" hidden="1">FS!$A$1:$D$153</definedName>
    <definedName name="Z_1565D254_C65C_4A11_B9EA_4BF10C869FB8_.wvu.PrintArea" localSheetId="4" hidden="1">INFO_PG1!$A$1:$G$40</definedName>
    <definedName name="Z_1565D254_C65C_4A11_B9EA_4BF10C869FB8_.wvu.PrintArea" localSheetId="5" hidden="1">INFO_PG2!$A$1:$G$33</definedName>
    <definedName name="Z_1565D254_C65C_4A11_B9EA_4BF10C869FB8_.wvu.PrintArea" localSheetId="2" hidden="1">'Prior Year'!$A$410:$E$477</definedName>
    <definedName name="Z_1565D254_C65C_4A11_B9EA_4BF10C869FB8_.wvu.PrintArea" localSheetId="6" hidden="1">SS2_3_5_6!$A$1:$C$40</definedName>
    <definedName name="Z_1565D254_C65C_4A11_B9EA_4BF10C869FB8_.wvu.PrintArea" localSheetId="7" hidden="1">'SS4'!$A$1:$F$32</definedName>
    <definedName name="Z_1565D254_C65C_4A11_B9EA_4BF10C869FB8_.wvu.PrintArea" localSheetId="8" hidden="1">'SS8'!$A$1:$D$34</definedName>
    <definedName name="Z_29C7D28D_A8D9_464F_A1BE_6E19ABDAC2B2_.wvu.PrintArea" localSheetId="10" hidden="1">'CC''s'!$A$1:$I$384</definedName>
    <definedName name="Z_29C7D28D_A8D9_464F_A1BE_6E19ABDAC2B2_.wvu.PrintArea" localSheetId="1" hidden="1">data!$A$411:$E$478</definedName>
    <definedName name="Z_29C7D28D_A8D9_464F_A1BE_6E19ABDAC2B2_.wvu.PrintArea" localSheetId="9" hidden="1">FS!$A$1:$D$153</definedName>
    <definedName name="Z_29C7D28D_A8D9_464F_A1BE_6E19ABDAC2B2_.wvu.PrintArea" localSheetId="4" hidden="1">INFO_PG1!$A$1:$G$40</definedName>
    <definedName name="Z_29C7D28D_A8D9_464F_A1BE_6E19ABDAC2B2_.wvu.PrintArea" localSheetId="5" hidden="1">INFO_PG2!$A$1:$G$33</definedName>
    <definedName name="Z_29C7D28D_A8D9_464F_A1BE_6E19ABDAC2B2_.wvu.PrintArea" localSheetId="2" hidden="1">'Prior Year'!$A$410:$E$477</definedName>
    <definedName name="Z_29C7D28D_A8D9_464F_A1BE_6E19ABDAC2B2_.wvu.PrintArea" localSheetId="6" hidden="1">SS2_3_5_6!$A$1:$C$40</definedName>
    <definedName name="Z_29C7D28D_A8D9_464F_A1BE_6E19ABDAC2B2_.wvu.PrintArea" localSheetId="7" hidden="1">'SS4'!$A$1:$F$32</definedName>
    <definedName name="Z_29C7D28D_A8D9_464F_A1BE_6E19ABDAC2B2_.wvu.PrintArea" localSheetId="8" hidden="1">'SS8'!$A$1:$D$34</definedName>
    <definedName name="Z_A66A08DC_EE53_4B68_9567_69AEF466998B_.wvu.PrintArea" localSheetId="10" hidden="1">'CC''s'!$A$1:$I$384</definedName>
    <definedName name="Z_A66A08DC_EE53_4B68_9567_69AEF466998B_.wvu.PrintArea" localSheetId="1" hidden="1">data!$A$411:$E$478</definedName>
    <definedName name="Z_A66A08DC_EE53_4B68_9567_69AEF466998B_.wvu.PrintArea" localSheetId="9" hidden="1">FS!$A$1:$D$153</definedName>
    <definedName name="Z_A66A08DC_EE53_4B68_9567_69AEF466998B_.wvu.PrintArea" localSheetId="4" hidden="1">INFO_PG1!$A$1:$G$40</definedName>
    <definedName name="Z_A66A08DC_EE53_4B68_9567_69AEF466998B_.wvu.PrintArea" localSheetId="5" hidden="1">INFO_PG2!$A$1:$G$33</definedName>
    <definedName name="Z_A66A08DC_EE53_4B68_9567_69AEF466998B_.wvu.PrintArea" localSheetId="2" hidden="1">'Prior Year'!$A$410:$E$477</definedName>
    <definedName name="Z_A66A08DC_EE53_4B68_9567_69AEF466998B_.wvu.PrintArea" localSheetId="6" hidden="1">SS2_3_5_6!$A$1:$C$40</definedName>
    <definedName name="Z_A66A08DC_EE53_4B68_9567_69AEF466998B_.wvu.PrintArea" localSheetId="7" hidden="1">'SS4'!$A$1:$F$32</definedName>
    <definedName name="Z_A66A08DC_EE53_4B68_9567_69AEF466998B_.wvu.PrintArea" localSheetId="8" hidden="1">'SS8'!$A$1:$D$34</definedName>
    <definedName name="Z_AF224140_1822_4D55_AA68_8E6ECE9F00FA_.wvu.PrintArea" localSheetId="10" hidden="1">'CC''s'!$A$1:$I$384</definedName>
    <definedName name="Z_AF224140_1822_4D55_AA68_8E6ECE9F00FA_.wvu.PrintArea" localSheetId="1" hidden="1">data!$A$411:$E$478</definedName>
    <definedName name="Z_AF224140_1822_4D55_AA68_8E6ECE9F00FA_.wvu.PrintArea" localSheetId="9" hidden="1">FS!$A$1:$D$153</definedName>
    <definedName name="Z_AF224140_1822_4D55_AA68_8E6ECE9F00FA_.wvu.PrintArea" localSheetId="4" hidden="1">INFO_PG1!$A$1:$G$40</definedName>
    <definedName name="Z_AF224140_1822_4D55_AA68_8E6ECE9F00FA_.wvu.PrintArea" localSheetId="5" hidden="1">INFO_PG2!$A$1:$G$33</definedName>
    <definedName name="Z_AF224140_1822_4D55_AA68_8E6ECE9F00FA_.wvu.PrintArea" localSheetId="2" hidden="1">'Prior Year'!$A$410:$E$477</definedName>
    <definedName name="Z_AF224140_1822_4D55_AA68_8E6ECE9F00FA_.wvu.PrintArea" localSheetId="6" hidden="1">SS2_3_5_6!$A$1:$C$40</definedName>
    <definedName name="Z_AF224140_1822_4D55_AA68_8E6ECE9F00FA_.wvu.PrintArea" localSheetId="7" hidden="1">'SS4'!$A$1:$F$32</definedName>
    <definedName name="Z_AF224140_1822_4D55_AA68_8E6ECE9F00FA_.wvu.PrintArea" localSheetId="8" hidden="1">'SS8'!$A$1:$D$34</definedName>
    <definedName name="zMap_f17_GLC_COMPANY">#REF!</definedName>
    <definedName name="zMap_f22_GLC_SYSTEM">#REF!</definedName>
  </definedNames>
  <calcPr calcId="152511"/>
  <customWorkbookViews>
    <customWorkbookView name="Joel Boni - Personal View" guid="{AF224140-1822-4D55-AA68-8E6ECE9F00FA}" mergeInterval="0" personalView="1" maximized="1" windowWidth="1280" windowHeight="778" tabRatio="847" activeSheetId="1"/>
    <customWorkbookView name="Sara Suksdorf - Personal View" guid="{29C7D28D-A8D9-464F-A1BE-6E19ABDAC2B2}" mergeInterval="0" personalView="1" maximized="1" xWindow="-8" yWindow="-8" windowWidth="1296" windowHeight="1000" tabRatio="847" activeSheetId="1"/>
    <customWorkbookView name="Cheryl Halpin - Personal View" guid="{1565D254-C65C-4A11-B9EA-4BF10C869FB8}" mergeInterval="0" personalView="1" maximized="1" xWindow="-8" yWindow="-8" windowWidth="1936" windowHeight="1056" tabRatio="847" activeSheetId="1"/>
    <customWorkbookView name="simpsoa - Personal View" guid="{A66A08DC-EE53-4B68-9567-69AEF466998B}" mergeInterval="0" personalView="1" maximized="1" xWindow="-8" yWindow="-8" windowWidth="1936" windowHeight="1056" tabRatio="847" activeSheetId="1"/>
  </customWorkbookViews>
</workbook>
</file>

<file path=xl/calcChain.xml><?xml version="1.0" encoding="utf-8"?>
<calcChain xmlns="http://schemas.openxmlformats.org/spreadsheetml/2006/main">
  <c r="M817" i="2" l="1"/>
  <c r="J817" i="2"/>
  <c r="X813" i="2"/>
  <c r="X815" i="2" s="1"/>
  <c r="W813" i="2"/>
  <c r="W815" i="2" s="1"/>
  <c r="V813" i="2"/>
  <c r="V815" i="2" s="1"/>
  <c r="U813" i="2"/>
  <c r="U815" i="2" s="1"/>
  <c r="A813" i="2"/>
  <c r="T812" i="2"/>
  <c r="S812" i="2"/>
  <c r="R812" i="2"/>
  <c r="Q812" i="2"/>
  <c r="P812" i="2"/>
  <c r="M812" i="2"/>
  <c r="H812" i="2"/>
  <c r="F812" i="2"/>
  <c r="D812" i="2"/>
  <c r="C812" i="2"/>
  <c r="A812" i="2"/>
  <c r="T811" i="2"/>
  <c r="S811" i="2"/>
  <c r="Q811" i="2"/>
  <c r="P811" i="2"/>
  <c r="M811" i="2"/>
  <c r="C811" i="2"/>
  <c r="A811" i="2"/>
  <c r="T810" i="2"/>
  <c r="S810" i="2"/>
  <c r="Q810" i="2"/>
  <c r="P810" i="2"/>
  <c r="M810" i="2"/>
  <c r="L810" i="2"/>
  <c r="K810" i="2"/>
  <c r="I810" i="2"/>
  <c r="G810" i="2"/>
  <c r="D810" i="2"/>
  <c r="A810" i="2"/>
  <c r="T809" i="2"/>
  <c r="S809" i="2"/>
  <c r="Q809" i="2"/>
  <c r="P809" i="2"/>
  <c r="M809" i="2"/>
  <c r="A809" i="2"/>
  <c r="T808" i="2"/>
  <c r="S808" i="2"/>
  <c r="Q808" i="2"/>
  <c r="P808" i="2"/>
  <c r="M808" i="2"/>
  <c r="L808" i="2"/>
  <c r="K808" i="2"/>
  <c r="I808" i="2"/>
  <c r="G808" i="2"/>
  <c r="F808" i="2"/>
  <c r="A808" i="2"/>
  <c r="T807" i="2"/>
  <c r="S807" i="2"/>
  <c r="Q807" i="2"/>
  <c r="P807" i="2"/>
  <c r="M807" i="2"/>
  <c r="L807" i="2"/>
  <c r="K807" i="2"/>
  <c r="I807" i="2"/>
  <c r="G807" i="2"/>
  <c r="F807" i="2"/>
  <c r="D807" i="2"/>
  <c r="A807" i="2"/>
  <c r="T806" i="2"/>
  <c r="S806" i="2"/>
  <c r="Q806" i="2"/>
  <c r="P806" i="2"/>
  <c r="M806" i="2"/>
  <c r="L806" i="2"/>
  <c r="I806" i="2"/>
  <c r="G806" i="2"/>
  <c r="F806" i="2"/>
  <c r="D806" i="2"/>
  <c r="A806" i="2"/>
  <c r="T805" i="2"/>
  <c r="S805" i="2"/>
  <c r="Q805" i="2"/>
  <c r="P805" i="2"/>
  <c r="M805" i="2"/>
  <c r="L805" i="2"/>
  <c r="K805" i="2"/>
  <c r="I805" i="2"/>
  <c r="G805" i="2"/>
  <c r="D805" i="2"/>
  <c r="A805" i="2"/>
  <c r="T804" i="2"/>
  <c r="S804" i="2"/>
  <c r="Q804" i="2"/>
  <c r="P804" i="2"/>
  <c r="M804" i="2"/>
  <c r="C804" i="2"/>
  <c r="A804" i="2"/>
  <c r="T803" i="2"/>
  <c r="S803" i="2"/>
  <c r="Q803" i="2"/>
  <c r="P803" i="2"/>
  <c r="M803" i="2"/>
  <c r="G803" i="2"/>
  <c r="D803" i="2"/>
  <c r="A803" i="2"/>
  <c r="T802" i="2"/>
  <c r="S802" i="2"/>
  <c r="Q802" i="2"/>
  <c r="P802" i="2"/>
  <c r="M802" i="2"/>
  <c r="L802" i="2"/>
  <c r="K802" i="2"/>
  <c r="I802" i="2"/>
  <c r="G802" i="2"/>
  <c r="C802" i="2"/>
  <c r="A802" i="2"/>
  <c r="T801" i="2"/>
  <c r="S801" i="2"/>
  <c r="R801" i="2"/>
  <c r="Q801" i="2"/>
  <c r="P801" i="2"/>
  <c r="M801" i="2"/>
  <c r="L801" i="2"/>
  <c r="K801" i="2"/>
  <c r="I801" i="2"/>
  <c r="G801" i="2"/>
  <c r="D801" i="2"/>
  <c r="A801" i="2"/>
  <c r="T800" i="2"/>
  <c r="S800" i="2"/>
  <c r="R800" i="2"/>
  <c r="Q800" i="2"/>
  <c r="P800" i="2"/>
  <c r="M800" i="2"/>
  <c r="A800" i="2"/>
  <c r="T799" i="2"/>
  <c r="S799" i="2"/>
  <c r="R799" i="2"/>
  <c r="Q799" i="2"/>
  <c r="P799" i="2"/>
  <c r="M799" i="2"/>
  <c r="L799" i="2"/>
  <c r="K799" i="2"/>
  <c r="I799" i="2"/>
  <c r="G799" i="2"/>
  <c r="D799" i="2"/>
  <c r="A799" i="2"/>
  <c r="T798" i="2"/>
  <c r="S798" i="2"/>
  <c r="R798" i="2"/>
  <c r="Q798" i="2"/>
  <c r="P798" i="2"/>
  <c r="M798" i="2"/>
  <c r="L798" i="2"/>
  <c r="I798" i="2"/>
  <c r="G798" i="2"/>
  <c r="D798" i="2"/>
  <c r="A798" i="2"/>
  <c r="T797" i="2"/>
  <c r="S797" i="2"/>
  <c r="R797" i="2"/>
  <c r="Q797" i="2"/>
  <c r="P797" i="2"/>
  <c r="M797" i="2"/>
  <c r="L797" i="2"/>
  <c r="K797" i="2"/>
  <c r="I797" i="2"/>
  <c r="G797" i="2"/>
  <c r="F797" i="2"/>
  <c r="D797" i="2"/>
  <c r="A797" i="2"/>
  <c r="T796" i="2"/>
  <c r="S796" i="2"/>
  <c r="Q796" i="2"/>
  <c r="P796" i="2"/>
  <c r="M796" i="2"/>
  <c r="C796" i="2"/>
  <c r="A796" i="2"/>
  <c r="T795" i="2"/>
  <c r="S795" i="2"/>
  <c r="Q795" i="2"/>
  <c r="P795" i="2"/>
  <c r="M795" i="2"/>
  <c r="L795" i="2"/>
  <c r="K795" i="2"/>
  <c r="I795" i="2"/>
  <c r="G795" i="2"/>
  <c r="D795" i="2"/>
  <c r="A795" i="2"/>
  <c r="T794" i="2"/>
  <c r="S794" i="2"/>
  <c r="Q794" i="2"/>
  <c r="P794" i="2"/>
  <c r="M794" i="2"/>
  <c r="L794" i="2"/>
  <c r="I794" i="2"/>
  <c r="G794" i="2"/>
  <c r="D794" i="2"/>
  <c r="A794" i="2"/>
  <c r="T793" i="2"/>
  <c r="S793" i="2"/>
  <c r="R793" i="2"/>
  <c r="Q793" i="2"/>
  <c r="P793" i="2"/>
  <c r="M793" i="2"/>
  <c r="L793" i="2"/>
  <c r="I793" i="2"/>
  <c r="D793" i="2"/>
  <c r="C793" i="2"/>
  <c r="A793" i="2"/>
  <c r="T792" i="2"/>
  <c r="S792" i="2"/>
  <c r="Q792" i="2"/>
  <c r="P792" i="2"/>
  <c r="M792" i="2"/>
  <c r="L792" i="2"/>
  <c r="I792" i="2"/>
  <c r="H792" i="2"/>
  <c r="A792" i="2"/>
  <c r="T791" i="2"/>
  <c r="S791" i="2"/>
  <c r="Q791" i="2"/>
  <c r="P791" i="2"/>
  <c r="M791" i="2"/>
  <c r="L791" i="2"/>
  <c r="K791" i="2"/>
  <c r="I791" i="2"/>
  <c r="G791" i="2"/>
  <c r="D791" i="2"/>
  <c r="C791" i="2"/>
  <c r="A791" i="2"/>
  <c r="T790" i="2"/>
  <c r="S790" i="2"/>
  <c r="R790" i="2"/>
  <c r="Q790" i="2"/>
  <c r="P790" i="2"/>
  <c r="M790" i="2"/>
  <c r="L790" i="2"/>
  <c r="I790" i="2"/>
  <c r="A790" i="2"/>
  <c r="T789" i="2"/>
  <c r="S789" i="2"/>
  <c r="R789" i="2"/>
  <c r="Q789" i="2"/>
  <c r="P789" i="2"/>
  <c r="M789" i="2"/>
  <c r="L789" i="2"/>
  <c r="I789" i="2"/>
  <c r="G789" i="2"/>
  <c r="D789" i="2"/>
  <c r="A789" i="2"/>
  <c r="T788" i="2"/>
  <c r="S788" i="2"/>
  <c r="R788" i="2"/>
  <c r="Q788" i="2"/>
  <c r="P788" i="2"/>
  <c r="M788" i="2"/>
  <c r="L788" i="2"/>
  <c r="K788" i="2"/>
  <c r="I788" i="2"/>
  <c r="H788" i="2"/>
  <c r="G788" i="2"/>
  <c r="D788" i="2"/>
  <c r="B788" i="2"/>
  <c r="A788" i="2"/>
  <c r="T787" i="2"/>
  <c r="S787" i="2"/>
  <c r="R787" i="2"/>
  <c r="Q787" i="2"/>
  <c r="P787" i="2"/>
  <c r="M787" i="2"/>
  <c r="L787" i="2"/>
  <c r="K787" i="2"/>
  <c r="I787" i="2"/>
  <c r="G787" i="2"/>
  <c r="D787" i="2"/>
  <c r="C787" i="2"/>
  <c r="A787" i="2"/>
  <c r="T786" i="2"/>
  <c r="S786" i="2"/>
  <c r="Q786" i="2"/>
  <c r="P786" i="2"/>
  <c r="M786" i="2"/>
  <c r="G786" i="2"/>
  <c r="D786" i="2"/>
  <c r="A786" i="2"/>
  <c r="T785" i="2"/>
  <c r="S785" i="2"/>
  <c r="Q785" i="2"/>
  <c r="P785" i="2"/>
  <c r="M785" i="2"/>
  <c r="C785" i="2"/>
  <c r="A785" i="2"/>
  <c r="T784" i="2"/>
  <c r="S784" i="2"/>
  <c r="Q784" i="2"/>
  <c r="P784" i="2"/>
  <c r="M784" i="2"/>
  <c r="L784" i="2"/>
  <c r="I784" i="2"/>
  <c r="G784" i="2"/>
  <c r="C784" i="2"/>
  <c r="B784" i="2"/>
  <c r="A784" i="2"/>
  <c r="T783" i="2"/>
  <c r="S783" i="2"/>
  <c r="R783" i="2"/>
  <c r="Q783" i="2"/>
  <c r="P783" i="2"/>
  <c r="M783" i="2"/>
  <c r="C783" i="2"/>
  <c r="B783" i="2"/>
  <c r="A783" i="2"/>
  <c r="T782" i="2"/>
  <c r="S782" i="2"/>
  <c r="R782" i="2"/>
  <c r="Q782" i="2"/>
  <c r="P782" i="2"/>
  <c r="M782" i="2"/>
  <c r="L782" i="2"/>
  <c r="K782" i="2"/>
  <c r="I782" i="2"/>
  <c r="D782" i="2"/>
  <c r="B782" i="2"/>
  <c r="A782" i="2"/>
  <c r="T781" i="2"/>
  <c r="S781" i="2"/>
  <c r="R781" i="2"/>
  <c r="Q781" i="2"/>
  <c r="P781" i="2"/>
  <c r="M781" i="2"/>
  <c r="C781" i="2"/>
  <c r="A781" i="2"/>
  <c r="T780" i="2"/>
  <c r="S780" i="2"/>
  <c r="Q780" i="2"/>
  <c r="P780" i="2"/>
  <c r="M780" i="2"/>
  <c r="I780" i="2"/>
  <c r="C780" i="2"/>
  <c r="A780" i="2"/>
  <c r="S779" i="2"/>
  <c r="Q779" i="2"/>
  <c r="P779" i="2"/>
  <c r="M779" i="2"/>
  <c r="C779" i="2"/>
  <c r="A779" i="2"/>
  <c r="T778" i="2"/>
  <c r="S778" i="2"/>
  <c r="Q778" i="2"/>
  <c r="P778" i="2"/>
  <c r="M778" i="2"/>
  <c r="C778" i="2"/>
  <c r="B778" i="2"/>
  <c r="A778" i="2"/>
  <c r="T777" i="2"/>
  <c r="S777" i="2"/>
  <c r="Q777" i="2"/>
  <c r="P777" i="2"/>
  <c r="M777" i="2"/>
  <c r="C777" i="2"/>
  <c r="B777" i="2"/>
  <c r="A777" i="2"/>
  <c r="T776" i="2"/>
  <c r="S776" i="2"/>
  <c r="Q776" i="2"/>
  <c r="P776" i="2"/>
  <c r="M776" i="2"/>
  <c r="C776" i="2"/>
  <c r="B776" i="2"/>
  <c r="A776" i="2"/>
  <c r="T775" i="2"/>
  <c r="S775" i="2"/>
  <c r="Q775" i="2"/>
  <c r="P775" i="2"/>
  <c r="M775" i="2"/>
  <c r="C775" i="2"/>
  <c r="B775" i="2"/>
  <c r="A775" i="2"/>
  <c r="T774" i="2"/>
  <c r="S774" i="2"/>
  <c r="Q774" i="2"/>
  <c r="P774" i="2"/>
  <c r="M774" i="2"/>
  <c r="C774" i="2"/>
  <c r="B774" i="2"/>
  <c r="A774" i="2"/>
  <c r="T773" i="2"/>
  <c r="S773" i="2"/>
  <c r="Q773" i="2"/>
  <c r="P773" i="2"/>
  <c r="M773" i="2"/>
  <c r="C773" i="2"/>
  <c r="B773" i="2"/>
  <c r="A773" i="2"/>
  <c r="T772" i="2"/>
  <c r="S772" i="2"/>
  <c r="Q772" i="2"/>
  <c r="P772" i="2"/>
  <c r="M772" i="2"/>
  <c r="B772" i="2"/>
  <c r="A772" i="2"/>
  <c r="T771" i="2"/>
  <c r="S771" i="2"/>
  <c r="Q771" i="2"/>
  <c r="P771" i="2"/>
  <c r="M771" i="2"/>
  <c r="C771" i="2"/>
  <c r="B771" i="2"/>
  <c r="A771" i="2"/>
  <c r="T770" i="2"/>
  <c r="S770" i="2"/>
  <c r="Q770" i="2"/>
  <c r="P770" i="2"/>
  <c r="M770" i="2"/>
  <c r="C770" i="2"/>
  <c r="B770" i="2"/>
  <c r="A770" i="2"/>
  <c r="T769" i="2"/>
  <c r="S769" i="2"/>
  <c r="Q769" i="2"/>
  <c r="P769" i="2"/>
  <c r="O769" i="2"/>
  <c r="M769" i="2"/>
  <c r="G769" i="2"/>
  <c r="D769" i="2"/>
  <c r="C769" i="2"/>
  <c r="B769" i="2"/>
  <c r="A769" i="2"/>
  <c r="T768" i="2"/>
  <c r="S768" i="2"/>
  <c r="Q768" i="2"/>
  <c r="P768" i="2"/>
  <c r="O768" i="2"/>
  <c r="M768" i="2"/>
  <c r="G768" i="2"/>
  <c r="D768" i="2"/>
  <c r="C768" i="2"/>
  <c r="B768" i="2"/>
  <c r="A768" i="2"/>
  <c r="T767" i="2"/>
  <c r="S767" i="2"/>
  <c r="Q767" i="2"/>
  <c r="P767" i="2"/>
  <c r="M767" i="2"/>
  <c r="L767" i="2"/>
  <c r="G767" i="2"/>
  <c r="D767" i="2"/>
  <c r="C767" i="2"/>
  <c r="B767" i="2"/>
  <c r="A767" i="2"/>
  <c r="T766" i="2"/>
  <c r="S766" i="2"/>
  <c r="P766" i="2"/>
  <c r="O766" i="2"/>
  <c r="M766" i="2"/>
  <c r="L766" i="2"/>
  <c r="K766" i="2"/>
  <c r="I766" i="2"/>
  <c r="G766" i="2"/>
  <c r="D766" i="2"/>
  <c r="B766" i="2"/>
  <c r="A766" i="2"/>
  <c r="T765" i="2"/>
  <c r="S765" i="2"/>
  <c r="Q765" i="2"/>
  <c r="P765" i="2"/>
  <c r="M765" i="2"/>
  <c r="C765" i="2"/>
  <c r="B765" i="2"/>
  <c r="A765" i="2"/>
  <c r="T764" i="2"/>
  <c r="P764" i="2"/>
  <c r="O764" i="2"/>
  <c r="M764" i="2"/>
  <c r="L764" i="2"/>
  <c r="K764" i="2"/>
  <c r="I764" i="2"/>
  <c r="G764" i="2"/>
  <c r="F764" i="2"/>
  <c r="D764" i="2"/>
  <c r="B764" i="2"/>
  <c r="A764" i="2"/>
  <c r="T763" i="2"/>
  <c r="S763" i="2"/>
  <c r="Q763" i="2"/>
  <c r="P763" i="2"/>
  <c r="M763" i="2"/>
  <c r="C763" i="2"/>
  <c r="B763" i="2"/>
  <c r="A763" i="2"/>
  <c r="T762" i="2"/>
  <c r="S762" i="2"/>
  <c r="Q762" i="2"/>
  <c r="P762" i="2"/>
  <c r="O762" i="2"/>
  <c r="M762" i="2"/>
  <c r="L762" i="2"/>
  <c r="K762" i="2"/>
  <c r="G762" i="2"/>
  <c r="D762" i="2"/>
  <c r="B762" i="2"/>
  <c r="A762" i="2"/>
  <c r="T761" i="2"/>
  <c r="S761" i="2"/>
  <c r="Q761" i="2"/>
  <c r="P761" i="2"/>
  <c r="O761" i="2"/>
  <c r="M761" i="2"/>
  <c r="I761" i="2"/>
  <c r="G761" i="2"/>
  <c r="C761" i="2"/>
  <c r="B761" i="2"/>
  <c r="A761" i="2"/>
  <c r="T760" i="2"/>
  <c r="S760" i="2"/>
  <c r="Q760" i="2"/>
  <c r="P760" i="2"/>
  <c r="O760" i="2"/>
  <c r="M760" i="2"/>
  <c r="L760" i="2"/>
  <c r="K760" i="2"/>
  <c r="I760" i="2"/>
  <c r="G760" i="2"/>
  <c r="D760" i="2"/>
  <c r="B760" i="2"/>
  <c r="A760" i="2"/>
  <c r="T759" i="2"/>
  <c r="S759" i="2"/>
  <c r="Q759" i="2"/>
  <c r="P759" i="2"/>
  <c r="O759" i="2"/>
  <c r="M759" i="2"/>
  <c r="L759" i="2"/>
  <c r="K759" i="2"/>
  <c r="I759" i="2"/>
  <c r="G759" i="2"/>
  <c r="D759" i="2"/>
  <c r="A759" i="2"/>
  <c r="T758" i="2"/>
  <c r="S758" i="2"/>
  <c r="Q758" i="2"/>
  <c r="P758" i="2"/>
  <c r="O758" i="2"/>
  <c r="M758" i="2"/>
  <c r="L758" i="2"/>
  <c r="I758" i="2"/>
  <c r="G758" i="2"/>
  <c r="D758" i="2"/>
  <c r="B758" i="2"/>
  <c r="A758" i="2"/>
  <c r="T757" i="2"/>
  <c r="S757" i="2"/>
  <c r="Q757" i="2"/>
  <c r="P757" i="2"/>
  <c r="M757" i="2"/>
  <c r="C757" i="2"/>
  <c r="B757" i="2"/>
  <c r="A757" i="2"/>
  <c r="T756" i="2"/>
  <c r="S756" i="2"/>
  <c r="Q756" i="2"/>
  <c r="O756" i="2"/>
  <c r="M756" i="2"/>
  <c r="L756" i="2"/>
  <c r="K756" i="2"/>
  <c r="I756" i="2"/>
  <c r="G756" i="2"/>
  <c r="F756" i="2"/>
  <c r="D756" i="2"/>
  <c r="B756" i="2"/>
  <c r="A756" i="2"/>
  <c r="T755" i="2"/>
  <c r="S755" i="2"/>
  <c r="Q755" i="2"/>
  <c r="P755" i="2"/>
  <c r="O755" i="2"/>
  <c r="M755" i="2"/>
  <c r="L755" i="2"/>
  <c r="G755" i="2"/>
  <c r="D755" i="2"/>
  <c r="B755" i="2"/>
  <c r="A755" i="2"/>
  <c r="T754" i="2"/>
  <c r="S754" i="2"/>
  <c r="Q754" i="2"/>
  <c r="P754" i="2"/>
  <c r="O754" i="2"/>
  <c r="M754" i="2"/>
  <c r="L754" i="2"/>
  <c r="I754" i="2"/>
  <c r="G754" i="2"/>
  <c r="D754" i="2"/>
  <c r="B754" i="2"/>
  <c r="A754" i="2"/>
  <c r="T753" i="2"/>
  <c r="S753" i="2"/>
  <c r="Q753" i="2"/>
  <c r="P753" i="2"/>
  <c r="O753" i="2"/>
  <c r="M753" i="2"/>
  <c r="L753" i="2"/>
  <c r="G753" i="2"/>
  <c r="F753" i="2"/>
  <c r="D753" i="2"/>
  <c r="B753" i="2"/>
  <c r="A753" i="2"/>
  <c r="T752" i="2"/>
  <c r="S752" i="2"/>
  <c r="Q752" i="2"/>
  <c r="P752" i="2"/>
  <c r="O752" i="2"/>
  <c r="M752" i="2"/>
  <c r="L752" i="2"/>
  <c r="K752" i="2"/>
  <c r="I752" i="2"/>
  <c r="G752" i="2"/>
  <c r="F752" i="2"/>
  <c r="D752" i="2"/>
  <c r="B752" i="2"/>
  <c r="A752" i="2"/>
  <c r="T751" i="2"/>
  <c r="S751" i="2"/>
  <c r="Q751" i="2"/>
  <c r="P751" i="2"/>
  <c r="M751" i="2"/>
  <c r="C751" i="2"/>
  <c r="A751" i="2"/>
  <c r="T750" i="2"/>
  <c r="S750" i="2"/>
  <c r="Q750" i="2"/>
  <c r="P750" i="2"/>
  <c r="O750" i="2"/>
  <c r="M750" i="2"/>
  <c r="L750" i="2"/>
  <c r="K750" i="2"/>
  <c r="I750" i="2"/>
  <c r="D750" i="2"/>
  <c r="A750" i="2"/>
  <c r="T749" i="2"/>
  <c r="S749" i="2"/>
  <c r="Q749" i="2"/>
  <c r="P749" i="2"/>
  <c r="O749" i="2"/>
  <c r="M749" i="2"/>
  <c r="L749" i="2"/>
  <c r="I749" i="2"/>
  <c r="G749" i="2"/>
  <c r="D749" i="2"/>
  <c r="B749" i="2"/>
  <c r="A749" i="2"/>
  <c r="T748" i="2"/>
  <c r="Q748" i="2"/>
  <c r="P748" i="2"/>
  <c r="O748" i="2"/>
  <c r="M748" i="2"/>
  <c r="L748" i="2"/>
  <c r="K748" i="2"/>
  <c r="G748" i="2"/>
  <c r="D748" i="2"/>
  <c r="B748" i="2"/>
  <c r="A748" i="2"/>
  <c r="T747" i="2"/>
  <c r="Q747" i="2"/>
  <c r="P747" i="2"/>
  <c r="O747" i="2"/>
  <c r="M747" i="2"/>
  <c r="L747" i="2"/>
  <c r="K747" i="2"/>
  <c r="I747" i="2"/>
  <c r="D747" i="2"/>
  <c r="B747" i="2"/>
  <c r="A747" i="2"/>
  <c r="T746" i="2"/>
  <c r="S746" i="2"/>
  <c r="Q746" i="2"/>
  <c r="P746" i="2"/>
  <c r="O746" i="2"/>
  <c r="M746" i="2"/>
  <c r="K746" i="2"/>
  <c r="I746" i="2"/>
  <c r="B746" i="2"/>
  <c r="A746" i="2"/>
  <c r="T745" i="2"/>
  <c r="S745" i="2"/>
  <c r="Q745" i="2"/>
  <c r="P745" i="2"/>
  <c r="M745" i="2"/>
  <c r="C745" i="2"/>
  <c r="B745" i="2"/>
  <c r="A745" i="2"/>
  <c r="T744" i="2"/>
  <c r="S744" i="2"/>
  <c r="Q744" i="2"/>
  <c r="P744" i="2"/>
  <c r="M744" i="2"/>
  <c r="C744" i="2"/>
  <c r="B744" i="2"/>
  <c r="A744" i="2"/>
  <c r="T743" i="2"/>
  <c r="S743" i="2"/>
  <c r="Q743" i="2"/>
  <c r="P743" i="2"/>
  <c r="M743" i="2"/>
  <c r="C743" i="2"/>
  <c r="B743" i="2"/>
  <c r="A743" i="2"/>
  <c r="T742" i="2"/>
  <c r="S742" i="2"/>
  <c r="Q742" i="2"/>
  <c r="P742" i="2"/>
  <c r="M742" i="2"/>
  <c r="C742" i="2"/>
  <c r="B742" i="2"/>
  <c r="A742" i="2"/>
  <c r="T741" i="2"/>
  <c r="Q741" i="2"/>
  <c r="P741" i="2"/>
  <c r="M741" i="2"/>
  <c r="C741" i="2"/>
  <c r="B741" i="2"/>
  <c r="A741" i="2"/>
  <c r="T740" i="2"/>
  <c r="S740" i="2"/>
  <c r="Q740" i="2"/>
  <c r="P740" i="2"/>
  <c r="M740" i="2"/>
  <c r="C740" i="2"/>
  <c r="B740" i="2"/>
  <c r="A740" i="2"/>
  <c r="T739" i="2"/>
  <c r="S739" i="2"/>
  <c r="Q739" i="2"/>
  <c r="P739" i="2"/>
  <c r="M739" i="2"/>
  <c r="C739" i="2"/>
  <c r="B739" i="2"/>
  <c r="A739" i="2"/>
  <c r="T738" i="2"/>
  <c r="S738" i="2"/>
  <c r="Q738" i="2"/>
  <c r="P738" i="2"/>
  <c r="M738" i="2"/>
  <c r="C738" i="2"/>
  <c r="B738" i="2"/>
  <c r="A738" i="2"/>
  <c r="T737" i="2"/>
  <c r="S737" i="2"/>
  <c r="Q737" i="2"/>
  <c r="P737" i="2"/>
  <c r="M737" i="2"/>
  <c r="C737" i="2"/>
  <c r="B737" i="2"/>
  <c r="A737" i="2"/>
  <c r="T736" i="2"/>
  <c r="P736" i="2"/>
  <c r="O736" i="2"/>
  <c r="M736" i="2"/>
  <c r="K736" i="2"/>
  <c r="F736" i="2"/>
  <c r="B736" i="2"/>
  <c r="A736" i="2"/>
  <c r="T735" i="2"/>
  <c r="P735" i="2"/>
  <c r="O735" i="2"/>
  <c r="M735" i="2"/>
  <c r="L735" i="2"/>
  <c r="K735" i="2"/>
  <c r="I735" i="2"/>
  <c r="G735" i="2"/>
  <c r="F735" i="2"/>
  <c r="D735" i="2"/>
  <c r="C735" i="2"/>
  <c r="B735" i="2"/>
  <c r="A735" i="2"/>
  <c r="T734" i="2"/>
  <c r="P734" i="2"/>
  <c r="O734" i="2"/>
  <c r="M734" i="2"/>
  <c r="L734" i="2"/>
  <c r="I734" i="2"/>
  <c r="G734" i="2"/>
  <c r="F734" i="2"/>
  <c r="D734" i="2"/>
  <c r="B734" i="2"/>
  <c r="A734" i="2"/>
  <c r="CF730" i="2"/>
  <c r="CE730" i="2"/>
  <c r="CD730" i="2"/>
  <c r="BW730" i="2"/>
  <c r="BP730" i="2"/>
  <c r="BO730" i="2"/>
  <c r="BN730" i="2"/>
  <c r="BF730" i="2"/>
  <c r="BE730" i="2"/>
  <c r="BB730" i="2"/>
  <c r="BA730" i="2"/>
  <c r="AZ730" i="2"/>
  <c r="AY730" i="2"/>
  <c r="AX730" i="2"/>
  <c r="AW730" i="2"/>
  <c r="AV730" i="2"/>
  <c r="AU730" i="2"/>
  <c r="AT730" i="2"/>
  <c r="AS730" i="2"/>
  <c r="AR730" i="2"/>
  <c r="AQ730" i="2"/>
  <c r="AP730" i="2"/>
  <c r="AO730" i="2"/>
  <c r="AN730" i="2"/>
  <c r="AM730" i="2"/>
  <c r="AL730" i="2"/>
  <c r="AK730" i="2"/>
  <c r="AJ730" i="2"/>
  <c r="AI730" i="2"/>
  <c r="AG730" i="2"/>
  <c r="AF730" i="2"/>
  <c r="AE730" i="2"/>
  <c r="AD730" i="2"/>
  <c r="AA730" i="2"/>
  <c r="Z730" i="2"/>
  <c r="Y730" i="2"/>
  <c r="W730" i="2"/>
  <c r="R730" i="2"/>
  <c r="N730" i="2"/>
  <c r="M730" i="2"/>
  <c r="L730" i="2"/>
  <c r="K730" i="2"/>
  <c r="J730" i="2"/>
  <c r="I730" i="2"/>
  <c r="H730" i="2"/>
  <c r="G730" i="2"/>
  <c r="F730" i="2"/>
  <c r="E730" i="2"/>
  <c r="D730" i="2"/>
  <c r="C730" i="2"/>
  <c r="B730" i="2"/>
  <c r="A730" i="2"/>
  <c r="BR726" i="2"/>
  <c r="BQ726" i="2"/>
  <c r="BP726" i="2"/>
  <c r="BO726" i="2"/>
  <c r="BN726" i="2"/>
  <c r="BM726" i="2"/>
  <c r="BL726" i="2"/>
  <c r="BK726" i="2"/>
  <c r="BJ726" i="2"/>
  <c r="BI726" i="2"/>
  <c r="BH726" i="2"/>
  <c r="BG726" i="2"/>
  <c r="BF726" i="2"/>
  <c r="BE726" i="2"/>
  <c r="BD726" i="2"/>
  <c r="BC726" i="2"/>
  <c r="BB726" i="2"/>
  <c r="BA726" i="2"/>
  <c r="AZ726" i="2"/>
  <c r="AY726" i="2"/>
  <c r="AX726" i="2"/>
  <c r="AW726" i="2"/>
  <c r="AV726" i="2"/>
  <c r="AU726" i="2"/>
  <c r="AT726" i="2"/>
  <c r="AS726" i="2"/>
  <c r="AR726" i="2"/>
  <c r="AQ726" i="2"/>
  <c r="AP726" i="2"/>
  <c r="AO726" i="2"/>
  <c r="AN726" i="2"/>
  <c r="AM726" i="2"/>
  <c r="AL726" i="2"/>
  <c r="AK726" i="2"/>
  <c r="AH726" i="2"/>
  <c r="AG726" i="2"/>
  <c r="AF726" i="2"/>
  <c r="AE726" i="2"/>
  <c r="AC726" i="2"/>
  <c r="AB726" i="2"/>
  <c r="AA726" i="2"/>
  <c r="Z726" i="2"/>
  <c r="X726" i="2"/>
  <c r="W726" i="2"/>
  <c r="V726" i="2"/>
  <c r="U726" i="2"/>
  <c r="S726" i="2"/>
  <c r="R726" i="2"/>
  <c r="Q726" i="2"/>
  <c r="P726" i="2"/>
  <c r="O726" i="2"/>
  <c r="N726" i="2"/>
  <c r="M726" i="2"/>
  <c r="L726" i="2"/>
  <c r="K726" i="2"/>
  <c r="J726" i="2"/>
  <c r="I726" i="2"/>
  <c r="H726" i="2"/>
  <c r="G726" i="2"/>
  <c r="F726" i="2"/>
  <c r="E726" i="2"/>
  <c r="D726" i="2"/>
  <c r="C726" i="2"/>
  <c r="B726" i="2"/>
  <c r="A726" i="2"/>
  <c r="CC722" i="2"/>
  <c r="CB722" i="2"/>
  <c r="CA722" i="2"/>
  <c r="BZ722" i="2"/>
  <c r="BY722" i="2"/>
  <c r="BX722" i="2"/>
  <c r="BW722" i="2"/>
  <c r="BV722" i="2"/>
  <c r="BU722" i="2"/>
  <c r="BT722" i="2"/>
  <c r="BS722" i="2"/>
  <c r="BR722" i="2"/>
  <c r="BQ722" i="2"/>
  <c r="BP722" i="2"/>
  <c r="BO722" i="2"/>
  <c r="BN722" i="2"/>
  <c r="BM722" i="2"/>
  <c r="BL722" i="2"/>
  <c r="BK722" i="2"/>
  <c r="BJ722" i="2"/>
  <c r="BI722" i="2"/>
  <c r="BH722" i="2"/>
  <c r="BG722" i="2"/>
  <c r="BF722" i="2"/>
  <c r="BE722" i="2"/>
  <c r="BD722" i="2"/>
  <c r="BC722" i="2"/>
  <c r="BB722" i="2"/>
  <c r="BA722" i="2"/>
  <c r="AZ722" i="2"/>
  <c r="AY722" i="2"/>
  <c r="AX722" i="2"/>
  <c r="AW722" i="2"/>
  <c r="AV722" i="2"/>
  <c r="AR722" i="2"/>
  <c r="AQ722" i="2"/>
  <c r="AP722" i="2"/>
  <c r="AO722" i="2"/>
  <c r="AN722" i="2"/>
  <c r="AM722" i="2"/>
  <c r="AL722" i="2"/>
  <c r="AK722" i="2"/>
  <c r="AJ722" i="2"/>
  <c r="AI722" i="2"/>
  <c r="AH722" i="2"/>
  <c r="AG722" i="2"/>
  <c r="AF722" i="2"/>
  <c r="AE722" i="2"/>
  <c r="AD722" i="2"/>
  <c r="AC722" i="2"/>
  <c r="AB722" i="2"/>
  <c r="AA722" i="2"/>
  <c r="Z722" i="2"/>
  <c r="Y722" i="2"/>
  <c r="X722" i="2"/>
  <c r="W722" i="2"/>
  <c r="V722" i="2"/>
  <c r="U722" i="2"/>
  <c r="T722" i="2"/>
  <c r="S722" i="2"/>
  <c r="R722" i="2"/>
  <c r="Q722" i="2"/>
  <c r="P722" i="2"/>
  <c r="O722" i="2"/>
  <c r="N722" i="2"/>
  <c r="M722" i="2"/>
  <c r="L722" i="2"/>
  <c r="K722" i="2"/>
  <c r="J722" i="2"/>
  <c r="I722" i="2"/>
  <c r="G722" i="2"/>
  <c r="F722" i="2"/>
  <c r="E722" i="2"/>
  <c r="D722" i="2"/>
  <c r="C722" i="2"/>
  <c r="B722" i="2"/>
  <c r="A722" i="2"/>
  <c r="C615" i="2"/>
  <c r="E550" i="2"/>
  <c r="F550" i="2"/>
  <c r="F546" i="2"/>
  <c r="E546" i="2"/>
  <c r="H545" i="2"/>
  <c r="F545" i="2"/>
  <c r="E545" i="2"/>
  <c r="F544" i="2"/>
  <c r="E544" i="2"/>
  <c r="E540" i="2"/>
  <c r="F540" i="2"/>
  <c r="E539" i="2"/>
  <c r="F539" i="2"/>
  <c r="H538" i="2"/>
  <c r="E538" i="2"/>
  <c r="F538" i="2"/>
  <c r="H537" i="2"/>
  <c r="F537" i="2"/>
  <c r="E537" i="2"/>
  <c r="H536" i="2"/>
  <c r="F536" i="2"/>
  <c r="E536" i="2"/>
  <c r="F535" i="2"/>
  <c r="E535" i="2"/>
  <c r="H535" i="2"/>
  <c r="F534" i="2"/>
  <c r="E534" i="2"/>
  <c r="H534" i="2"/>
  <c r="E533" i="2"/>
  <c r="H532" i="2"/>
  <c r="E532" i="2"/>
  <c r="F532" i="2"/>
  <c r="E531" i="2"/>
  <c r="F531" i="2"/>
  <c r="E530" i="2"/>
  <c r="H529" i="2"/>
  <c r="F529" i="2"/>
  <c r="E529" i="2"/>
  <c r="E528" i="2"/>
  <c r="F528" i="2"/>
  <c r="F527" i="2"/>
  <c r="E527" i="2"/>
  <c r="H527" i="2"/>
  <c r="E526" i="2"/>
  <c r="E525" i="2"/>
  <c r="E524" i="2"/>
  <c r="F524" i="2"/>
  <c r="E523" i="2"/>
  <c r="F523" i="2"/>
  <c r="E522" i="2"/>
  <c r="F522" i="2"/>
  <c r="F521" i="2"/>
  <c r="F520" i="2"/>
  <c r="E520" i="2"/>
  <c r="E519" i="2"/>
  <c r="E518" i="2"/>
  <c r="F518" i="2"/>
  <c r="E517" i="2"/>
  <c r="F517" i="2"/>
  <c r="F516" i="2"/>
  <c r="E516" i="2"/>
  <c r="F515" i="2"/>
  <c r="E515" i="2"/>
  <c r="F514" i="2"/>
  <c r="E514" i="2"/>
  <c r="H513" i="2"/>
  <c r="F512" i="2"/>
  <c r="F511" i="2"/>
  <c r="E511" i="2"/>
  <c r="E510" i="2"/>
  <c r="F510" i="2"/>
  <c r="F509" i="2"/>
  <c r="E509" i="2"/>
  <c r="F508" i="2"/>
  <c r="E508" i="2"/>
  <c r="E507" i="2"/>
  <c r="E506" i="2"/>
  <c r="F506" i="2"/>
  <c r="E505" i="2"/>
  <c r="F505" i="2"/>
  <c r="H504" i="2"/>
  <c r="F504" i="2"/>
  <c r="E504" i="2"/>
  <c r="F503" i="2"/>
  <c r="E503" i="2"/>
  <c r="H502" i="2"/>
  <c r="F502" i="2"/>
  <c r="E502" i="2"/>
  <c r="F501" i="2"/>
  <c r="E501" i="2"/>
  <c r="H501" i="2"/>
  <c r="E500" i="2"/>
  <c r="H500" i="2"/>
  <c r="E499" i="2"/>
  <c r="E498" i="2"/>
  <c r="E497" i="2"/>
  <c r="F497" i="2"/>
  <c r="F496" i="2"/>
  <c r="E496" i="2"/>
  <c r="G493" i="2"/>
  <c r="E493" i="2"/>
  <c r="C493" i="2"/>
  <c r="A493" i="2"/>
  <c r="B471" i="2"/>
  <c r="C459" i="2"/>
  <c r="B459" i="2"/>
  <c r="B458" i="2"/>
  <c r="B455" i="2"/>
  <c r="B454" i="2"/>
  <c r="B453" i="2"/>
  <c r="C447" i="2"/>
  <c r="C438" i="2"/>
  <c r="B433" i="2"/>
  <c r="D424" i="2"/>
  <c r="B424" i="2"/>
  <c r="B423" i="2"/>
  <c r="D421" i="2"/>
  <c r="B421" i="2"/>
  <c r="B420" i="2"/>
  <c r="D418" i="2"/>
  <c r="B418" i="2"/>
  <c r="B417" i="2"/>
  <c r="D415" i="2"/>
  <c r="B415" i="2"/>
  <c r="B414" i="2"/>
  <c r="A412" i="2"/>
  <c r="C389" i="2"/>
  <c r="D372" i="2"/>
  <c r="C365" i="2"/>
  <c r="BM730" i="2" s="1"/>
  <c r="C363" i="2"/>
  <c r="D329" i="2"/>
  <c r="D328" i="2"/>
  <c r="D319" i="2"/>
  <c r="C305" i="2"/>
  <c r="AH730" i="2" s="1"/>
  <c r="C286" i="2"/>
  <c r="AC730" i="2" s="1"/>
  <c r="C282" i="2"/>
  <c r="AB730" i="2" s="1"/>
  <c r="D265" i="2"/>
  <c r="D260" i="2"/>
  <c r="D240" i="2"/>
  <c r="B447" i="2" s="1"/>
  <c r="D236" i="2"/>
  <c r="B446" i="2" s="1"/>
  <c r="D229" i="2"/>
  <c r="B445" i="2" s="1"/>
  <c r="D221" i="2"/>
  <c r="D217" i="2"/>
  <c r="C217" i="2"/>
  <c r="D433" i="2" s="1"/>
  <c r="B217" i="2"/>
  <c r="E216" i="2"/>
  <c r="E215" i="2"/>
  <c r="E214" i="2"/>
  <c r="E213" i="2"/>
  <c r="E212" i="2"/>
  <c r="E211" i="2"/>
  <c r="E210" i="2"/>
  <c r="E209" i="2"/>
  <c r="D204" i="2"/>
  <c r="C204" i="2"/>
  <c r="B204" i="2"/>
  <c r="E203" i="2"/>
  <c r="E202" i="2"/>
  <c r="E201" i="2"/>
  <c r="E200" i="2"/>
  <c r="E199" i="2"/>
  <c r="E198" i="2"/>
  <c r="E197" i="2"/>
  <c r="C470" i="2" s="1"/>
  <c r="E196" i="2"/>
  <c r="E195" i="2"/>
  <c r="D190" i="2"/>
  <c r="D437" i="2" s="1"/>
  <c r="D186" i="2"/>
  <c r="D436" i="2" s="1"/>
  <c r="D181" i="2"/>
  <c r="D435" i="2" s="1"/>
  <c r="D177" i="2"/>
  <c r="D434" i="2" s="1"/>
  <c r="C171" i="2"/>
  <c r="H722" i="2" s="1"/>
  <c r="E154" i="2"/>
  <c r="E153" i="2"/>
  <c r="E152" i="2"/>
  <c r="E151" i="2"/>
  <c r="C421" i="2" s="1"/>
  <c r="E150" i="2"/>
  <c r="C420" i="2" s="1"/>
  <c r="E148" i="2"/>
  <c r="E147" i="2"/>
  <c r="E146" i="2"/>
  <c r="E145" i="2"/>
  <c r="C418" i="2" s="1"/>
  <c r="E144" i="2"/>
  <c r="C417" i="2" s="1"/>
  <c r="E142" i="2"/>
  <c r="E141" i="2"/>
  <c r="D140" i="2"/>
  <c r="AJ726" i="2" s="1"/>
  <c r="C139" i="2"/>
  <c r="AD726" i="2" s="1"/>
  <c r="B139" i="2"/>
  <c r="Y726" i="2" s="1"/>
  <c r="E138" i="2"/>
  <c r="C414" i="2" s="1"/>
  <c r="E127" i="2"/>
  <c r="AV80" i="2"/>
  <c r="T779" i="2" s="1"/>
  <c r="CF79" i="2"/>
  <c r="AG79" i="2"/>
  <c r="S764" i="2" s="1"/>
  <c r="Q79" i="2"/>
  <c r="S748" i="2" s="1"/>
  <c r="P79" i="2"/>
  <c r="S747" i="2" s="1"/>
  <c r="J79" i="2"/>
  <c r="S741" i="2" s="1"/>
  <c r="E79" i="2"/>
  <c r="S736" i="2" s="1"/>
  <c r="D79" i="2"/>
  <c r="S735" i="2" s="1"/>
  <c r="C79" i="2"/>
  <c r="S734" i="2" s="1"/>
  <c r="CF78" i="2"/>
  <c r="CF77" i="2"/>
  <c r="AI77" i="2"/>
  <c r="Q766" i="2" s="1"/>
  <c r="AG77" i="2"/>
  <c r="Q764" i="2" s="1"/>
  <c r="E77" i="2"/>
  <c r="Q736" i="2" s="1"/>
  <c r="D77" i="2"/>
  <c r="Q735" i="2" s="1"/>
  <c r="C77" i="2"/>
  <c r="Q734" i="2" s="1"/>
  <c r="Y76" i="2"/>
  <c r="P756" i="2" s="1"/>
  <c r="AL75" i="2"/>
  <c r="N769" i="2" s="1"/>
  <c r="AK75" i="2"/>
  <c r="N768" i="2" s="1"/>
  <c r="AI75" i="2"/>
  <c r="N766" i="2" s="1"/>
  <c r="AG75" i="2"/>
  <c r="N764" i="2" s="1"/>
  <c r="AE75" i="2"/>
  <c r="N762" i="2" s="1"/>
  <c r="AD75" i="2"/>
  <c r="N761" i="2" s="1"/>
  <c r="AC75" i="2"/>
  <c r="N760" i="2" s="1"/>
  <c r="AB75" i="2"/>
  <c r="N759" i="2" s="1"/>
  <c r="AA75" i="2"/>
  <c r="N758" i="2" s="1"/>
  <c r="Y75" i="2"/>
  <c r="N756" i="2" s="1"/>
  <c r="X75" i="2"/>
  <c r="N755" i="2" s="1"/>
  <c r="W75" i="2"/>
  <c r="N754" i="2" s="1"/>
  <c r="V75" i="2"/>
  <c r="N753" i="2" s="1"/>
  <c r="U75" i="2"/>
  <c r="N752" i="2" s="1"/>
  <c r="S75" i="2"/>
  <c r="N750" i="2" s="1"/>
  <c r="R75" i="2"/>
  <c r="N749" i="2" s="1"/>
  <c r="Q75" i="2"/>
  <c r="N748" i="2" s="1"/>
  <c r="P75" i="2"/>
  <c r="N747" i="2" s="1"/>
  <c r="O75" i="2"/>
  <c r="N746" i="2" s="1"/>
  <c r="E75" i="2"/>
  <c r="N736" i="2" s="1"/>
  <c r="D75" i="2"/>
  <c r="N735" i="2" s="1"/>
  <c r="C75" i="2"/>
  <c r="N734" i="2" s="1"/>
  <c r="O779" i="2"/>
  <c r="O778" i="2"/>
  <c r="O777" i="2"/>
  <c r="O776" i="2"/>
  <c r="O775" i="2"/>
  <c r="O773" i="2"/>
  <c r="O772" i="2"/>
  <c r="O771" i="2"/>
  <c r="O770" i="2"/>
  <c r="O767" i="2"/>
  <c r="O765" i="2"/>
  <c r="O763" i="2"/>
  <c r="O751" i="2"/>
  <c r="O745" i="2"/>
  <c r="O744" i="2"/>
  <c r="O743" i="2"/>
  <c r="O742" i="2"/>
  <c r="O741" i="2"/>
  <c r="O740" i="2"/>
  <c r="O738" i="2"/>
  <c r="O737" i="2"/>
  <c r="CD71" i="2"/>
  <c r="C575" i="2" s="1"/>
  <c r="CE70" i="2"/>
  <c r="M816" i="2" s="1"/>
  <c r="CC69" i="2"/>
  <c r="L812" i="2" s="1"/>
  <c r="L811" i="2"/>
  <c r="L809" i="2"/>
  <c r="L804" i="2"/>
  <c r="L803" i="2"/>
  <c r="L800" i="2"/>
  <c r="L796" i="2"/>
  <c r="L786" i="2"/>
  <c r="L785" i="2"/>
  <c r="L783" i="2"/>
  <c r="L781" i="2"/>
  <c r="L780" i="2"/>
  <c r="L779" i="2"/>
  <c r="L778" i="2"/>
  <c r="L777" i="2"/>
  <c r="L776" i="2"/>
  <c r="L775" i="2"/>
  <c r="L774" i="2"/>
  <c r="L773" i="2"/>
  <c r="L772" i="2"/>
  <c r="L771" i="2"/>
  <c r="L770" i="2"/>
  <c r="L769" i="2"/>
  <c r="L768" i="2"/>
  <c r="L765" i="2"/>
  <c r="L763" i="2"/>
  <c r="L761" i="2"/>
  <c r="L757" i="2"/>
  <c r="L751" i="2"/>
  <c r="O69" i="2"/>
  <c r="L746" i="2" s="1"/>
  <c r="L745" i="2"/>
  <c r="L744" i="2"/>
  <c r="L743" i="2"/>
  <c r="L742" i="2"/>
  <c r="L741" i="2"/>
  <c r="L740" i="2"/>
  <c r="L739" i="2"/>
  <c r="L738" i="2"/>
  <c r="L737" i="2"/>
  <c r="E69" i="2"/>
  <c r="L736" i="2" s="1"/>
  <c r="K812" i="2"/>
  <c r="K811" i="2"/>
  <c r="K809" i="2"/>
  <c r="K806" i="2"/>
  <c r="K804" i="2"/>
  <c r="K803" i="2"/>
  <c r="K800" i="2"/>
  <c r="K798" i="2"/>
  <c r="K796" i="2"/>
  <c r="K794" i="2"/>
  <c r="K793" i="2"/>
  <c r="K792" i="2"/>
  <c r="K790" i="2"/>
  <c r="K789" i="2"/>
  <c r="K786" i="2"/>
  <c r="K785" i="2"/>
  <c r="K784" i="2"/>
  <c r="K783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5" i="2"/>
  <c r="K763" i="2"/>
  <c r="K761" i="2"/>
  <c r="K758" i="2"/>
  <c r="K757" i="2"/>
  <c r="K755" i="2"/>
  <c r="K754" i="2"/>
  <c r="K753" i="2"/>
  <c r="K751" i="2"/>
  <c r="K749" i="2"/>
  <c r="K745" i="2"/>
  <c r="K744" i="2"/>
  <c r="K743" i="2"/>
  <c r="K742" i="2"/>
  <c r="K741" i="2"/>
  <c r="K740" i="2"/>
  <c r="K739" i="2"/>
  <c r="K738" i="2"/>
  <c r="K737" i="2"/>
  <c r="K734" i="2"/>
  <c r="CC66" i="2"/>
  <c r="I812" i="2" s="1"/>
  <c r="I811" i="2"/>
  <c r="I809" i="2"/>
  <c r="I804" i="2"/>
  <c r="I803" i="2"/>
  <c r="I800" i="2"/>
  <c r="I796" i="2"/>
  <c r="I786" i="2"/>
  <c r="I785" i="2"/>
  <c r="I783" i="2"/>
  <c r="I781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5" i="2"/>
  <c r="I763" i="2"/>
  <c r="I762" i="2"/>
  <c r="I757" i="2"/>
  <c r="I755" i="2"/>
  <c r="I753" i="2"/>
  <c r="I751" i="2"/>
  <c r="I748" i="2"/>
  <c r="I745" i="2"/>
  <c r="I744" i="2"/>
  <c r="I743" i="2"/>
  <c r="I742" i="2"/>
  <c r="I741" i="2"/>
  <c r="I740" i="2"/>
  <c r="I739" i="2"/>
  <c r="I738" i="2"/>
  <c r="I737" i="2"/>
  <c r="E66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1" i="2"/>
  <c r="H790" i="2"/>
  <c r="H789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CC64" i="2"/>
  <c r="G812" i="2" s="1"/>
  <c r="G811" i="2"/>
  <c r="G809" i="2"/>
  <c r="G804" i="2"/>
  <c r="G800" i="2"/>
  <c r="G796" i="2"/>
  <c r="G793" i="2"/>
  <c r="BI64" i="2"/>
  <c r="G792" i="2" s="1"/>
  <c r="BG64" i="2"/>
  <c r="G790" i="2" s="1"/>
  <c r="G785" i="2"/>
  <c r="G783" i="2"/>
  <c r="AY64" i="2"/>
  <c r="G782" i="2" s="1"/>
  <c r="G781" i="2"/>
  <c r="G780" i="2"/>
  <c r="G779" i="2"/>
  <c r="G778" i="2"/>
  <c r="G777" i="2"/>
  <c r="G776" i="2"/>
  <c r="G775" i="2"/>
  <c r="G774" i="2"/>
  <c r="G773" i="2"/>
  <c r="G772" i="2"/>
  <c r="G771" i="2"/>
  <c r="G770" i="2"/>
  <c r="G765" i="2"/>
  <c r="G763" i="2"/>
  <c r="G757" i="2"/>
  <c r="G751" i="2"/>
  <c r="S64" i="2"/>
  <c r="G750" i="2" s="1"/>
  <c r="P64" i="2"/>
  <c r="G747" i="2" s="1"/>
  <c r="O64" i="2"/>
  <c r="G746" i="2" s="1"/>
  <c r="G745" i="2"/>
  <c r="G744" i="2"/>
  <c r="G743" i="2"/>
  <c r="G742" i="2"/>
  <c r="G741" i="2"/>
  <c r="G740" i="2"/>
  <c r="G739" i="2"/>
  <c r="G738" i="2"/>
  <c r="G737" i="2"/>
  <c r="E64" i="2"/>
  <c r="G736" i="2" s="1"/>
  <c r="F811" i="2"/>
  <c r="F810" i="2"/>
  <c r="F809" i="2"/>
  <c r="F805" i="2"/>
  <c r="F804" i="2"/>
  <c r="F803" i="2"/>
  <c r="F802" i="2"/>
  <c r="F801" i="2"/>
  <c r="F800" i="2"/>
  <c r="F799" i="2"/>
  <c r="F798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3" i="2"/>
  <c r="F762" i="2"/>
  <c r="F761" i="2"/>
  <c r="F760" i="2"/>
  <c r="F759" i="2"/>
  <c r="F758" i="2"/>
  <c r="F757" i="2"/>
  <c r="F755" i="2"/>
  <c r="F754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D809" i="2"/>
  <c r="BY61" i="2"/>
  <c r="BI61" i="2"/>
  <c r="BG61" i="2"/>
  <c r="D785" i="2"/>
  <c r="D777" i="2"/>
  <c r="D761" i="2"/>
  <c r="O61" i="2"/>
  <c r="D745" i="2"/>
  <c r="D737" i="2"/>
  <c r="E61" i="2"/>
  <c r="CA60" i="2"/>
  <c r="C810" i="2" s="1"/>
  <c r="BZ60" i="2"/>
  <c r="C809" i="2" s="1"/>
  <c r="BY60" i="2"/>
  <c r="C808" i="2" s="1"/>
  <c r="BX60" i="2"/>
  <c r="C807" i="2" s="1"/>
  <c r="BW60" i="2"/>
  <c r="C806" i="2" s="1"/>
  <c r="BV60" i="2"/>
  <c r="C805" i="2" s="1"/>
  <c r="BT60" i="2"/>
  <c r="C803" i="2" s="1"/>
  <c r="BR60" i="2"/>
  <c r="C801" i="2" s="1"/>
  <c r="BQ60" i="2"/>
  <c r="C800" i="2" s="1"/>
  <c r="BP60" i="2"/>
  <c r="C799" i="2" s="1"/>
  <c r="BO60" i="2"/>
  <c r="C798" i="2" s="1"/>
  <c r="BN60" i="2"/>
  <c r="C797" i="2" s="1"/>
  <c r="BL60" i="2"/>
  <c r="C795" i="2" s="1"/>
  <c r="BK60" i="2"/>
  <c r="C794" i="2" s="1"/>
  <c r="BI60" i="2"/>
  <c r="C792" i="2" s="1"/>
  <c r="BG60" i="2"/>
  <c r="C790" i="2" s="1"/>
  <c r="BF60" i="2"/>
  <c r="C789" i="2" s="1"/>
  <c r="BE60" i="2"/>
  <c r="C788" i="2" s="1"/>
  <c r="BC60" i="2"/>
  <c r="C786" i="2" s="1"/>
  <c r="AY60" i="2"/>
  <c r="C782" i="2" s="1"/>
  <c r="AO60" i="2"/>
  <c r="C772" i="2" s="1"/>
  <c r="AI60" i="2"/>
  <c r="C766" i="2" s="1"/>
  <c r="AG60" i="2"/>
  <c r="C764" i="2" s="1"/>
  <c r="AE60" i="2"/>
  <c r="C762" i="2" s="1"/>
  <c r="AC60" i="2"/>
  <c r="C760" i="2" s="1"/>
  <c r="AB60" i="2"/>
  <c r="C759" i="2" s="1"/>
  <c r="AA60" i="2"/>
  <c r="C758" i="2" s="1"/>
  <c r="Y60" i="2"/>
  <c r="C756" i="2" s="1"/>
  <c r="X60" i="2"/>
  <c r="C755" i="2" s="1"/>
  <c r="W60" i="2"/>
  <c r="C754" i="2" s="1"/>
  <c r="V60" i="2"/>
  <c r="C753" i="2" s="1"/>
  <c r="U60" i="2"/>
  <c r="C752" i="2" s="1"/>
  <c r="S60" i="2"/>
  <c r="C750" i="2" s="1"/>
  <c r="R60" i="2"/>
  <c r="C749" i="2" s="1"/>
  <c r="Q60" i="2"/>
  <c r="C748" i="2" s="1"/>
  <c r="P60" i="2"/>
  <c r="C747" i="2" s="1"/>
  <c r="O60" i="2"/>
  <c r="C746" i="2" s="1"/>
  <c r="E60" i="2"/>
  <c r="C736" i="2" s="1"/>
  <c r="C60" i="2"/>
  <c r="C734" i="2" s="1"/>
  <c r="B53" i="2"/>
  <c r="CE51" i="2"/>
  <c r="B49" i="2"/>
  <c r="CE47" i="2"/>
  <c r="D330" i="2" l="1"/>
  <c r="C475" i="2"/>
  <c r="C469" i="2"/>
  <c r="D463" i="2"/>
  <c r="C471" i="2"/>
  <c r="C474" i="2"/>
  <c r="D242" i="2"/>
  <c r="B448" i="2" s="1"/>
  <c r="C468" i="2"/>
  <c r="C472" i="2"/>
  <c r="C473" i="2"/>
  <c r="C269" i="2"/>
  <c r="B470" i="2" s="1"/>
  <c r="C273" i="2"/>
  <c r="U730" i="2" s="1"/>
  <c r="D314" i="2"/>
  <c r="D339" i="2" s="1"/>
  <c r="C482" i="2" s="1"/>
  <c r="C364" i="2"/>
  <c r="BL730" i="2" s="1"/>
  <c r="C387" i="2"/>
  <c r="BZ730" i="2" s="1"/>
  <c r="D464" i="2"/>
  <c r="D465" i="2" s="1"/>
  <c r="E217" i="2"/>
  <c r="C360" i="2"/>
  <c r="C359" i="2"/>
  <c r="H815" i="2"/>
  <c r="C272" i="2"/>
  <c r="T730" i="2" s="1"/>
  <c r="C386" i="2"/>
  <c r="D790" i="2"/>
  <c r="D738" i="2"/>
  <c r="D746" i="2"/>
  <c r="D780" i="2"/>
  <c r="D739" i="2"/>
  <c r="D751" i="2"/>
  <c r="D773" i="2"/>
  <c r="D781" i="2"/>
  <c r="D802" i="2"/>
  <c r="CE65" i="2"/>
  <c r="D740" i="2"/>
  <c r="D757" i="2"/>
  <c r="D774" i="2"/>
  <c r="D783" i="2"/>
  <c r="D804" i="2"/>
  <c r="CE63" i="2"/>
  <c r="I736" i="2"/>
  <c r="CE66" i="2"/>
  <c r="D765" i="2"/>
  <c r="D741" i="2"/>
  <c r="D775" i="2"/>
  <c r="D784" i="2"/>
  <c r="D808" i="2"/>
  <c r="Q730" i="2"/>
  <c r="D742" i="2"/>
  <c r="D763" i="2"/>
  <c r="D776" i="2"/>
  <c r="CE64" i="2"/>
  <c r="CE74" i="2"/>
  <c r="C464" i="2" s="1"/>
  <c r="C276" i="2"/>
  <c r="C478" i="2"/>
  <c r="CE60" i="2"/>
  <c r="C815" i="2"/>
  <c r="D736" i="2"/>
  <c r="D744" i="2"/>
  <c r="D770" i="2"/>
  <c r="D778" i="2"/>
  <c r="D792" i="2"/>
  <c r="CE61" i="2"/>
  <c r="O739" i="2"/>
  <c r="H75" i="2"/>
  <c r="N739" i="2" s="1"/>
  <c r="O757" i="2"/>
  <c r="Z75" i="2"/>
  <c r="N757" i="2" s="1"/>
  <c r="O774" i="2"/>
  <c r="O815" i="2" s="1"/>
  <c r="AQ75" i="2"/>
  <c r="N774" i="2" s="1"/>
  <c r="D811" i="2"/>
  <c r="D771" i="2"/>
  <c r="D779" i="2"/>
  <c r="D796" i="2"/>
  <c r="D743" i="2"/>
  <c r="D772" i="2"/>
  <c r="D800" i="2"/>
  <c r="K815" i="2"/>
  <c r="AF75" i="2"/>
  <c r="N763" i="2" s="1"/>
  <c r="AN75" i="2"/>
  <c r="N771" i="2" s="1"/>
  <c r="AV75" i="2"/>
  <c r="N779" i="2" s="1"/>
  <c r="S815" i="2"/>
  <c r="D173" i="2"/>
  <c r="D428" i="2" s="1"/>
  <c r="C271" i="2"/>
  <c r="D283" i="2"/>
  <c r="CB730" i="2"/>
  <c r="C444" i="2"/>
  <c r="C388" i="2"/>
  <c r="B436" i="2"/>
  <c r="F498" i="2"/>
  <c r="H506" i="2"/>
  <c r="F513" i="2"/>
  <c r="H539" i="2"/>
  <c r="CE73" i="2"/>
  <c r="I75" i="2"/>
  <c r="N740" i="2" s="1"/>
  <c r="AO75" i="2"/>
  <c r="N772" i="2" s="1"/>
  <c r="E204" i="2"/>
  <c r="C476" i="2" s="1"/>
  <c r="CC730" i="2"/>
  <c r="B439" i="2"/>
  <c r="H507" i="2"/>
  <c r="F507" i="2"/>
  <c r="J75" i="2"/>
  <c r="N741" i="2" s="1"/>
  <c r="AH75" i="2"/>
  <c r="N765" i="2" s="1"/>
  <c r="AP75" i="2"/>
  <c r="N773" i="2" s="1"/>
  <c r="CE80" i="2"/>
  <c r="E140" i="2"/>
  <c r="D290" i="2"/>
  <c r="H533" i="2"/>
  <c r="F533" i="2"/>
  <c r="K75" i="2"/>
  <c r="N742" i="2" s="1"/>
  <c r="CE76" i="2"/>
  <c r="CE77" i="2"/>
  <c r="C274" i="2"/>
  <c r="D367" i="2"/>
  <c r="C448" i="2" s="1"/>
  <c r="H505" i="2"/>
  <c r="L75" i="2"/>
  <c r="N743" i="2" s="1"/>
  <c r="T75" i="2"/>
  <c r="N751" i="2" s="1"/>
  <c r="AJ75" i="2"/>
  <c r="N767" i="2" s="1"/>
  <c r="AR75" i="2"/>
  <c r="N775" i="2" s="1"/>
  <c r="C445" i="2"/>
  <c r="B473" i="2"/>
  <c r="F530" i="2"/>
  <c r="CE68" i="2"/>
  <c r="M75" i="2"/>
  <c r="N744" i="2" s="1"/>
  <c r="AS75" i="2"/>
  <c r="N776" i="2" s="1"/>
  <c r="C267" i="2"/>
  <c r="O817" i="2"/>
  <c r="BJ730" i="2"/>
  <c r="B463" i="2"/>
  <c r="C458" i="2"/>
  <c r="H499" i="2"/>
  <c r="F499" i="2"/>
  <c r="F500" i="2"/>
  <c r="H540" i="2"/>
  <c r="CE69" i="2"/>
  <c r="F75" i="2"/>
  <c r="N75" i="2"/>
  <c r="N745" i="2" s="1"/>
  <c r="AT75" i="2"/>
  <c r="N777" i="2" s="1"/>
  <c r="Q815" i="2"/>
  <c r="CD722" i="2"/>
  <c r="B444" i="2"/>
  <c r="C268" i="2"/>
  <c r="BY730" i="2"/>
  <c r="D438" i="2"/>
  <c r="C446" i="2"/>
  <c r="B474" i="2"/>
  <c r="H525" i="2"/>
  <c r="F525" i="2"/>
  <c r="F526" i="2"/>
  <c r="G75" i="2"/>
  <c r="N738" i="2" s="1"/>
  <c r="AM75" i="2"/>
  <c r="N770" i="2" s="1"/>
  <c r="AU75" i="2"/>
  <c r="N778" i="2" s="1"/>
  <c r="CE79" i="2"/>
  <c r="D139" i="2"/>
  <c r="AI726" i="2" s="1"/>
  <c r="D361" i="2"/>
  <c r="B435" i="2"/>
  <c r="C439" i="2"/>
  <c r="H519" i="2"/>
  <c r="F519" i="2"/>
  <c r="I815" i="2"/>
  <c r="P815" i="2"/>
  <c r="L815" i="2"/>
  <c r="T815" i="2"/>
  <c r="M815" i="2"/>
  <c r="F815" i="2"/>
  <c r="G815" i="2"/>
  <c r="E139" i="2" l="1"/>
  <c r="C415" i="2" s="1"/>
  <c r="D815" i="2"/>
  <c r="BK730" i="2"/>
  <c r="B464" i="2"/>
  <c r="O816" i="2"/>
  <c r="C463" i="2"/>
  <c r="F816" i="2"/>
  <c r="C429" i="2"/>
  <c r="C380" i="2"/>
  <c r="S816" i="2"/>
  <c r="J612" i="2"/>
  <c r="O730" i="2"/>
  <c r="B468" i="2"/>
  <c r="D275" i="2"/>
  <c r="V730" i="2"/>
  <c r="B475" i="2"/>
  <c r="C816" i="2"/>
  <c r="BI730" i="2"/>
  <c r="H612" i="2"/>
  <c r="G816" i="2"/>
  <c r="C430" i="2"/>
  <c r="F612" i="2"/>
  <c r="C381" i="2"/>
  <c r="Q816" i="2"/>
  <c r="G612" i="2"/>
  <c r="S730" i="2"/>
  <c r="B472" i="2"/>
  <c r="X730" i="2"/>
  <c r="B478" i="2"/>
  <c r="CA730" i="2"/>
  <c r="B437" i="2"/>
  <c r="N737" i="2"/>
  <c r="N815" i="2" s="1"/>
  <c r="CE75" i="2"/>
  <c r="K816" i="2"/>
  <c r="C434" i="2"/>
  <c r="C385" i="2"/>
  <c r="P816" i="2"/>
  <c r="BH78" i="2"/>
  <c r="R791" i="2" s="1"/>
  <c r="CG76" i="2"/>
  <c r="CF76" i="2"/>
  <c r="BJ52" i="2" s="1"/>
  <c r="BJ67" i="2" s="1"/>
  <c r="J793" i="2" s="1"/>
  <c r="BM78" i="2"/>
  <c r="R796" i="2" s="1"/>
  <c r="D612" i="2"/>
  <c r="BL78" i="2"/>
  <c r="R795" i="2" s="1"/>
  <c r="BK78" i="2"/>
  <c r="R794" i="2" s="1"/>
  <c r="BI78" i="2"/>
  <c r="R792" i="2" s="1"/>
  <c r="BG52" i="2"/>
  <c r="BG67" i="2" s="1"/>
  <c r="J790" i="2" s="1"/>
  <c r="AP52" i="2"/>
  <c r="AP67" i="2" s="1"/>
  <c r="J773" i="2" s="1"/>
  <c r="J52" i="2"/>
  <c r="J67" i="2" s="1"/>
  <c r="J741" i="2" s="1"/>
  <c r="BM52" i="2"/>
  <c r="BM67" i="2" s="1"/>
  <c r="J796" i="2" s="1"/>
  <c r="AG52" i="2"/>
  <c r="AG67" i="2" s="1"/>
  <c r="J764" i="2" s="1"/>
  <c r="BL52" i="2"/>
  <c r="BL67" i="2" s="1"/>
  <c r="J795" i="2" s="1"/>
  <c r="BQ52" i="2"/>
  <c r="BQ67" i="2" s="1"/>
  <c r="J800" i="2" s="1"/>
  <c r="BD52" i="2"/>
  <c r="BD67" i="2" s="1"/>
  <c r="J787" i="2" s="1"/>
  <c r="AI52" i="2"/>
  <c r="AI67" i="2" s="1"/>
  <c r="J766" i="2" s="1"/>
  <c r="BC52" i="2"/>
  <c r="BC67" i="2" s="1"/>
  <c r="J786" i="2" s="1"/>
  <c r="O52" i="2"/>
  <c r="O67" i="2" s="1"/>
  <c r="J746" i="2" s="1"/>
  <c r="AD52" i="2"/>
  <c r="AD67" i="2" s="1"/>
  <c r="J761" i="2" s="1"/>
  <c r="BO52" i="2"/>
  <c r="BO67" i="2" s="1"/>
  <c r="J798" i="2" s="1"/>
  <c r="H816" i="2"/>
  <c r="C431" i="2"/>
  <c r="C382" i="2"/>
  <c r="L817" i="2"/>
  <c r="L816" i="2"/>
  <c r="C440" i="2"/>
  <c r="T816" i="2"/>
  <c r="L612" i="2"/>
  <c r="B438" i="2"/>
  <c r="B440" i="2" s="1"/>
  <c r="D816" i="2"/>
  <c r="C378" i="2"/>
  <c r="C427" i="2"/>
  <c r="BT48" i="2"/>
  <c r="BT62" i="2" s="1"/>
  <c r="BD48" i="2"/>
  <c r="BD62" i="2" s="1"/>
  <c r="AN48" i="2"/>
  <c r="AN62" i="2" s="1"/>
  <c r="X48" i="2"/>
  <c r="X62" i="2" s="1"/>
  <c r="H48" i="2"/>
  <c r="H62" i="2" s="1"/>
  <c r="AM48" i="2"/>
  <c r="AM62" i="2" s="1"/>
  <c r="O48" i="2"/>
  <c r="O62" i="2" s="1"/>
  <c r="BJ48" i="2"/>
  <c r="BJ62" i="2" s="1"/>
  <c r="N48" i="2"/>
  <c r="N62" i="2" s="1"/>
  <c r="BQ48" i="2"/>
  <c r="BQ62" i="2" s="1"/>
  <c r="AU48" i="2"/>
  <c r="AU62" i="2" s="1"/>
  <c r="BR48" i="2"/>
  <c r="BR62" i="2" s="1"/>
  <c r="F48" i="2"/>
  <c r="F62" i="2" s="1"/>
  <c r="E48" i="2"/>
  <c r="E62" i="2" s="1"/>
  <c r="BZ48" i="2"/>
  <c r="BZ62" i="2" s="1"/>
  <c r="AL48" i="2"/>
  <c r="AL62" i="2" s="1"/>
  <c r="AS48" i="2"/>
  <c r="AS62" i="2" s="1"/>
  <c r="M48" i="2"/>
  <c r="M62" i="2" s="1"/>
  <c r="BY48" i="2"/>
  <c r="BY62" i="2" s="1"/>
  <c r="AC48" i="2"/>
  <c r="AC62" i="2" s="1"/>
  <c r="BX48" i="2"/>
  <c r="BX62" i="2" s="1"/>
  <c r="BP48" i="2"/>
  <c r="BP62" i="2" s="1"/>
  <c r="BH48" i="2"/>
  <c r="BH62" i="2" s="1"/>
  <c r="AZ48" i="2"/>
  <c r="AZ62" i="2" s="1"/>
  <c r="AR48" i="2"/>
  <c r="AR62" i="2" s="1"/>
  <c r="AJ48" i="2"/>
  <c r="AJ62" i="2" s="1"/>
  <c r="AB48" i="2"/>
  <c r="AB62" i="2" s="1"/>
  <c r="T48" i="2"/>
  <c r="T62" i="2" s="1"/>
  <c r="L48" i="2"/>
  <c r="L62" i="2" s="1"/>
  <c r="D48" i="2"/>
  <c r="D62" i="2" s="1"/>
  <c r="BS48" i="2"/>
  <c r="BS62" i="2" s="1"/>
  <c r="W48" i="2"/>
  <c r="W62" i="2" s="1"/>
  <c r="AT48" i="2"/>
  <c r="AT62" i="2" s="1"/>
  <c r="BA48" i="2"/>
  <c r="BA62" i="2" s="1"/>
  <c r="BW48" i="2"/>
  <c r="BW62" i="2" s="1"/>
  <c r="BO48" i="2"/>
  <c r="BO62" i="2" s="1"/>
  <c r="BG48" i="2"/>
  <c r="BG62" i="2" s="1"/>
  <c r="AY48" i="2"/>
  <c r="AY62" i="2" s="1"/>
  <c r="AQ48" i="2"/>
  <c r="AQ62" i="2" s="1"/>
  <c r="AI48" i="2"/>
  <c r="AI62" i="2" s="1"/>
  <c r="AA48" i="2"/>
  <c r="AA62" i="2" s="1"/>
  <c r="S48" i="2"/>
  <c r="S62" i="2" s="1"/>
  <c r="K48" i="2"/>
  <c r="K62" i="2" s="1"/>
  <c r="C48" i="2"/>
  <c r="BF48" i="2"/>
  <c r="BF62" i="2" s="1"/>
  <c r="AH48" i="2"/>
  <c r="AH62" i="2" s="1"/>
  <c r="R48" i="2"/>
  <c r="R62" i="2" s="1"/>
  <c r="CA48" i="2"/>
  <c r="CA62" i="2" s="1"/>
  <c r="AE48" i="2"/>
  <c r="AE62" i="2" s="1"/>
  <c r="AD48" i="2"/>
  <c r="AD62" i="2" s="1"/>
  <c r="BV48" i="2"/>
  <c r="BV62" i="2" s="1"/>
  <c r="BN48" i="2"/>
  <c r="BN62" i="2" s="1"/>
  <c r="AX48" i="2"/>
  <c r="AX62" i="2" s="1"/>
  <c r="AP48" i="2"/>
  <c r="AP62" i="2" s="1"/>
  <c r="Z48" i="2"/>
  <c r="Z62" i="2" s="1"/>
  <c r="J48" i="2"/>
  <c r="J62" i="2" s="1"/>
  <c r="BK48" i="2"/>
  <c r="BK62" i="2" s="1"/>
  <c r="BB48" i="2"/>
  <c r="BB62" i="2" s="1"/>
  <c r="CC48" i="2"/>
  <c r="CC62" i="2" s="1"/>
  <c r="BU48" i="2"/>
  <c r="BU62" i="2" s="1"/>
  <c r="BM48" i="2"/>
  <c r="BM62" i="2" s="1"/>
  <c r="BE48" i="2"/>
  <c r="BE62" i="2" s="1"/>
  <c r="AW48" i="2"/>
  <c r="AW62" i="2" s="1"/>
  <c r="AO48" i="2"/>
  <c r="AO62" i="2" s="1"/>
  <c r="AG48" i="2"/>
  <c r="AG62" i="2" s="1"/>
  <c r="Y48" i="2"/>
  <c r="Y62" i="2" s="1"/>
  <c r="Q48" i="2"/>
  <c r="Q62" i="2" s="1"/>
  <c r="I48" i="2"/>
  <c r="I62" i="2" s="1"/>
  <c r="CB48" i="2"/>
  <c r="CB62" i="2" s="1"/>
  <c r="BL48" i="2"/>
  <c r="BL62" i="2" s="1"/>
  <c r="AV48" i="2"/>
  <c r="AV62" i="2" s="1"/>
  <c r="AF48" i="2"/>
  <c r="AF62" i="2" s="1"/>
  <c r="P48" i="2"/>
  <c r="P62" i="2" s="1"/>
  <c r="BC48" i="2"/>
  <c r="BC62" i="2" s="1"/>
  <c r="G48" i="2"/>
  <c r="G62" i="2" s="1"/>
  <c r="V48" i="2"/>
  <c r="V62" i="2" s="1"/>
  <c r="BI48" i="2"/>
  <c r="BI62" i="2" s="1"/>
  <c r="AK48" i="2"/>
  <c r="AK62" i="2" s="1"/>
  <c r="U48" i="2"/>
  <c r="U62" i="2" s="1"/>
  <c r="N817" i="2"/>
  <c r="B465" i="2"/>
  <c r="D368" i="2"/>
  <c r="D373" i="2" s="1"/>
  <c r="P730" i="2"/>
  <c r="B469" i="2"/>
  <c r="I816" i="2"/>
  <c r="C432" i="2"/>
  <c r="C383" i="2"/>
  <c r="BH52" i="2" l="1"/>
  <c r="BH67" i="2" s="1"/>
  <c r="J791" i="2" s="1"/>
  <c r="M52" i="2"/>
  <c r="M67" i="2" s="1"/>
  <c r="J744" i="2" s="1"/>
  <c r="AC52" i="2"/>
  <c r="AC67" i="2" s="1"/>
  <c r="J760" i="2" s="1"/>
  <c r="AL52" i="2"/>
  <c r="AL67" i="2" s="1"/>
  <c r="J769" i="2" s="1"/>
  <c r="BW52" i="2"/>
  <c r="BW67" i="2" s="1"/>
  <c r="J806" i="2" s="1"/>
  <c r="AT52" i="2"/>
  <c r="AT67" i="2" s="1"/>
  <c r="J777" i="2" s="1"/>
  <c r="W52" i="2"/>
  <c r="W67" i="2" s="1"/>
  <c r="J754" i="2" s="1"/>
  <c r="BK52" i="2"/>
  <c r="BK67" i="2" s="1"/>
  <c r="J794" i="2" s="1"/>
  <c r="H52" i="2"/>
  <c r="H67" i="2" s="1"/>
  <c r="J739" i="2" s="1"/>
  <c r="CB52" i="2"/>
  <c r="CB67" i="2" s="1"/>
  <c r="J811" i="2" s="1"/>
  <c r="P52" i="2"/>
  <c r="P67" i="2" s="1"/>
  <c r="J747" i="2" s="1"/>
  <c r="BT52" i="2"/>
  <c r="BT67" i="2" s="1"/>
  <c r="J803" i="2" s="1"/>
  <c r="AO52" i="2"/>
  <c r="AO67" i="2" s="1"/>
  <c r="J772" i="2" s="1"/>
  <c r="BU52" i="2"/>
  <c r="BU67" i="2" s="1"/>
  <c r="J804" i="2" s="1"/>
  <c r="R52" i="2"/>
  <c r="R67" i="2" s="1"/>
  <c r="J749" i="2" s="1"/>
  <c r="BF52" i="2"/>
  <c r="BF67" i="2" s="1"/>
  <c r="J789" i="2" s="1"/>
  <c r="K52" i="2"/>
  <c r="K67" i="2" s="1"/>
  <c r="J742" i="2" s="1"/>
  <c r="BP52" i="2"/>
  <c r="BP67" i="2" s="1"/>
  <c r="J799" i="2" s="1"/>
  <c r="AS52" i="2"/>
  <c r="AS67" i="2" s="1"/>
  <c r="J776" i="2" s="1"/>
  <c r="BI52" i="2"/>
  <c r="BI67" i="2" s="1"/>
  <c r="J792" i="2" s="1"/>
  <c r="BB52" i="2"/>
  <c r="BB67" i="2" s="1"/>
  <c r="J785" i="2" s="1"/>
  <c r="AA52" i="2"/>
  <c r="AA67" i="2" s="1"/>
  <c r="J758" i="2" s="1"/>
  <c r="D52" i="2"/>
  <c r="D67" i="2" s="1"/>
  <c r="J735" i="2" s="1"/>
  <c r="BR52" i="2"/>
  <c r="BR67" i="2" s="1"/>
  <c r="J801" i="2" s="1"/>
  <c r="AM52" i="2"/>
  <c r="AM67" i="2" s="1"/>
  <c r="J770" i="2" s="1"/>
  <c r="BS52" i="2"/>
  <c r="BS67" i="2" s="1"/>
  <c r="J802" i="2" s="1"/>
  <c r="X52" i="2"/>
  <c r="X67" i="2" s="1"/>
  <c r="J755" i="2" s="1"/>
  <c r="C52" i="2"/>
  <c r="C67" i="2" s="1"/>
  <c r="AF52" i="2"/>
  <c r="AF67" i="2" s="1"/>
  <c r="J763" i="2" s="1"/>
  <c r="I52" i="2"/>
  <c r="I67" i="2" s="1"/>
  <c r="J740" i="2" s="1"/>
  <c r="AW52" i="2"/>
  <c r="AW67" i="2" s="1"/>
  <c r="J780" i="2" s="1"/>
  <c r="AR52" i="2"/>
  <c r="AR67" i="2" s="1"/>
  <c r="J775" i="2" s="1"/>
  <c r="Z52" i="2"/>
  <c r="Z67" i="2" s="1"/>
  <c r="J757" i="2" s="1"/>
  <c r="BN52" i="2"/>
  <c r="BN67" i="2" s="1"/>
  <c r="J797" i="2" s="1"/>
  <c r="AQ52" i="2"/>
  <c r="AQ67" i="2" s="1"/>
  <c r="J774" i="2" s="1"/>
  <c r="BX52" i="2"/>
  <c r="BX67" i="2" s="1"/>
  <c r="J807" i="2" s="1"/>
  <c r="BY52" i="2"/>
  <c r="BY67" i="2" s="1"/>
  <c r="J808" i="2" s="1"/>
  <c r="F52" i="2"/>
  <c r="F67" i="2" s="1"/>
  <c r="J737" i="2" s="1"/>
  <c r="BZ52" i="2"/>
  <c r="BZ67" i="2" s="1"/>
  <c r="J809" i="2" s="1"/>
  <c r="AY52" i="2"/>
  <c r="AY67" i="2" s="1"/>
  <c r="J782" i="2" s="1"/>
  <c r="N52" i="2"/>
  <c r="N67" i="2" s="1"/>
  <c r="J745" i="2" s="1"/>
  <c r="G52" i="2"/>
  <c r="G67" i="2" s="1"/>
  <c r="J738" i="2" s="1"/>
  <c r="AU52" i="2"/>
  <c r="AU67" i="2" s="1"/>
  <c r="J778" i="2" s="1"/>
  <c r="CA52" i="2"/>
  <c r="CA67" i="2" s="1"/>
  <c r="J810" i="2" s="1"/>
  <c r="AN52" i="2"/>
  <c r="AN67" i="2" s="1"/>
  <c r="J771" i="2" s="1"/>
  <c r="AB52" i="2"/>
  <c r="AB67" i="2" s="1"/>
  <c r="J759" i="2" s="1"/>
  <c r="AV52" i="2"/>
  <c r="AV67" i="2" s="1"/>
  <c r="J779" i="2" s="1"/>
  <c r="Y52" i="2"/>
  <c r="Y67" i="2" s="1"/>
  <c r="J756" i="2" s="1"/>
  <c r="BE52" i="2"/>
  <c r="BE67" i="2" s="1"/>
  <c r="J788" i="2" s="1"/>
  <c r="BA52" i="2"/>
  <c r="BA67" i="2" s="1"/>
  <c r="J784" i="2" s="1"/>
  <c r="AH52" i="2"/>
  <c r="AH67" i="2" s="1"/>
  <c r="J765" i="2" s="1"/>
  <c r="BV52" i="2"/>
  <c r="BV67" i="2" s="1"/>
  <c r="J805" i="2" s="1"/>
  <c r="AJ52" i="2"/>
  <c r="AJ67" i="2" s="1"/>
  <c r="J767" i="2" s="1"/>
  <c r="S52" i="2"/>
  <c r="S67" i="2" s="1"/>
  <c r="J750" i="2" s="1"/>
  <c r="E52" i="2"/>
  <c r="E67" i="2" s="1"/>
  <c r="J736" i="2" s="1"/>
  <c r="V52" i="2"/>
  <c r="V67" i="2" s="1"/>
  <c r="J753" i="2" s="1"/>
  <c r="E773" i="2"/>
  <c r="AP71" i="2"/>
  <c r="E811" i="2"/>
  <c r="CB71" i="2"/>
  <c r="E807" i="2"/>
  <c r="E753" i="2"/>
  <c r="E740" i="2"/>
  <c r="I71" i="2"/>
  <c r="E804" i="2"/>
  <c r="BU71" i="2"/>
  <c r="E797" i="2"/>
  <c r="BN71" i="2"/>
  <c r="C62" i="2"/>
  <c r="CE48" i="2"/>
  <c r="E798" i="2"/>
  <c r="BO71" i="2"/>
  <c r="E751" i="2"/>
  <c r="E760" i="2"/>
  <c r="AC71" i="2"/>
  <c r="E801" i="2"/>
  <c r="E755" i="2"/>
  <c r="X71" i="2"/>
  <c r="K817" i="2"/>
  <c r="BX730" i="2"/>
  <c r="B434" i="2"/>
  <c r="E799" i="2"/>
  <c r="BP71" i="2"/>
  <c r="E796" i="2"/>
  <c r="BM71" i="2"/>
  <c r="E812" i="2"/>
  <c r="E805" i="2"/>
  <c r="E742" i="2"/>
  <c r="K71" i="2"/>
  <c r="E806" i="2"/>
  <c r="BW71" i="2"/>
  <c r="E759" i="2"/>
  <c r="E808" i="2"/>
  <c r="BY71" i="2"/>
  <c r="E778" i="2"/>
  <c r="AU71" i="2"/>
  <c r="E771" i="2"/>
  <c r="AN71" i="2"/>
  <c r="E765" i="2"/>
  <c r="AH71" i="2"/>
  <c r="E743" i="2"/>
  <c r="E756" i="2"/>
  <c r="E784" i="2"/>
  <c r="E787" i="2"/>
  <c r="BD71" i="2"/>
  <c r="E768" i="2"/>
  <c r="E792" i="2"/>
  <c r="BI71" i="2"/>
  <c r="E737" i="2"/>
  <c r="F71" i="2"/>
  <c r="E750" i="2"/>
  <c r="S71" i="2"/>
  <c r="E800" i="2"/>
  <c r="BQ71" i="2"/>
  <c r="E747" i="2"/>
  <c r="P71" i="2"/>
  <c r="E758" i="2"/>
  <c r="AA71" i="2"/>
  <c r="E745" i="2"/>
  <c r="N71" i="2"/>
  <c r="N816" i="2"/>
  <c r="K612" i="2"/>
  <c r="C465" i="2"/>
  <c r="F817" i="2"/>
  <c r="BS730" i="2"/>
  <c r="B429" i="2"/>
  <c r="E788" i="2"/>
  <c r="BE71" i="2"/>
  <c r="E789" i="2"/>
  <c r="E748" i="2"/>
  <c r="E785" i="2"/>
  <c r="BB71" i="2"/>
  <c r="E767" i="2"/>
  <c r="AJ71" i="2"/>
  <c r="E794" i="2"/>
  <c r="E777" i="2"/>
  <c r="AT71" i="2"/>
  <c r="E776" i="2"/>
  <c r="AS71" i="2"/>
  <c r="E763" i="2"/>
  <c r="AF71" i="2"/>
  <c r="E741" i="2"/>
  <c r="J71" i="2"/>
  <c r="E766" i="2"/>
  <c r="AI71" i="2"/>
  <c r="E769" i="2"/>
  <c r="E735" i="2"/>
  <c r="D71" i="2"/>
  <c r="E781" i="2"/>
  <c r="E738" i="2"/>
  <c r="E786" i="2"/>
  <c r="BC71" i="2"/>
  <c r="E761" i="2"/>
  <c r="AD71" i="2"/>
  <c r="E744" i="2"/>
  <c r="M71" i="2"/>
  <c r="E764" i="2"/>
  <c r="AG71" i="2"/>
  <c r="E762" i="2"/>
  <c r="E775" i="2"/>
  <c r="E803" i="2"/>
  <c r="BT71" i="2"/>
  <c r="E772" i="2"/>
  <c r="AO71" i="2"/>
  <c r="E810" i="2"/>
  <c r="CA71" i="2"/>
  <c r="E754" i="2"/>
  <c r="W71" i="2"/>
  <c r="E783" i="2"/>
  <c r="E793" i="2"/>
  <c r="BJ71" i="2"/>
  <c r="I817" i="2"/>
  <c r="BV730" i="2"/>
  <c r="B432" i="2"/>
  <c r="E752" i="2"/>
  <c r="E779" i="2"/>
  <c r="AV71" i="2"/>
  <c r="E780" i="2"/>
  <c r="AW71" i="2"/>
  <c r="E757" i="2"/>
  <c r="Z71" i="2"/>
  <c r="E749" i="2"/>
  <c r="R71" i="2"/>
  <c r="E774" i="2"/>
  <c r="AQ71" i="2"/>
  <c r="E802" i="2"/>
  <c r="BS71" i="2"/>
  <c r="E791" i="2"/>
  <c r="BH71" i="2"/>
  <c r="E809" i="2"/>
  <c r="BZ71" i="2"/>
  <c r="E746" i="2"/>
  <c r="O71" i="2"/>
  <c r="D817" i="2"/>
  <c r="BQ730" i="2"/>
  <c r="B427" i="2"/>
  <c r="H817" i="2"/>
  <c r="BU730" i="2"/>
  <c r="B431" i="2"/>
  <c r="U52" i="2"/>
  <c r="U67" i="2" s="1"/>
  <c r="J752" i="2" s="1"/>
  <c r="AE52" i="2"/>
  <c r="AE67" i="2" s="1"/>
  <c r="J762" i="2" s="1"/>
  <c r="T52" i="2"/>
  <c r="T67" i="2" s="1"/>
  <c r="J751" i="2" s="1"/>
  <c r="AK52" i="2"/>
  <c r="AK67" i="2" s="1"/>
  <c r="J768" i="2" s="1"/>
  <c r="Q52" i="2"/>
  <c r="Q67" i="2" s="1"/>
  <c r="J748" i="2" s="1"/>
  <c r="CC52" i="2"/>
  <c r="CC67" i="2" s="1"/>
  <c r="J812" i="2" s="1"/>
  <c r="AX52" i="2"/>
  <c r="AX67" i="2" s="1"/>
  <c r="J781" i="2" s="1"/>
  <c r="AZ52" i="2"/>
  <c r="AZ67" i="2" s="1"/>
  <c r="J783" i="2" s="1"/>
  <c r="L52" i="2"/>
  <c r="L67" i="2" s="1"/>
  <c r="J743" i="2" s="1"/>
  <c r="BV78" i="2"/>
  <c r="R805" i="2" s="1"/>
  <c r="AS78" i="2"/>
  <c r="R776" i="2" s="1"/>
  <c r="AK78" i="2"/>
  <c r="R768" i="2" s="1"/>
  <c r="AC78" i="2"/>
  <c r="R760" i="2" s="1"/>
  <c r="U78" i="2"/>
  <c r="R752" i="2" s="1"/>
  <c r="M78" i="2"/>
  <c r="R744" i="2" s="1"/>
  <c r="E78" i="2"/>
  <c r="R736" i="2" s="1"/>
  <c r="BU78" i="2"/>
  <c r="R804" i="2" s="1"/>
  <c r="BC78" i="2"/>
  <c r="R786" i="2" s="1"/>
  <c r="AR78" i="2"/>
  <c r="R775" i="2" s="1"/>
  <c r="AJ78" i="2"/>
  <c r="R767" i="2" s="1"/>
  <c r="AB78" i="2"/>
  <c r="R759" i="2" s="1"/>
  <c r="T78" i="2"/>
  <c r="R751" i="2" s="1"/>
  <c r="L78" i="2"/>
  <c r="R743" i="2" s="1"/>
  <c r="D78" i="2"/>
  <c r="R735" i="2" s="1"/>
  <c r="CB78" i="2"/>
  <c r="R811" i="2" s="1"/>
  <c r="BT78" i="2"/>
  <c r="R803" i="2" s="1"/>
  <c r="BB78" i="2"/>
  <c r="R785" i="2" s="1"/>
  <c r="AQ78" i="2"/>
  <c r="R774" i="2" s="1"/>
  <c r="AI78" i="2"/>
  <c r="R766" i="2" s="1"/>
  <c r="AA78" i="2"/>
  <c r="R758" i="2" s="1"/>
  <c r="S78" i="2"/>
  <c r="R750" i="2" s="1"/>
  <c r="K78" i="2"/>
  <c r="R742" i="2" s="1"/>
  <c r="C78" i="2"/>
  <c r="CA78" i="2"/>
  <c r="R810" i="2" s="1"/>
  <c r="BS78" i="2"/>
  <c r="R802" i="2" s="1"/>
  <c r="BA78" i="2"/>
  <c r="R784" i="2" s="1"/>
  <c r="AP78" i="2"/>
  <c r="R773" i="2" s="1"/>
  <c r="AH78" i="2"/>
  <c r="R765" i="2" s="1"/>
  <c r="Z78" i="2"/>
  <c r="R757" i="2" s="1"/>
  <c r="R78" i="2"/>
  <c r="R749" i="2" s="1"/>
  <c r="J78" i="2"/>
  <c r="R741" i="2" s="1"/>
  <c r="BZ78" i="2"/>
  <c r="R809" i="2" s="1"/>
  <c r="AW78" i="2"/>
  <c r="R780" i="2" s="1"/>
  <c r="AO78" i="2"/>
  <c r="R772" i="2" s="1"/>
  <c r="AG78" i="2"/>
  <c r="R764" i="2" s="1"/>
  <c r="Q78" i="2"/>
  <c r="R748" i="2" s="1"/>
  <c r="I78" i="2"/>
  <c r="R740" i="2" s="1"/>
  <c r="BY78" i="2"/>
  <c r="R808" i="2" s="1"/>
  <c r="AV78" i="2"/>
  <c r="R779" i="2" s="1"/>
  <c r="AN78" i="2"/>
  <c r="R771" i="2" s="1"/>
  <c r="AF78" i="2"/>
  <c r="R763" i="2" s="1"/>
  <c r="X78" i="2"/>
  <c r="R755" i="2" s="1"/>
  <c r="P78" i="2"/>
  <c r="R747" i="2" s="1"/>
  <c r="H78" i="2"/>
  <c r="R739" i="2" s="1"/>
  <c r="BX78" i="2"/>
  <c r="R807" i="2" s="1"/>
  <c r="AU78" i="2"/>
  <c r="R778" i="2" s="1"/>
  <c r="AM78" i="2"/>
  <c r="R770" i="2" s="1"/>
  <c r="AE78" i="2"/>
  <c r="R762" i="2" s="1"/>
  <c r="W78" i="2"/>
  <c r="R754" i="2" s="1"/>
  <c r="O78" i="2"/>
  <c r="R746" i="2" s="1"/>
  <c r="G78" i="2"/>
  <c r="R738" i="2" s="1"/>
  <c r="BW78" i="2"/>
  <c r="R806" i="2" s="1"/>
  <c r="AT78" i="2"/>
  <c r="R777" i="2" s="1"/>
  <c r="AL78" i="2"/>
  <c r="R769" i="2" s="1"/>
  <c r="AD78" i="2"/>
  <c r="R761" i="2" s="1"/>
  <c r="V78" i="2"/>
  <c r="R753" i="2" s="1"/>
  <c r="N78" i="2"/>
  <c r="R745" i="2" s="1"/>
  <c r="F78" i="2"/>
  <c r="R737" i="2" s="1"/>
  <c r="Y78" i="2"/>
  <c r="R756" i="2" s="1"/>
  <c r="G817" i="2"/>
  <c r="BT730" i="2"/>
  <c r="B430" i="2"/>
  <c r="E782" i="2"/>
  <c r="E736" i="2"/>
  <c r="E71" i="2"/>
  <c r="E770" i="2"/>
  <c r="AM71" i="2"/>
  <c r="B476" i="2"/>
  <c r="D277" i="2"/>
  <c r="D292" i="2" s="1"/>
  <c r="D341" i="2" s="1"/>
  <c r="E795" i="2"/>
  <c r="BL71" i="2"/>
  <c r="E790" i="2"/>
  <c r="BG71" i="2"/>
  <c r="E739" i="2"/>
  <c r="H71" i="2"/>
  <c r="V71" i="2" l="1"/>
  <c r="C687" i="2" s="1"/>
  <c r="AY71" i="2"/>
  <c r="G71" i="2"/>
  <c r="BA71" i="2"/>
  <c r="C630" i="2" s="1"/>
  <c r="L71" i="2"/>
  <c r="BV71" i="2"/>
  <c r="BR71" i="2"/>
  <c r="AR71" i="2"/>
  <c r="C709" i="2" s="1"/>
  <c r="AL71" i="2"/>
  <c r="BF71" i="2"/>
  <c r="BX71" i="2"/>
  <c r="BK71" i="2"/>
  <c r="C635" i="2" s="1"/>
  <c r="Y71" i="2"/>
  <c r="C518" i="2" s="1"/>
  <c r="AB71" i="2"/>
  <c r="AE71" i="2"/>
  <c r="AX71" i="2"/>
  <c r="C481" i="2"/>
  <c r="D343" i="2"/>
  <c r="C640" i="2"/>
  <c r="C565" i="2"/>
  <c r="C675" i="2"/>
  <c r="C503" i="2"/>
  <c r="C546" i="2"/>
  <c r="C638" i="2"/>
  <c r="C558" i="2"/>
  <c r="C646" i="2"/>
  <c r="C571" i="2"/>
  <c r="C683" i="2"/>
  <c r="C511" i="2"/>
  <c r="U71" i="2"/>
  <c r="Q71" i="2"/>
  <c r="C681" i="2"/>
  <c r="C509" i="2"/>
  <c r="C563" i="2"/>
  <c r="C626" i="2"/>
  <c r="C515" i="2"/>
  <c r="AZ71" i="2"/>
  <c r="C678" i="2"/>
  <c r="C506" i="2"/>
  <c r="G506" i="2" s="1"/>
  <c r="C711" i="2"/>
  <c r="C539" i="2"/>
  <c r="G539" i="2" s="1"/>
  <c r="C499" i="2"/>
  <c r="G499" i="2" s="1"/>
  <c r="C671" i="2"/>
  <c r="C643" i="2"/>
  <c r="C568" i="2"/>
  <c r="C673" i="2"/>
  <c r="C501" i="2"/>
  <c r="G501" i="2" s="1"/>
  <c r="C704" i="2"/>
  <c r="C532" i="2"/>
  <c r="G532" i="2" s="1"/>
  <c r="C516" i="2"/>
  <c r="C688" i="2"/>
  <c r="C695" i="2"/>
  <c r="C523" i="2"/>
  <c r="C669" i="2"/>
  <c r="C497" i="2"/>
  <c r="C697" i="2"/>
  <c r="C525" i="2"/>
  <c r="G525" i="2" s="1"/>
  <c r="C634" i="2"/>
  <c r="C554" i="2"/>
  <c r="C712" i="2"/>
  <c r="C540" i="2"/>
  <c r="G540" i="2" s="1"/>
  <c r="C504" i="2"/>
  <c r="G504" i="2" s="1"/>
  <c r="C676" i="2"/>
  <c r="C561" i="2"/>
  <c r="C621" i="2"/>
  <c r="E734" i="2"/>
  <c r="E815" i="2" s="1"/>
  <c r="C71" i="2"/>
  <c r="CE62" i="2"/>
  <c r="C636" i="2"/>
  <c r="C553" i="2"/>
  <c r="C691" i="2"/>
  <c r="C519" i="2"/>
  <c r="G519" i="2" s="1"/>
  <c r="C629" i="2"/>
  <c r="C551" i="2"/>
  <c r="C562" i="2"/>
  <c r="C623" i="2"/>
  <c r="C694" i="2"/>
  <c r="C522" i="2"/>
  <c r="C619" i="2"/>
  <c r="C559" i="2"/>
  <c r="C644" i="2"/>
  <c r="C569" i="2"/>
  <c r="C572" i="2"/>
  <c r="C647" i="2"/>
  <c r="C696" i="2"/>
  <c r="C524" i="2"/>
  <c r="C633" i="2"/>
  <c r="C548" i="2"/>
  <c r="C703" i="2"/>
  <c r="C531" i="2"/>
  <c r="CE52" i="2"/>
  <c r="AK71" i="2"/>
  <c r="C677" i="2"/>
  <c r="C505" i="2"/>
  <c r="G505" i="2" s="1"/>
  <c r="C570" i="2"/>
  <c r="C645" i="2"/>
  <c r="C642" i="2"/>
  <c r="C567" i="2"/>
  <c r="C618" i="2"/>
  <c r="C552" i="2"/>
  <c r="C573" i="2"/>
  <c r="C622" i="2"/>
  <c r="C631" i="2"/>
  <c r="C542" i="2"/>
  <c r="C701" i="2"/>
  <c r="C529" i="2"/>
  <c r="G529" i="2" s="1"/>
  <c r="C679" i="2"/>
  <c r="C507" i="2"/>
  <c r="G507" i="2" s="1"/>
  <c r="C641" i="2"/>
  <c r="C566" i="2"/>
  <c r="C637" i="2"/>
  <c r="C557" i="2"/>
  <c r="C625" i="2"/>
  <c r="C544" i="2"/>
  <c r="C617" i="2"/>
  <c r="C555" i="2"/>
  <c r="C706" i="2"/>
  <c r="C534" i="2"/>
  <c r="G534" i="2" s="1"/>
  <c r="C698" i="2"/>
  <c r="C526" i="2"/>
  <c r="C672" i="2"/>
  <c r="C500" i="2"/>
  <c r="G500" i="2" s="1"/>
  <c r="C700" i="2"/>
  <c r="C528" i="2"/>
  <c r="C710" i="2"/>
  <c r="C538" i="2"/>
  <c r="G538" i="2" s="1"/>
  <c r="C624" i="2"/>
  <c r="C549" i="2"/>
  <c r="C699" i="2"/>
  <c r="C527" i="2"/>
  <c r="G527" i="2" s="1"/>
  <c r="C693" i="2"/>
  <c r="C521" i="2"/>
  <c r="CC71" i="2"/>
  <c r="C670" i="2"/>
  <c r="C498" i="2"/>
  <c r="C639" i="2"/>
  <c r="C564" i="2"/>
  <c r="J734" i="2"/>
  <c r="J815" i="2" s="1"/>
  <c r="CE67" i="2"/>
  <c r="C614" i="2"/>
  <c r="C550" i="2"/>
  <c r="C684" i="2"/>
  <c r="C512" i="2"/>
  <c r="T71" i="2"/>
  <c r="R734" i="2"/>
  <c r="R815" i="2" s="1"/>
  <c r="CE78" i="2"/>
  <c r="C680" i="2"/>
  <c r="C508" i="2"/>
  <c r="C708" i="2"/>
  <c r="C536" i="2"/>
  <c r="G536" i="2" s="1"/>
  <c r="C713" i="2"/>
  <c r="C541" i="2"/>
  <c r="C632" i="2"/>
  <c r="C547" i="2"/>
  <c r="C692" i="2"/>
  <c r="C520" i="2"/>
  <c r="C689" i="2"/>
  <c r="C517" i="2"/>
  <c r="C627" i="2"/>
  <c r="C560" i="2"/>
  <c r="C502" i="2"/>
  <c r="G502" i="2" s="1"/>
  <c r="C674" i="2"/>
  <c r="C707" i="2"/>
  <c r="C535" i="2"/>
  <c r="G535" i="2" s="1"/>
  <c r="C616" i="2"/>
  <c r="C543" i="2"/>
  <c r="C705" i="2"/>
  <c r="C533" i="2"/>
  <c r="G533" i="2" s="1"/>
  <c r="C690" i="2" l="1"/>
  <c r="C556" i="2"/>
  <c r="C537" i="2"/>
  <c r="G537" i="2" s="1"/>
  <c r="C685" i="2"/>
  <c r="C513" i="2"/>
  <c r="G513" i="2" s="1"/>
  <c r="G526" i="2"/>
  <c r="H526" i="2" s="1"/>
  <c r="C510" i="2"/>
  <c r="C682" i="2"/>
  <c r="H546" i="2"/>
  <c r="G546" i="2"/>
  <c r="G523" i="2"/>
  <c r="H523" i="2"/>
  <c r="G512" i="2"/>
  <c r="H512" i="2"/>
  <c r="C628" i="2"/>
  <c r="C545" i="2"/>
  <c r="G545" i="2" s="1"/>
  <c r="C686" i="2"/>
  <c r="C514" i="2"/>
  <c r="G498" i="2"/>
  <c r="H498" i="2" s="1"/>
  <c r="G517" i="2"/>
  <c r="H517" i="2" s="1"/>
  <c r="G524" i="2"/>
  <c r="H524" i="2" s="1"/>
  <c r="G522" i="2"/>
  <c r="H522" i="2" s="1"/>
  <c r="G511" i="2"/>
  <c r="H511" i="2" s="1"/>
  <c r="G503" i="2"/>
  <c r="H503" i="2" s="1"/>
  <c r="G550" i="2"/>
  <c r="H550" i="2" s="1"/>
  <c r="G520" i="2"/>
  <c r="H520" i="2" s="1"/>
  <c r="D615" i="2"/>
  <c r="H521" i="2"/>
  <c r="G521" i="2"/>
  <c r="G528" i="2"/>
  <c r="H528" i="2" s="1"/>
  <c r="C702" i="2"/>
  <c r="C530" i="2"/>
  <c r="E816" i="2"/>
  <c r="C428" i="2"/>
  <c r="C379" i="2"/>
  <c r="CE71" i="2"/>
  <c r="C716" i="2" s="1"/>
  <c r="G516" i="2"/>
  <c r="H516" i="2" s="1"/>
  <c r="C574" i="2"/>
  <c r="C620" i="2"/>
  <c r="G515" i="2"/>
  <c r="H515" i="2" s="1"/>
  <c r="G508" i="2"/>
  <c r="H508" i="2" s="1"/>
  <c r="J816" i="2"/>
  <c r="C433" i="2"/>
  <c r="C496" i="2"/>
  <c r="C668" i="2"/>
  <c r="G497" i="2"/>
  <c r="H497" i="2"/>
  <c r="R816" i="2"/>
  <c r="I612" i="2"/>
  <c r="G544" i="2"/>
  <c r="H544" i="2" s="1"/>
  <c r="G531" i="2"/>
  <c r="H531" i="2" s="1"/>
  <c r="G518" i="2"/>
  <c r="H518" i="2" s="1"/>
  <c r="G509" i="2"/>
  <c r="H509" i="2" s="1"/>
  <c r="C648" i="2" l="1"/>
  <c r="M716" i="2" s="1"/>
  <c r="Y816" i="2" s="1"/>
  <c r="G496" i="2"/>
  <c r="H496" i="2" s="1"/>
  <c r="G530" i="2"/>
  <c r="H530" i="2" s="1"/>
  <c r="C715" i="2"/>
  <c r="H510" i="2"/>
  <c r="G510" i="2"/>
  <c r="G514" i="2"/>
  <c r="H514" i="2" s="1"/>
  <c r="E817" i="2"/>
  <c r="BR730" i="2"/>
  <c r="B428" i="2"/>
  <c r="D390" i="2"/>
  <c r="C441" i="2"/>
  <c r="D710" i="2"/>
  <c r="D702" i="2"/>
  <c r="D694" i="2"/>
  <c r="D686" i="2"/>
  <c r="D716" i="2"/>
  <c r="D707" i="2"/>
  <c r="D699" i="2"/>
  <c r="D691" i="2"/>
  <c r="D706" i="2"/>
  <c r="D698" i="2"/>
  <c r="D690" i="2"/>
  <c r="D713" i="2"/>
  <c r="D692" i="2"/>
  <c r="D685" i="2"/>
  <c r="D680" i="2"/>
  <c r="D672" i="2"/>
  <c r="D620" i="2"/>
  <c r="D616" i="2"/>
  <c r="D700" i="2"/>
  <c r="D693" i="2"/>
  <c r="D677" i="2"/>
  <c r="D669" i="2"/>
  <c r="D627" i="2"/>
  <c r="D708" i="2"/>
  <c r="D701" i="2"/>
  <c r="D687" i="2"/>
  <c r="D682" i="2"/>
  <c r="D674" i="2"/>
  <c r="D623" i="2"/>
  <c r="D619" i="2"/>
  <c r="D676" i="2"/>
  <c r="D675" i="2"/>
  <c r="D697" i="2"/>
  <c r="D684" i="2"/>
  <c r="D638" i="2"/>
  <c r="D630" i="2"/>
  <c r="D625" i="2"/>
  <c r="D621" i="2"/>
  <c r="D704" i="2"/>
  <c r="D673" i="2"/>
  <c r="D641" i="2"/>
  <c r="D633" i="2"/>
  <c r="D689" i="2"/>
  <c r="D681" i="2"/>
  <c r="D647" i="2"/>
  <c r="D644" i="2"/>
  <c r="D636" i="2"/>
  <c r="D703" i="2"/>
  <c r="D688" i="2"/>
  <c r="D639" i="2"/>
  <c r="D634" i="2"/>
  <c r="D631" i="2"/>
  <c r="D624" i="2"/>
  <c r="D695" i="2"/>
  <c r="D679" i="2"/>
  <c r="D668" i="2"/>
  <c r="D628" i="2"/>
  <c r="D709" i="2"/>
  <c r="D670" i="2"/>
  <c r="D646" i="2"/>
  <c r="D622" i="2"/>
  <c r="D683" i="2"/>
  <c r="D705" i="2"/>
  <c r="D645" i="2"/>
  <c r="D643" i="2"/>
  <c r="D618" i="2"/>
  <c r="D712" i="2"/>
  <c r="D678" i="2"/>
  <c r="D671" i="2"/>
  <c r="D640" i="2"/>
  <c r="D635" i="2"/>
  <c r="D626" i="2"/>
  <c r="D711" i="2"/>
  <c r="D696" i="2"/>
  <c r="D642" i="2"/>
  <c r="D637" i="2"/>
  <c r="D632" i="2"/>
  <c r="D629" i="2"/>
  <c r="D617" i="2"/>
  <c r="D715" i="2" l="1"/>
  <c r="E623" i="2"/>
  <c r="B441" i="2"/>
  <c r="D391" i="2"/>
  <c r="D393" i="2" s="1"/>
  <c r="D396" i="2" s="1"/>
  <c r="E612" i="2"/>
  <c r="E716" i="2" l="1"/>
  <c r="E707" i="2"/>
  <c r="E699" i="2"/>
  <c r="E691" i="2"/>
  <c r="E683" i="2"/>
  <c r="E712" i="2"/>
  <c r="E704" i="2"/>
  <c r="E696" i="2"/>
  <c r="E688" i="2"/>
  <c r="E711" i="2"/>
  <c r="E703" i="2"/>
  <c r="E695" i="2"/>
  <c r="E687" i="2"/>
  <c r="E700" i="2"/>
  <c r="E693" i="2"/>
  <c r="E677" i="2"/>
  <c r="E669" i="2"/>
  <c r="E627" i="2"/>
  <c r="E708" i="2"/>
  <c r="E701" i="2"/>
  <c r="E686" i="2"/>
  <c r="E682" i="2"/>
  <c r="E674" i="2"/>
  <c r="E709" i="2"/>
  <c r="E694" i="2"/>
  <c r="E679" i="2"/>
  <c r="E671" i="2"/>
  <c r="E625" i="2"/>
  <c r="E673" i="2"/>
  <c r="E672" i="2"/>
  <c r="E641" i="2"/>
  <c r="E633" i="2"/>
  <c r="E706" i="2"/>
  <c r="E702" i="2"/>
  <c r="E689" i="2"/>
  <c r="E681" i="2"/>
  <c r="E680" i="2"/>
  <c r="E647" i="2"/>
  <c r="E644" i="2"/>
  <c r="E636" i="2"/>
  <c r="E668" i="2"/>
  <c r="E639" i="2"/>
  <c r="E631" i="2"/>
  <c r="E692" i="2"/>
  <c r="E624" i="2"/>
  <c r="E628" i="2"/>
  <c r="E710" i="2"/>
  <c r="E684" i="2"/>
  <c r="E670" i="2"/>
  <c r="E646" i="2"/>
  <c r="E713" i="2"/>
  <c r="E698" i="2"/>
  <c r="E676" i="2"/>
  <c r="E705" i="2"/>
  <c r="E690" i="2"/>
  <c r="E645" i="2"/>
  <c r="E643" i="2"/>
  <c r="E638" i="2"/>
  <c r="E678" i="2"/>
  <c r="E640" i="2"/>
  <c r="E635" i="2"/>
  <c r="E630" i="2"/>
  <c r="E626" i="2"/>
  <c r="E697" i="2"/>
  <c r="E642" i="2"/>
  <c r="E637" i="2"/>
  <c r="E632" i="2"/>
  <c r="E629" i="2"/>
  <c r="E685" i="2"/>
  <c r="E675" i="2"/>
  <c r="E634" i="2"/>
  <c r="E715" i="2" l="1"/>
  <c r="F624" i="2"/>
  <c r="F712" i="2" l="1"/>
  <c r="F704" i="2"/>
  <c r="F696" i="2"/>
  <c r="F688" i="2"/>
  <c r="F709" i="2"/>
  <c r="F701" i="2"/>
  <c r="F693" i="2"/>
  <c r="F685" i="2"/>
  <c r="F708" i="2"/>
  <c r="F700" i="2"/>
  <c r="F692" i="2"/>
  <c r="F684" i="2"/>
  <c r="F707" i="2"/>
  <c r="F686" i="2"/>
  <c r="F682" i="2"/>
  <c r="F674" i="2"/>
  <c r="F716" i="2"/>
  <c r="F694" i="2"/>
  <c r="F687" i="2"/>
  <c r="F679" i="2"/>
  <c r="F671" i="2"/>
  <c r="F625" i="2"/>
  <c r="F702" i="2"/>
  <c r="F695" i="2"/>
  <c r="F676" i="2"/>
  <c r="F668" i="2"/>
  <c r="F628" i="2"/>
  <c r="F705" i="2"/>
  <c r="F703" i="2"/>
  <c r="F690" i="2"/>
  <c r="F683" i="2"/>
  <c r="F706" i="2"/>
  <c r="F689" i="2"/>
  <c r="F681" i="2"/>
  <c r="F680" i="2"/>
  <c r="F647" i="2"/>
  <c r="F644" i="2"/>
  <c r="F636" i="2"/>
  <c r="F691" i="2"/>
  <c r="F639" i="2"/>
  <c r="F631" i="2"/>
  <c r="F713" i="2"/>
  <c r="F711" i="2"/>
  <c r="F698" i="2"/>
  <c r="F675" i="2"/>
  <c r="F645" i="2"/>
  <c r="F642" i="2"/>
  <c r="F634" i="2"/>
  <c r="F629" i="2"/>
  <c r="F627" i="2"/>
  <c r="F677" i="2"/>
  <c r="F710" i="2"/>
  <c r="F670" i="2"/>
  <c r="F646" i="2"/>
  <c r="F699" i="2"/>
  <c r="F672" i="2"/>
  <c r="F641" i="2"/>
  <c r="F643" i="2"/>
  <c r="F638" i="2"/>
  <c r="F633" i="2"/>
  <c r="F678" i="2"/>
  <c r="F640" i="2"/>
  <c r="F635" i="2"/>
  <c r="F630" i="2"/>
  <c r="F626" i="2"/>
  <c r="F697" i="2"/>
  <c r="F637" i="2"/>
  <c r="F632" i="2"/>
  <c r="F673" i="2"/>
  <c r="F669" i="2"/>
  <c r="F715" i="2" l="1"/>
  <c r="G625" i="2"/>
  <c r="G709" i="2" l="1"/>
  <c r="G701" i="2"/>
  <c r="G693" i="2"/>
  <c r="G685" i="2"/>
  <c r="G706" i="2"/>
  <c r="G698" i="2"/>
  <c r="G690" i="2"/>
  <c r="G713" i="2"/>
  <c r="G705" i="2"/>
  <c r="G697" i="2"/>
  <c r="G689" i="2"/>
  <c r="G716" i="2"/>
  <c r="G708" i="2"/>
  <c r="G694" i="2"/>
  <c r="G687" i="2"/>
  <c r="G679" i="2"/>
  <c r="G671" i="2"/>
  <c r="G702" i="2"/>
  <c r="G695" i="2"/>
  <c r="G676" i="2"/>
  <c r="G668" i="2"/>
  <c r="G628" i="2"/>
  <c r="G710" i="2"/>
  <c r="G703" i="2"/>
  <c r="G688" i="2"/>
  <c r="G681" i="2"/>
  <c r="G673" i="2"/>
  <c r="G707" i="2"/>
  <c r="G692" i="2"/>
  <c r="G678" i="2"/>
  <c r="G677" i="2"/>
  <c r="G704" i="2"/>
  <c r="G691" i="2"/>
  <c r="G639" i="2"/>
  <c r="G631" i="2"/>
  <c r="G711" i="2"/>
  <c r="G675" i="2"/>
  <c r="G674" i="2"/>
  <c r="G645" i="2"/>
  <c r="G642" i="2"/>
  <c r="G634" i="2"/>
  <c r="G629" i="2"/>
  <c r="G627" i="2"/>
  <c r="G700" i="2"/>
  <c r="G696" i="2"/>
  <c r="G682" i="2"/>
  <c r="G637" i="2"/>
  <c r="G670" i="2"/>
  <c r="G646" i="2"/>
  <c r="G644" i="2"/>
  <c r="G699" i="2"/>
  <c r="G684" i="2"/>
  <c r="G672" i="2"/>
  <c r="G641" i="2"/>
  <c r="G636" i="2"/>
  <c r="G643" i="2"/>
  <c r="G638" i="2"/>
  <c r="G633" i="2"/>
  <c r="G683" i="2"/>
  <c r="G640" i="2"/>
  <c r="G635" i="2"/>
  <c r="G630" i="2"/>
  <c r="G626" i="2"/>
  <c r="G632" i="2"/>
  <c r="G712" i="2"/>
  <c r="G686" i="2"/>
  <c r="G669" i="2"/>
  <c r="G680" i="2"/>
  <c r="G647" i="2"/>
  <c r="G715" i="2" l="1"/>
  <c r="H628" i="2"/>
  <c r="H706" i="2" l="1"/>
  <c r="H698" i="2"/>
  <c r="H690" i="2"/>
  <c r="H711" i="2"/>
  <c r="H703" i="2"/>
  <c r="H695" i="2"/>
  <c r="H687" i="2"/>
  <c r="H710" i="2"/>
  <c r="H702" i="2"/>
  <c r="H694" i="2"/>
  <c r="H686" i="2"/>
  <c r="H701" i="2"/>
  <c r="H676" i="2"/>
  <c r="H668" i="2"/>
  <c r="H709" i="2"/>
  <c r="H688" i="2"/>
  <c r="H681" i="2"/>
  <c r="H673" i="2"/>
  <c r="H696" i="2"/>
  <c r="H689" i="2"/>
  <c r="H678" i="2"/>
  <c r="H670" i="2"/>
  <c r="H647" i="2"/>
  <c r="H646" i="2"/>
  <c r="H645" i="2"/>
  <c r="H629" i="2"/>
  <c r="H693" i="2"/>
  <c r="H675" i="2"/>
  <c r="H674" i="2"/>
  <c r="H642" i="2"/>
  <c r="H634" i="2"/>
  <c r="H716" i="2"/>
  <c r="H713" i="2"/>
  <c r="H700" i="2"/>
  <c r="H682" i="2"/>
  <c r="H637" i="2"/>
  <c r="H685" i="2"/>
  <c r="H683" i="2"/>
  <c r="H669" i="2"/>
  <c r="H640" i="2"/>
  <c r="H632" i="2"/>
  <c r="H699" i="2"/>
  <c r="H684" i="2"/>
  <c r="H672" i="2"/>
  <c r="H641" i="2"/>
  <c r="H636" i="2"/>
  <c r="H631" i="2"/>
  <c r="H679" i="2"/>
  <c r="H643" i="2"/>
  <c r="H638" i="2"/>
  <c r="H633" i="2"/>
  <c r="H691" i="2"/>
  <c r="H635" i="2"/>
  <c r="H630" i="2"/>
  <c r="H705" i="2"/>
  <c r="H712" i="2"/>
  <c r="H697" i="2"/>
  <c r="H680" i="2"/>
  <c r="H671" i="2"/>
  <c r="H708" i="2"/>
  <c r="H704" i="2"/>
  <c r="H707" i="2"/>
  <c r="H692" i="2"/>
  <c r="H677" i="2"/>
  <c r="H644" i="2"/>
  <c r="H639" i="2"/>
  <c r="H715" i="2" l="1"/>
  <c r="I629" i="2"/>
  <c r="I711" i="2" l="1"/>
  <c r="I703" i="2"/>
  <c r="I695" i="2"/>
  <c r="I687" i="2"/>
  <c r="I708" i="2"/>
  <c r="I700" i="2"/>
  <c r="I692" i="2"/>
  <c r="I684" i="2"/>
  <c r="I716" i="2"/>
  <c r="I707" i="2"/>
  <c r="I699" i="2"/>
  <c r="I691" i="2"/>
  <c r="I683" i="2"/>
  <c r="I709" i="2"/>
  <c r="I702" i="2"/>
  <c r="I688" i="2"/>
  <c r="I681" i="2"/>
  <c r="I673" i="2"/>
  <c r="I710" i="2"/>
  <c r="I696" i="2"/>
  <c r="I689" i="2"/>
  <c r="I678" i="2"/>
  <c r="I670" i="2"/>
  <c r="I647" i="2"/>
  <c r="I646" i="2"/>
  <c r="I645" i="2"/>
  <c r="I704" i="2"/>
  <c r="I697" i="2"/>
  <c r="I67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712" i="2"/>
  <c r="I672" i="2"/>
  <c r="I713" i="2"/>
  <c r="I682" i="2"/>
  <c r="I698" i="2"/>
  <c r="I685" i="2"/>
  <c r="I669" i="2"/>
  <c r="I668" i="2"/>
  <c r="I705" i="2"/>
  <c r="I677" i="2"/>
  <c r="I676" i="2"/>
  <c r="I679" i="2"/>
  <c r="I706" i="2"/>
  <c r="I674" i="2"/>
  <c r="I694" i="2"/>
  <c r="I690" i="2"/>
  <c r="I701" i="2"/>
  <c r="I686" i="2"/>
  <c r="I680" i="2"/>
  <c r="I671" i="2"/>
  <c r="I693" i="2"/>
  <c r="I715" i="2" l="1"/>
  <c r="J630" i="2"/>
  <c r="J708" i="2" l="1"/>
  <c r="J700" i="2"/>
  <c r="J692" i="2"/>
  <c r="J684" i="2"/>
  <c r="J713" i="2"/>
  <c r="J705" i="2"/>
  <c r="J697" i="2"/>
  <c r="J689" i="2"/>
  <c r="J712" i="2"/>
  <c r="J704" i="2"/>
  <c r="J696" i="2"/>
  <c r="J688" i="2"/>
  <c r="J710" i="2"/>
  <c r="J695" i="2"/>
  <c r="J678" i="2"/>
  <c r="J670" i="2"/>
  <c r="J647" i="2"/>
  <c r="J646" i="2"/>
  <c r="J645" i="2"/>
  <c r="J703" i="2"/>
  <c r="J67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711" i="2"/>
  <c r="J690" i="2"/>
  <c r="J680" i="2"/>
  <c r="J672" i="2"/>
  <c r="J701" i="2"/>
  <c r="J699" i="2"/>
  <c r="J686" i="2"/>
  <c r="J679" i="2"/>
  <c r="J716" i="2"/>
  <c r="J702" i="2"/>
  <c r="J698" i="2"/>
  <c r="J685" i="2"/>
  <c r="J669" i="2"/>
  <c r="J668" i="2"/>
  <c r="J687" i="2"/>
  <c r="J683" i="2"/>
  <c r="J677" i="2"/>
  <c r="J676" i="2"/>
  <c r="J709" i="2"/>
  <c r="J707" i="2"/>
  <c r="J694" i="2"/>
  <c r="J706" i="2"/>
  <c r="J691" i="2"/>
  <c r="J674" i="2"/>
  <c r="J681" i="2"/>
  <c r="J671" i="2"/>
  <c r="J693" i="2"/>
  <c r="J673" i="2"/>
  <c r="J682" i="2"/>
  <c r="K644" i="2" l="1"/>
  <c r="J715" i="2"/>
  <c r="L647" i="2"/>
  <c r="L710" i="2" l="1"/>
  <c r="L702" i="2"/>
  <c r="L694" i="2"/>
  <c r="L686" i="2"/>
  <c r="L716" i="2"/>
  <c r="L707" i="2"/>
  <c r="L699" i="2"/>
  <c r="L691" i="2"/>
  <c r="L706" i="2"/>
  <c r="L698" i="2"/>
  <c r="L690" i="2"/>
  <c r="L711" i="2"/>
  <c r="L704" i="2"/>
  <c r="L689" i="2"/>
  <c r="L680" i="2"/>
  <c r="L672" i="2"/>
  <c r="L712" i="2"/>
  <c r="L697" i="2"/>
  <c r="L683" i="2"/>
  <c r="L677" i="2"/>
  <c r="L669" i="2"/>
  <c r="L705" i="2"/>
  <c r="L684" i="2"/>
  <c r="L682" i="2"/>
  <c r="L674" i="2"/>
  <c r="L673" i="2"/>
  <c r="L709" i="2"/>
  <c r="L696" i="2"/>
  <c r="L692" i="2"/>
  <c r="L671" i="2"/>
  <c r="L670" i="2"/>
  <c r="L679" i="2"/>
  <c r="L678" i="2"/>
  <c r="L695" i="2"/>
  <c r="L681" i="2"/>
  <c r="L668" i="2"/>
  <c r="L713" i="2"/>
  <c r="L687" i="2"/>
  <c r="L676" i="2"/>
  <c r="L701" i="2"/>
  <c r="L708" i="2"/>
  <c r="L693" i="2"/>
  <c r="L700" i="2"/>
  <c r="L685" i="2"/>
  <c r="L675" i="2"/>
  <c r="L703" i="2"/>
  <c r="L688" i="2"/>
  <c r="K713" i="2"/>
  <c r="K705" i="2"/>
  <c r="K697" i="2"/>
  <c r="K689" i="2"/>
  <c r="K710" i="2"/>
  <c r="K702" i="2"/>
  <c r="K694" i="2"/>
  <c r="K686" i="2"/>
  <c r="K709" i="2"/>
  <c r="K701" i="2"/>
  <c r="K693" i="2"/>
  <c r="K685" i="2"/>
  <c r="K703" i="2"/>
  <c r="K696" i="2"/>
  <c r="K675" i="2"/>
  <c r="K711" i="2"/>
  <c r="K704" i="2"/>
  <c r="K690" i="2"/>
  <c r="K680" i="2"/>
  <c r="K672" i="2"/>
  <c r="K712" i="2"/>
  <c r="K698" i="2"/>
  <c r="K691" i="2"/>
  <c r="K683" i="2"/>
  <c r="K677" i="2"/>
  <c r="K669" i="2"/>
  <c r="K688" i="2"/>
  <c r="K684" i="2"/>
  <c r="K700" i="2"/>
  <c r="K687" i="2"/>
  <c r="K676" i="2"/>
  <c r="K707" i="2"/>
  <c r="K692" i="2"/>
  <c r="K671" i="2"/>
  <c r="K670" i="2"/>
  <c r="K706" i="2"/>
  <c r="K674" i="2"/>
  <c r="K695" i="2"/>
  <c r="K681" i="2"/>
  <c r="K668" i="2"/>
  <c r="K678" i="2"/>
  <c r="K673" i="2"/>
  <c r="K708" i="2"/>
  <c r="K682" i="2"/>
  <c r="K716" i="2"/>
  <c r="K699" i="2"/>
  <c r="K679" i="2"/>
  <c r="M687" i="2" l="1"/>
  <c r="Y753" i="2" s="1"/>
  <c r="M695" i="2"/>
  <c r="Y761" i="2" s="1"/>
  <c r="M671" i="2"/>
  <c r="Y737" i="2" s="1"/>
  <c r="M673" i="2"/>
  <c r="Y739" i="2" s="1"/>
  <c r="M705" i="2"/>
  <c r="Y771" i="2" s="1"/>
  <c r="M685" i="2"/>
  <c r="Y751" i="2" s="1"/>
  <c r="M701" i="2"/>
  <c r="Y767" i="2" s="1"/>
  <c r="M696" i="2"/>
  <c r="Y762" i="2" s="1"/>
  <c r="M677" i="2"/>
  <c r="Y743" i="2" s="1"/>
  <c r="M711" i="2"/>
  <c r="Y777" i="2" s="1"/>
  <c r="M686" i="2"/>
  <c r="Y752" i="2" s="1"/>
  <c r="M698" i="2"/>
  <c r="Y764" i="2" s="1"/>
  <c r="M702" i="2"/>
  <c r="Y768" i="2" s="1"/>
  <c r="M697" i="2"/>
  <c r="Y763" i="2" s="1"/>
  <c r="M679" i="2"/>
  <c r="Y745" i="2" s="1"/>
  <c r="M682" i="2"/>
  <c r="Y748" i="2" s="1"/>
  <c r="M672" i="2"/>
  <c r="Y738" i="2" s="1"/>
  <c r="M691" i="2"/>
  <c r="Y757" i="2" s="1"/>
  <c r="K715" i="2"/>
  <c r="M688" i="2"/>
  <c r="Y754" i="2" s="1"/>
  <c r="M676" i="2"/>
  <c r="Y742" i="2" s="1"/>
  <c r="M670" i="2"/>
  <c r="Y736" i="2" s="1"/>
  <c r="M684" i="2"/>
  <c r="Y750" i="2" s="1"/>
  <c r="M680" i="2"/>
  <c r="Y746" i="2" s="1"/>
  <c r="M699" i="2"/>
  <c r="Y765" i="2" s="1"/>
  <c r="M703" i="2"/>
  <c r="Y769" i="2" s="1"/>
  <c r="M689" i="2"/>
  <c r="Y755" i="2" s="1"/>
  <c r="M707" i="2"/>
  <c r="Y773" i="2" s="1"/>
  <c r="L715" i="2"/>
  <c r="M668" i="2"/>
  <c r="M675" i="2"/>
  <c r="Y741" i="2" s="1"/>
  <c r="M713" i="2"/>
  <c r="Y779" i="2" s="1"/>
  <c r="M692" i="2"/>
  <c r="Y758" i="2" s="1"/>
  <c r="M669" i="2"/>
  <c r="Y735" i="2" s="1"/>
  <c r="M704" i="2"/>
  <c r="Y770" i="2" s="1"/>
  <c r="M700" i="2"/>
  <c r="Y766" i="2" s="1"/>
  <c r="M681" i="2"/>
  <c r="Y747" i="2" s="1"/>
  <c r="M709" i="2"/>
  <c r="Y775" i="2" s="1"/>
  <c r="M683" i="2"/>
  <c r="Y749" i="2" s="1"/>
  <c r="M690" i="2"/>
  <c r="Y756" i="2" s="1"/>
  <c r="M694" i="2"/>
  <c r="Y760" i="2" s="1"/>
  <c r="M693" i="2"/>
  <c r="Y759" i="2" s="1"/>
  <c r="M708" i="2"/>
  <c r="Y774" i="2" s="1"/>
  <c r="M678" i="2"/>
  <c r="Y744" i="2" s="1"/>
  <c r="M674" i="2"/>
  <c r="Y740" i="2" s="1"/>
  <c r="M712" i="2"/>
  <c r="Y778" i="2" s="1"/>
  <c r="M706" i="2"/>
  <c r="Y772" i="2" s="1"/>
  <c r="M710" i="2"/>
  <c r="Y776" i="2" s="1"/>
  <c r="Y734" i="2" l="1"/>
  <c r="Y815" i="2" s="1"/>
  <c r="M715" i="2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11"/>
  <c r="C444" i="1"/>
  <c r="D367" i="1"/>
  <c r="C119" i="11" s="1"/>
  <c r="D221" i="1"/>
  <c r="B444" i="1" s="1"/>
  <c r="D12" i="9"/>
  <c r="G159" i="12"/>
  <c r="D127" i="12"/>
  <c r="I63" i="12"/>
  <c r="CE47" i="1"/>
  <c r="C101" i="11"/>
  <c r="C100" i="11"/>
  <c r="C91" i="11"/>
  <c r="C93" i="11"/>
  <c r="C95" i="11"/>
  <c r="C97" i="11"/>
  <c r="E20" i="5"/>
  <c r="E19" i="5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12"/>
  <c r="C384" i="12"/>
  <c r="C383" i="12"/>
  <c r="C381" i="12"/>
  <c r="D384" i="12"/>
  <c r="D383" i="12"/>
  <c r="D382" i="12"/>
  <c r="D381" i="12"/>
  <c r="I314" i="12"/>
  <c r="H314" i="12"/>
  <c r="G314" i="12"/>
  <c r="F314" i="12"/>
  <c r="E314" i="12"/>
  <c r="D314" i="12"/>
  <c r="C314" i="12"/>
  <c r="I313" i="12"/>
  <c r="H313" i="12"/>
  <c r="G313" i="12"/>
  <c r="F313" i="12"/>
  <c r="E313" i="12"/>
  <c r="D313" i="12"/>
  <c r="C313" i="12"/>
  <c r="D317" i="12"/>
  <c r="C352" i="12"/>
  <c r="I346" i="12"/>
  <c r="H346" i="12"/>
  <c r="G346" i="12"/>
  <c r="F346" i="12"/>
  <c r="E346" i="12"/>
  <c r="D346" i="12"/>
  <c r="C346" i="12"/>
  <c r="I345" i="12"/>
  <c r="H345" i="12"/>
  <c r="G345" i="12"/>
  <c r="F345" i="12"/>
  <c r="E345" i="12"/>
  <c r="D345" i="12"/>
  <c r="C345" i="12"/>
  <c r="I250" i="12"/>
  <c r="H250" i="12"/>
  <c r="G250" i="12"/>
  <c r="F250" i="12"/>
  <c r="E250" i="12"/>
  <c r="D250" i="12"/>
  <c r="C250" i="12"/>
  <c r="I249" i="12"/>
  <c r="H249" i="12"/>
  <c r="G249" i="12"/>
  <c r="F249" i="12"/>
  <c r="E249" i="12"/>
  <c r="D249" i="12"/>
  <c r="C249" i="12"/>
  <c r="H252" i="12"/>
  <c r="I374" i="12"/>
  <c r="I256" i="12"/>
  <c r="H221" i="12"/>
  <c r="I217" i="12"/>
  <c r="H217" i="12"/>
  <c r="I216" i="12"/>
  <c r="H216" i="12"/>
  <c r="A356" i="12"/>
  <c r="H356" i="12"/>
  <c r="H324" i="12"/>
  <c r="H292" i="12"/>
  <c r="H260" i="12"/>
  <c r="H228" i="12"/>
  <c r="H196" i="12"/>
  <c r="H164" i="12"/>
  <c r="H132" i="12"/>
  <c r="H100" i="12"/>
  <c r="H68" i="12"/>
  <c r="H36" i="12"/>
  <c r="H4" i="12"/>
  <c r="I352" i="12"/>
  <c r="H352" i="12"/>
  <c r="G352" i="12"/>
  <c r="F352" i="12"/>
  <c r="E352" i="12"/>
  <c r="D352" i="12"/>
  <c r="I351" i="12"/>
  <c r="H351" i="12"/>
  <c r="G351" i="12"/>
  <c r="F351" i="12"/>
  <c r="E351" i="12"/>
  <c r="D351" i="12"/>
  <c r="I349" i="12"/>
  <c r="H349" i="12"/>
  <c r="G349" i="12"/>
  <c r="F349" i="12"/>
  <c r="E349" i="12"/>
  <c r="D349" i="12"/>
  <c r="C351" i="12"/>
  <c r="C349" i="12"/>
  <c r="I319" i="12"/>
  <c r="H319" i="12"/>
  <c r="I317" i="12"/>
  <c r="H317" i="12"/>
  <c r="G317" i="12"/>
  <c r="I287" i="12"/>
  <c r="H287" i="12"/>
  <c r="G287" i="12"/>
  <c r="I285" i="12"/>
  <c r="H285" i="12"/>
  <c r="G285" i="12"/>
  <c r="D287" i="12"/>
  <c r="E285" i="12"/>
  <c r="D285" i="12"/>
  <c r="I253" i="12"/>
  <c r="I224" i="12"/>
  <c r="H224" i="12"/>
  <c r="I223" i="12"/>
  <c r="H223" i="12"/>
  <c r="I222" i="12"/>
  <c r="H222" i="12"/>
  <c r="I221" i="12"/>
  <c r="G224" i="12"/>
  <c r="G217" i="12"/>
  <c r="G216" i="12"/>
  <c r="A228" i="12"/>
  <c r="A196" i="12"/>
  <c r="D377" i="12"/>
  <c r="D376" i="12"/>
  <c r="C377" i="12"/>
  <c r="C376" i="12"/>
  <c r="I320" i="12"/>
  <c r="H320" i="12"/>
  <c r="G320" i="12"/>
  <c r="F320" i="12"/>
  <c r="E320" i="12"/>
  <c r="D320" i="12"/>
  <c r="G319" i="12"/>
  <c r="F319" i="12"/>
  <c r="E319" i="12"/>
  <c r="D319" i="12"/>
  <c r="G318" i="12"/>
  <c r="F318" i="12"/>
  <c r="E318" i="12"/>
  <c r="D318" i="12"/>
  <c r="F317" i="12"/>
  <c r="E317" i="12"/>
  <c r="I312" i="12"/>
  <c r="H312" i="12"/>
  <c r="G312" i="12"/>
  <c r="F312" i="12"/>
  <c r="E312" i="12"/>
  <c r="D312" i="12"/>
  <c r="C317" i="12"/>
  <c r="C318" i="12"/>
  <c r="I344" i="12"/>
  <c r="H344" i="12"/>
  <c r="G344" i="12"/>
  <c r="F344" i="12"/>
  <c r="E344" i="12"/>
  <c r="D344" i="12"/>
  <c r="C344" i="12"/>
  <c r="A324" i="12"/>
  <c r="C320" i="12"/>
  <c r="C319" i="12"/>
  <c r="C312" i="12"/>
  <c r="A292" i="12"/>
  <c r="I288" i="12"/>
  <c r="H288" i="12"/>
  <c r="G288" i="12"/>
  <c r="F288" i="12"/>
  <c r="E288" i="12"/>
  <c r="D288" i="12"/>
  <c r="F287" i="12"/>
  <c r="F286" i="12"/>
  <c r="F285" i="12"/>
  <c r="I281" i="12"/>
  <c r="H281" i="12"/>
  <c r="G281" i="12"/>
  <c r="F281" i="12"/>
  <c r="E281" i="12"/>
  <c r="D281" i="12"/>
  <c r="I280" i="12"/>
  <c r="H280" i="12"/>
  <c r="G280" i="12"/>
  <c r="F280" i="12"/>
  <c r="E280" i="12"/>
  <c r="D280" i="12"/>
  <c r="C288" i="12"/>
  <c r="C287" i="12"/>
  <c r="C286" i="12"/>
  <c r="C285" i="12"/>
  <c r="C281" i="12"/>
  <c r="C280" i="12"/>
  <c r="A260" i="12"/>
  <c r="I255" i="12"/>
  <c r="I254" i="12"/>
  <c r="H256" i="12"/>
  <c r="H255" i="12"/>
  <c r="H254" i="12"/>
  <c r="H253" i="12"/>
  <c r="G256" i="12"/>
  <c r="G255" i="12"/>
  <c r="G254" i="12"/>
  <c r="G253" i="12"/>
  <c r="F256" i="12"/>
  <c r="E256" i="12"/>
  <c r="D256" i="12"/>
  <c r="D255" i="12"/>
  <c r="I248" i="12"/>
  <c r="G248" i="12"/>
  <c r="F248" i="12"/>
  <c r="E248" i="12"/>
  <c r="H248" i="12"/>
  <c r="D248" i="12"/>
  <c r="C256" i="12"/>
  <c r="C255" i="12"/>
  <c r="C254" i="12"/>
  <c r="C248" i="12"/>
  <c r="A164" i="12"/>
  <c r="A132" i="12"/>
  <c r="A100" i="12"/>
  <c r="A68" i="12"/>
  <c r="A36" i="12"/>
  <c r="C31" i="12"/>
  <c r="C30" i="12"/>
  <c r="C29" i="12"/>
  <c r="C28" i="12"/>
  <c r="C20" i="12"/>
  <c r="A4" i="12"/>
  <c r="C32" i="12"/>
  <c r="I218" i="12"/>
  <c r="H218" i="12"/>
  <c r="G218" i="12"/>
  <c r="D378" i="12"/>
  <c r="C378" i="12"/>
  <c r="I282" i="12"/>
  <c r="H282" i="12"/>
  <c r="G282" i="12"/>
  <c r="F282" i="12"/>
  <c r="E282" i="12"/>
  <c r="D282" i="12"/>
  <c r="C282" i="12"/>
  <c r="C9" i="12"/>
  <c r="C15" i="12"/>
  <c r="C25" i="12"/>
  <c r="D32" i="12"/>
  <c r="D31" i="12"/>
  <c r="D30" i="12"/>
  <c r="D29" i="12"/>
  <c r="D28" i="12"/>
  <c r="H105" i="12"/>
  <c r="G28" i="12"/>
  <c r="G29" i="12"/>
  <c r="G30" i="12"/>
  <c r="G31" i="12"/>
  <c r="H92" i="12"/>
  <c r="I252" i="12"/>
  <c r="F284" i="12"/>
  <c r="H284" i="12"/>
  <c r="H316" i="12"/>
  <c r="D348" i="12"/>
  <c r="G348" i="12"/>
  <c r="E316" i="12"/>
  <c r="C96" i="12"/>
  <c r="H94" i="12"/>
  <c r="F96" i="12"/>
  <c r="G156" i="12"/>
  <c r="G157" i="12"/>
  <c r="E160" i="12"/>
  <c r="G160" i="12"/>
  <c r="H28" i="12"/>
  <c r="I28" i="12"/>
  <c r="H29" i="12"/>
  <c r="F30" i="12"/>
  <c r="H30" i="12"/>
  <c r="I30" i="12"/>
  <c r="F31" i="12"/>
  <c r="H31" i="12"/>
  <c r="I31" i="12"/>
  <c r="G32" i="12"/>
  <c r="H32" i="12"/>
  <c r="I32" i="12"/>
  <c r="C62" i="12"/>
  <c r="C63" i="12"/>
  <c r="D60" i="12"/>
  <c r="E60" i="12"/>
  <c r="F60" i="12"/>
  <c r="G60" i="12"/>
  <c r="H60" i="12"/>
  <c r="D61" i="12"/>
  <c r="E61" i="12"/>
  <c r="F61" i="12"/>
  <c r="G61" i="12"/>
  <c r="D62" i="12"/>
  <c r="E62" i="12"/>
  <c r="F62" i="12"/>
  <c r="G62" i="12"/>
  <c r="H62" i="12"/>
  <c r="D63" i="12"/>
  <c r="E63" i="12"/>
  <c r="F63" i="12"/>
  <c r="G63" i="12"/>
  <c r="D64" i="12"/>
  <c r="E64" i="12"/>
  <c r="F64" i="12"/>
  <c r="G64" i="12"/>
  <c r="H64" i="12"/>
  <c r="C92" i="12"/>
  <c r="C93" i="12"/>
  <c r="C94" i="12"/>
  <c r="D92" i="12"/>
  <c r="D93" i="12"/>
  <c r="D94" i="12"/>
  <c r="D95" i="12"/>
  <c r="D96" i="12"/>
  <c r="I92" i="12"/>
  <c r="G93" i="12"/>
  <c r="H93" i="12"/>
  <c r="I93" i="12"/>
  <c r="I94" i="12"/>
  <c r="G95" i="12"/>
  <c r="H95" i="12"/>
  <c r="I95" i="12"/>
  <c r="G96" i="12"/>
  <c r="H96" i="12"/>
  <c r="I96" i="12"/>
  <c r="E92" i="12"/>
  <c r="F92" i="12"/>
  <c r="E93" i="12"/>
  <c r="F93" i="12"/>
  <c r="E94" i="12"/>
  <c r="F94" i="12"/>
  <c r="E95" i="12"/>
  <c r="F95" i="12"/>
  <c r="E96" i="12"/>
  <c r="C124" i="12"/>
  <c r="C125" i="12"/>
  <c r="C126" i="12"/>
  <c r="C128" i="12"/>
  <c r="E124" i="12"/>
  <c r="F124" i="12"/>
  <c r="D125" i="12"/>
  <c r="E125" i="12"/>
  <c r="F125" i="12"/>
  <c r="E126" i="12"/>
  <c r="F126" i="12"/>
  <c r="E127" i="12"/>
  <c r="F127" i="12"/>
  <c r="E128" i="12"/>
  <c r="F128" i="12"/>
  <c r="I124" i="12"/>
  <c r="H125" i="12"/>
  <c r="I125" i="12"/>
  <c r="H126" i="12"/>
  <c r="I126" i="12"/>
  <c r="H127" i="12"/>
  <c r="I127" i="12"/>
  <c r="H128" i="12"/>
  <c r="I128" i="12"/>
  <c r="G125" i="12"/>
  <c r="G126" i="12"/>
  <c r="G127" i="12"/>
  <c r="G128" i="12"/>
  <c r="C157" i="12"/>
  <c r="C159" i="12"/>
  <c r="C160" i="12"/>
  <c r="D156" i="12"/>
  <c r="F156" i="12"/>
  <c r="I156" i="12"/>
  <c r="D157" i="12"/>
  <c r="F157" i="12"/>
  <c r="H157" i="12"/>
  <c r="I157" i="12"/>
  <c r="D158" i="12"/>
  <c r="E158" i="12"/>
  <c r="F158" i="12"/>
  <c r="G158" i="12"/>
  <c r="I158" i="12"/>
  <c r="D159" i="12"/>
  <c r="E159" i="12"/>
  <c r="F159" i="12"/>
  <c r="I159" i="12"/>
  <c r="D160" i="12"/>
  <c r="F160" i="12"/>
  <c r="H160" i="12"/>
  <c r="I160" i="12"/>
  <c r="C188" i="12"/>
  <c r="C189" i="12"/>
  <c r="C190" i="12"/>
  <c r="C191" i="12"/>
  <c r="C192" i="12"/>
  <c r="D188" i="12"/>
  <c r="E188" i="12"/>
  <c r="F188" i="12"/>
  <c r="G188" i="12"/>
  <c r="H188" i="12"/>
  <c r="I188" i="12"/>
  <c r="D189" i="12"/>
  <c r="E189" i="12"/>
  <c r="F189" i="12"/>
  <c r="G189" i="12"/>
  <c r="H189" i="12"/>
  <c r="I189" i="12"/>
  <c r="D190" i="12"/>
  <c r="E190" i="12"/>
  <c r="F190" i="12"/>
  <c r="G190" i="12"/>
  <c r="H190" i="12"/>
  <c r="I190" i="12"/>
  <c r="D191" i="12"/>
  <c r="E191" i="12"/>
  <c r="F191" i="12"/>
  <c r="G191" i="12"/>
  <c r="H191" i="12"/>
  <c r="I191" i="12"/>
  <c r="D192" i="12"/>
  <c r="E192" i="12"/>
  <c r="F192" i="12"/>
  <c r="G192" i="12"/>
  <c r="H192" i="12"/>
  <c r="I192" i="12"/>
  <c r="C220" i="12"/>
  <c r="C221" i="12"/>
  <c r="C222" i="12"/>
  <c r="C223" i="12"/>
  <c r="C224" i="12"/>
  <c r="D220" i="12"/>
  <c r="E220" i="12"/>
  <c r="D221" i="12"/>
  <c r="E221" i="12"/>
  <c r="D222" i="12"/>
  <c r="E222" i="12"/>
  <c r="D223" i="12"/>
  <c r="E223" i="12"/>
  <c r="D224" i="12"/>
  <c r="E224" i="12"/>
  <c r="F221" i="12"/>
  <c r="F223" i="12"/>
  <c r="C253" i="12"/>
  <c r="D253" i="12"/>
  <c r="E253" i="12"/>
  <c r="F253" i="12"/>
  <c r="E255" i="12"/>
  <c r="F255" i="12"/>
  <c r="C284" i="12"/>
  <c r="E284" i="12"/>
  <c r="D316" i="12"/>
  <c r="F316" i="12"/>
  <c r="I316" i="12"/>
  <c r="C348" i="12"/>
  <c r="E348" i="12"/>
  <c r="F348" i="12"/>
  <c r="H348" i="12"/>
  <c r="I348" i="12"/>
  <c r="C380" i="12"/>
  <c r="D252" i="12"/>
  <c r="G252" i="12"/>
  <c r="G220" i="12"/>
  <c r="G223" i="12"/>
  <c r="H220" i="12"/>
  <c r="C252" i="12"/>
  <c r="E252" i="12"/>
  <c r="F252" i="12"/>
  <c r="G92" i="12"/>
  <c r="G94" i="12"/>
  <c r="H156" i="12"/>
  <c r="E30" i="12"/>
  <c r="D126" i="12"/>
  <c r="C158" i="12"/>
  <c r="H158" i="12"/>
  <c r="F220" i="12"/>
  <c r="F222" i="12"/>
  <c r="D11" i="12"/>
  <c r="D10" i="12"/>
  <c r="D9" i="12"/>
  <c r="D73" i="12"/>
  <c r="H41" i="12"/>
  <c r="F41" i="12"/>
  <c r="E41" i="12"/>
  <c r="D41" i="12"/>
  <c r="C41" i="12"/>
  <c r="I9" i="12"/>
  <c r="H9" i="12"/>
  <c r="G9" i="12"/>
  <c r="C73" i="12"/>
  <c r="I41" i="12"/>
  <c r="G41" i="12"/>
  <c r="E42" i="12"/>
  <c r="F42" i="12"/>
  <c r="G42" i="12"/>
  <c r="H42" i="12"/>
  <c r="E43" i="12"/>
  <c r="F43" i="12"/>
  <c r="H43" i="12"/>
  <c r="D75" i="12"/>
  <c r="E107" i="12"/>
  <c r="F75" i="12"/>
  <c r="I75" i="12"/>
  <c r="H75" i="12"/>
  <c r="F105" i="12"/>
  <c r="I73" i="12"/>
  <c r="D105" i="12"/>
  <c r="I106" i="12"/>
  <c r="I107" i="12"/>
  <c r="I105" i="12"/>
  <c r="H137" i="12"/>
  <c r="E203" i="12"/>
  <c r="D203" i="12"/>
  <c r="D202" i="12"/>
  <c r="C203" i="12"/>
  <c r="C202" i="12"/>
  <c r="H171" i="12"/>
  <c r="F171" i="12"/>
  <c r="E171" i="12"/>
  <c r="H170" i="12"/>
  <c r="G170" i="12"/>
  <c r="F170" i="12"/>
  <c r="E170" i="12"/>
  <c r="F139" i="12"/>
  <c r="D139" i="12"/>
  <c r="F138" i="12"/>
  <c r="D138" i="12"/>
  <c r="D171" i="12"/>
  <c r="D170" i="12"/>
  <c r="C169" i="12"/>
  <c r="I137" i="12"/>
  <c r="E137" i="12"/>
  <c r="G169" i="12"/>
  <c r="D137" i="12"/>
  <c r="F137" i="12"/>
  <c r="D169" i="12"/>
  <c r="E169" i="12"/>
  <c r="F169" i="12"/>
  <c r="H169" i="12"/>
  <c r="C201" i="12"/>
  <c r="D201" i="12"/>
  <c r="E201" i="12"/>
  <c r="G203" i="12"/>
  <c r="E235" i="12"/>
  <c r="E267" i="12"/>
  <c r="E266" i="12"/>
  <c r="E234" i="12"/>
  <c r="C266" i="12"/>
  <c r="D233" i="12"/>
  <c r="C267" i="12"/>
  <c r="H267" i="12"/>
  <c r="G235" i="12"/>
  <c r="F331" i="12"/>
  <c r="G299" i="12"/>
  <c r="C363" i="12"/>
  <c r="C233" i="12"/>
  <c r="F235" i="12"/>
  <c r="I266" i="12"/>
  <c r="D267" i="12"/>
  <c r="I267" i="12"/>
  <c r="C331" i="12"/>
  <c r="H330" i="12"/>
  <c r="E331" i="12"/>
  <c r="H331" i="12"/>
  <c r="F298" i="12"/>
  <c r="D299" i="12"/>
  <c r="F299" i="12"/>
  <c r="H299" i="12"/>
  <c r="D362" i="12"/>
  <c r="D363" i="12"/>
  <c r="F234" i="12"/>
  <c r="D13" i="12"/>
  <c r="D18" i="12"/>
  <c r="D16" i="12"/>
  <c r="D15" i="12"/>
  <c r="D14" i="12"/>
  <c r="D365" i="12"/>
  <c r="D336" i="12"/>
  <c r="G112" i="12"/>
  <c r="D240" i="12"/>
  <c r="I240" i="12"/>
  <c r="C270" i="12"/>
  <c r="C272" i="12"/>
  <c r="E240" i="12"/>
  <c r="H112" i="12"/>
  <c r="E272" i="12"/>
  <c r="F272" i="12"/>
  <c r="E304" i="12"/>
  <c r="G304" i="12"/>
  <c r="G16" i="12"/>
  <c r="E80" i="12"/>
  <c r="I144" i="12"/>
  <c r="C176" i="12"/>
  <c r="D174" i="12"/>
  <c r="D176" i="12"/>
  <c r="E239" i="12"/>
  <c r="F335" i="12"/>
  <c r="H335" i="12"/>
  <c r="E336" i="12"/>
  <c r="F336" i="12"/>
  <c r="H304" i="12"/>
  <c r="F207" i="12"/>
  <c r="H77" i="12"/>
  <c r="G269" i="12"/>
  <c r="C271" i="12"/>
  <c r="G272" i="12"/>
  <c r="G336" i="12"/>
  <c r="H109" i="12"/>
  <c r="G77" i="12"/>
  <c r="D301" i="12"/>
  <c r="D304" i="12"/>
  <c r="I207" i="12"/>
  <c r="H208" i="12"/>
  <c r="G13" i="12"/>
  <c r="C80" i="12"/>
  <c r="D80" i="12"/>
  <c r="C112" i="12"/>
  <c r="I112" i="12"/>
  <c r="F176" i="12"/>
  <c r="I336" i="12"/>
  <c r="E13" i="12"/>
  <c r="C368" i="12"/>
  <c r="F15" i="12"/>
  <c r="H15" i="12"/>
  <c r="I15" i="12"/>
  <c r="H16" i="12"/>
  <c r="I16" i="12"/>
  <c r="C47" i="12"/>
  <c r="E45" i="12"/>
  <c r="F45" i="12"/>
  <c r="G45" i="12"/>
  <c r="H45" i="12"/>
  <c r="E46" i="12"/>
  <c r="F46" i="12"/>
  <c r="E47" i="12"/>
  <c r="F47" i="12"/>
  <c r="G47" i="12"/>
  <c r="H47" i="12"/>
  <c r="D48" i="12"/>
  <c r="E48" i="12"/>
  <c r="F48" i="12"/>
  <c r="G48" i="12"/>
  <c r="H48" i="12"/>
  <c r="C77" i="12"/>
  <c r="C79" i="12"/>
  <c r="D77" i="12"/>
  <c r="D79" i="12"/>
  <c r="I77" i="12"/>
  <c r="G79" i="12"/>
  <c r="H79" i="12"/>
  <c r="H80" i="12"/>
  <c r="I80" i="12"/>
  <c r="E77" i="12"/>
  <c r="F77" i="12"/>
  <c r="E79" i="12"/>
  <c r="F79" i="12"/>
  <c r="F80" i="12"/>
  <c r="C109" i="12"/>
  <c r="E109" i="12"/>
  <c r="F109" i="12"/>
  <c r="E111" i="12"/>
  <c r="E112" i="12"/>
  <c r="F112" i="12"/>
  <c r="I109" i="12"/>
  <c r="H111" i="12"/>
  <c r="I111" i="12"/>
  <c r="G109" i="12"/>
  <c r="G111" i="12"/>
  <c r="C141" i="12"/>
  <c r="C143" i="12"/>
  <c r="D141" i="12"/>
  <c r="F141" i="12"/>
  <c r="G141" i="12"/>
  <c r="I141" i="12"/>
  <c r="D142" i="12"/>
  <c r="D143" i="12"/>
  <c r="F143" i="12"/>
  <c r="G143" i="12"/>
  <c r="I143" i="12"/>
  <c r="D144" i="12"/>
  <c r="G144" i="12"/>
  <c r="C173" i="12"/>
  <c r="C175" i="12"/>
  <c r="D173" i="12"/>
  <c r="E173" i="12"/>
  <c r="F173" i="12"/>
  <c r="H173" i="12"/>
  <c r="E174" i="12"/>
  <c r="F174" i="12"/>
  <c r="H174" i="12"/>
  <c r="D175" i="12"/>
  <c r="E175" i="12"/>
  <c r="F175" i="12"/>
  <c r="H175" i="12"/>
  <c r="E176" i="12"/>
  <c r="G176" i="12"/>
  <c r="H176" i="12"/>
  <c r="C205" i="12"/>
  <c r="C206" i="12"/>
  <c r="C207" i="12"/>
  <c r="C208" i="12"/>
  <c r="C239" i="12"/>
  <c r="D237" i="12"/>
  <c r="H237" i="12"/>
  <c r="E237" i="12"/>
  <c r="F237" i="12"/>
  <c r="F238" i="12"/>
  <c r="F239" i="12"/>
  <c r="F240" i="12"/>
  <c r="G237" i="12"/>
  <c r="G239" i="12"/>
  <c r="G240" i="12"/>
  <c r="I237" i="12"/>
  <c r="I239" i="12"/>
  <c r="C269" i="12"/>
  <c r="D269" i="12"/>
  <c r="E269" i="12"/>
  <c r="H269" i="12"/>
  <c r="I269" i="12"/>
  <c r="I270" i="12"/>
  <c r="D271" i="12"/>
  <c r="E271" i="12"/>
  <c r="F271" i="12"/>
  <c r="H271" i="12"/>
  <c r="I271" i="12"/>
  <c r="D272" i="12"/>
  <c r="H272" i="12"/>
  <c r="I272" i="12"/>
  <c r="C333" i="12"/>
  <c r="C335" i="12"/>
  <c r="C336" i="12"/>
  <c r="D333" i="12"/>
  <c r="E333" i="12"/>
  <c r="F333" i="12"/>
  <c r="G333" i="12"/>
  <c r="H333" i="12"/>
  <c r="I333" i="12"/>
  <c r="H334" i="12"/>
  <c r="D335" i="12"/>
  <c r="E335" i="12"/>
  <c r="G335" i="12"/>
  <c r="I335" i="12"/>
  <c r="H336" i="12"/>
  <c r="E301" i="12"/>
  <c r="F301" i="12"/>
  <c r="G301" i="12"/>
  <c r="H301" i="12"/>
  <c r="I301" i="12"/>
  <c r="F302" i="12"/>
  <c r="D303" i="12"/>
  <c r="E303" i="12"/>
  <c r="F303" i="12"/>
  <c r="G303" i="12"/>
  <c r="H303" i="12"/>
  <c r="I303" i="12"/>
  <c r="F304" i="12"/>
  <c r="I304" i="12"/>
  <c r="C365" i="12"/>
  <c r="C367" i="12"/>
  <c r="D367" i="12"/>
  <c r="D205" i="12"/>
  <c r="E205" i="12"/>
  <c r="D206" i="12"/>
  <c r="D207" i="12"/>
  <c r="E207" i="12"/>
  <c r="D208" i="12"/>
  <c r="E208" i="12"/>
  <c r="G205" i="12"/>
  <c r="G208" i="12"/>
  <c r="H205" i="12"/>
  <c r="H207" i="12"/>
  <c r="H13" i="12"/>
  <c r="I13" i="12"/>
  <c r="G18" i="12"/>
  <c r="C146" i="12"/>
  <c r="E18" i="12"/>
  <c r="H242" i="12"/>
  <c r="D306" i="12"/>
  <c r="H210" i="12"/>
  <c r="C114" i="12"/>
  <c r="H114" i="12"/>
  <c r="H146" i="12"/>
  <c r="C274" i="12"/>
  <c r="H274" i="12"/>
  <c r="H18" i="12"/>
  <c r="I18" i="12"/>
  <c r="D50" i="12"/>
  <c r="E50" i="12"/>
  <c r="F50" i="12"/>
  <c r="G50" i="12"/>
  <c r="H50" i="12"/>
  <c r="I50" i="12"/>
  <c r="C82" i="12"/>
  <c r="D82" i="12"/>
  <c r="F82" i="12"/>
  <c r="E114" i="12"/>
  <c r="F114" i="12"/>
  <c r="I114" i="12"/>
  <c r="G114" i="12"/>
  <c r="D146" i="12"/>
  <c r="F146" i="12"/>
  <c r="G146" i="12"/>
  <c r="I146" i="12"/>
  <c r="D178" i="12"/>
  <c r="E178" i="12"/>
  <c r="F178" i="12"/>
  <c r="G178" i="12"/>
  <c r="H178" i="12"/>
  <c r="C210" i="12"/>
  <c r="D242" i="12"/>
  <c r="E242" i="12"/>
  <c r="F242" i="12"/>
  <c r="G242" i="12"/>
  <c r="I242" i="12"/>
  <c r="D274" i="12"/>
  <c r="E274" i="12"/>
  <c r="I274" i="12"/>
  <c r="C338" i="12"/>
  <c r="D338" i="12"/>
  <c r="E338" i="12"/>
  <c r="F338" i="12"/>
  <c r="G338" i="12"/>
  <c r="H338" i="12"/>
  <c r="I338" i="12"/>
  <c r="E306" i="12"/>
  <c r="F306" i="12"/>
  <c r="H306" i="12"/>
  <c r="I306" i="12"/>
  <c r="C370" i="12"/>
  <c r="D370" i="12"/>
  <c r="D210" i="12"/>
  <c r="E210" i="12"/>
  <c r="G210" i="12"/>
  <c r="H144" i="12"/>
  <c r="G80" i="12"/>
  <c r="G238" i="12"/>
  <c r="G302" i="12"/>
  <c r="H46" i="12"/>
  <c r="I110" i="12"/>
  <c r="F142" i="12"/>
  <c r="F144" i="12"/>
  <c r="H302" i="12"/>
  <c r="F274" i="12"/>
  <c r="G274" i="12"/>
  <c r="G82" i="12"/>
  <c r="H82" i="12"/>
  <c r="D19" i="12"/>
  <c r="D179" i="12"/>
  <c r="H51" i="12"/>
  <c r="E51" i="12"/>
  <c r="F51" i="12"/>
  <c r="D147" i="12"/>
  <c r="E179" i="12"/>
  <c r="F179" i="12"/>
  <c r="H179" i="12"/>
  <c r="C211" i="12"/>
  <c r="F243" i="12"/>
  <c r="H339" i="12"/>
  <c r="F307" i="12"/>
  <c r="D211" i="12"/>
  <c r="F147" i="12"/>
  <c r="G244" i="12"/>
  <c r="H244" i="12"/>
  <c r="G276" i="12"/>
  <c r="H212" i="12"/>
  <c r="G212" i="12"/>
  <c r="E212" i="12"/>
  <c r="D212" i="12"/>
  <c r="C372" i="12"/>
  <c r="I308" i="12"/>
  <c r="H308" i="12"/>
  <c r="G308" i="12"/>
  <c r="F308" i="12"/>
  <c r="H340" i="12"/>
  <c r="G340" i="12"/>
  <c r="F340" i="12"/>
  <c r="C340" i="12"/>
  <c r="H276" i="12"/>
  <c r="F276" i="12"/>
  <c r="E276" i="12"/>
  <c r="D276" i="12"/>
  <c r="I244" i="12"/>
  <c r="F244" i="12"/>
  <c r="E244" i="12"/>
  <c r="D244" i="12"/>
  <c r="C212" i="12"/>
  <c r="H180" i="12"/>
  <c r="G180" i="12"/>
  <c r="F180" i="12"/>
  <c r="E180" i="12"/>
  <c r="D180" i="12"/>
  <c r="I148" i="12"/>
  <c r="G148" i="12"/>
  <c r="F148" i="12"/>
  <c r="D148" i="12"/>
  <c r="I116" i="12"/>
  <c r="H116" i="12"/>
  <c r="F116" i="12"/>
  <c r="D116" i="12"/>
  <c r="C116" i="12"/>
  <c r="F84" i="12"/>
  <c r="E84" i="12"/>
  <c r="I84" i="12"/>
  <c r="H84" i="12"/>
  <c r="D84" i="12"/>
  <c r="C84" i="12"/>
  <c r="I52" i="12"/>
  <c r="H52" i="12"/>
  <c r="G52" i="12"/>
  <c r="F52" i="12"/>
  <c r="E52" i="12"/>
  <c r="D52" i="12"/>
  <c r="C52" i="12"/>
  <c r="I20" i="12"/>
  <c r="H20" i="12"/>
  <c r="G20" i="12"/>
  <c r="F20" i="12"/>
  <c r="E20" i="12"/>
  <c r="E148" i="12"/>
  <c r="D308" i="12"/>
  <c r="E340" i="12"/>
  <c r="H148" i="12"/>
  <c r="D372" i="12"/>
  <c r="D20" i="12"/>
  <c r="E217" i="12"/>
  <c r="D217" i="12"/>
  <c r="E216" i="12"/>
  <c r="D216" i="12"/>
  <c r="C217" i="12"/>
  <c r="C216" i="12"/>
  <c r="H185" i="12"/>
  <c r="F185" i="12"/>
  <c r="E185" i="12"/>
  <c r="I184" i="12"/>
  <c r="H184" i="12"/>
  <c r="G184" i="12"/>
  <c r="E184" i="12"/>
  <c r="F153" i="12"/>
  <c r="D153" i="12"/>
  <c r="F152" i="12"/>
  <c r="D152" i="12"/>
  <c r="I121" i="12"/>
  <c r="I89" i="12"/>
  <c r="G57" i="12"/>
  <c r="F57" i="12"/>
  <c r="E57" i="12"/>
  <c r="D57" i="12"/>
  <c r="G56" i="12"/>
  <c r="F56" i="12"/>
  <c r="E56" i="12"/>
  <c r="I25" i="12"/>
  <c r="H25" i="12"/>
  <c r="I24" i="12"/>
  <c r="H24" i="12"/>
  <c r="G152" i="12"/>
  <c r="F184" i="12"/>
  <c r="I120" i="12"/>
  <c r="E121" i="12"/>
  <c r="F120" i="12"/>
  <c r="E120" i="12"/>
  <c r="C120" i="12"/>
  <c r="I88" i="12"/>
  <c r="F88" i="12"/>
  <c r="D89" i="12"/>
  <c r="D88" i="12"/>
  <c r="C89" i="12"/>
  <c r="C88" i="12"/>
  <c r="H152" i="12"/>
  <c r="H89" i="12"/>
  <c r="H88" i="12"/>
  <c r="F121" i="12"/>
  <c r="C121" i="12"/>
  <c r="G121" i="12"/>
  <c r="D185" i="12"/>
  <c r="D184" i="12"/>
  <c r="G25" i="12"/>
  <c r="G24" i="12"/>
  <c r="I153" i="12"/>
  <c r="H121" i="12"/>
  <c r="D24" i="12"/>
  <c r="D25" i="12"/>
  <c r="H233" i="12"/>
  <c r="H124" i="12"/>
  <c r="F203" i="12"/>
  <c r="I176" i="12"/>
  <c r="I178" i="12"/>
  <c r="I180" i="12"/>
  <c r="G84" i="12"/>
  <c r="I185" i="12"/>
  <c r="D380" i="12"/>
  <c r="E287" i="12"/>
  <c r="I60" i="12"/>
  <c r="G124" i="12"/>
  <c r="E156" i="12"/>
  <c r="D284" i="12"/>
  <c r="G284" i="12"/>
  <c r="G316" i="12"/>
  <c r="I62" i="12"/>
  <c r="H61" i="12"/>
  <c r="I61" i="12"/>
  <c r="H63" i="12"/>
  <c r="E157" i="12"/>
  <c r="I284" i="12"/>
  <c r="I201" i="12"/>
  <c r="D124" i="12"/>
  <c r="C156" i="12"/>
  <c r="F208" i="12"/>
  <c r="C304" i="12"/>
  <c r="C144" i="12"/>
  <c r="I48" i="12"/>
  <c r="E144" i="12"/>
  <c r="E143" i="12"/>
  <c r="I45" i="12"/>
  <c r="I47" i="12"/>
  <c r="D109" i="12"/>
  <c r="E82" i="12"/>
  <c r="D112" i="12"/>
  <c r="E141" i="12"/>
  <c r="E146" i="12"/>
  <c r="I275" i="12"/>
  <c r="I276" i="12"/>
  <c r="H56" i="12"/>
  <c r="G153" i="12"/>
  <c r="I56" i="12"/>
  <c r="H57" i="12"/>
  <c r="C316" i="12"/>
  <c r="I220" i="12"/>
  <c r="E28" i="12"/>
  <c r="C139" i="12"/>
  <c r="C148" i="12"/>
  <c r="C153" i="12"/>
  <c r="G43" i="12"/>
  <c r="E75" i="12"/>
  <c r="G171" i="12"/>
  <c r="F267" i="12"/>
  <c r="I235" i="12"/>
  <c r="H235" i="12"/>
  <c r="E270" i="12"/>
  <c r="E15" i="12"/>
  <c r="G46" i="12"/>
  <c r="D47" i="12"/>
  <c r="G173" i="12"/>
  <c r="G174" i="12"/>
  <c r="G175" i="12"/>
  <c r="F269" i="12"/>
  <c r="D334" i="12"/>
  <c r="E238" i="12"/>
  <c r="E243" i="12"/>
  <c r="E275" i="12"/>
  <c r="G179" i="12"/>
  <c r="G51" i="12"/>
  <c r="G211" i="12"/>
  <c r="G185" i="12"/>
  <c r="D56" i="12"/>
  <c r="G120" i="12"/>
  <c r="C184" i="12"/>
  <c r="I152" i="12"/>
  <c r="H120" i="12"/>
  <c r="H240" i="12"/>
  <c r="G334" i="12"/>
  <c r="E25" i="12"/>
  <c r="E152" i="12"/>
  <c r="E88" i="12"/>
  <c r="D120" i="12"/>
  <c r="E89" i="12"/>
  <c r="D121" i="12"/>
  <c r="G88" i="12"/>
  <c r="E153" i="12"/>
  <c r="C152" i="12"/>
  <c r="E24" i="12"/>
  <c r="C10" i="12"/>
  <c r="C127" i="12"/>
  <c r="H159" i="12"/>
  <c r="G73" i="12"/>
  <c r="G10" i="12"/>
  <c r="G11" i="12"/>
  <c r="C74" i="12"/>
  <c r="D74" i="12"/>
  <c r="H10" i="12"/>
  <c r="I10" i="12"/>
  <c r="H11" i="12"/>
  <c r="I11" i="12"/>
  <c r="D42" i="12"/>
  <c r="C75" i="12"/>
  <c r="G74" i="12"/>
  <c r="F107" i="12"/>
  <c r="C107" i="12"/>
  <c r="C106" i="12"/>
  <c r="I74" i="12"/>
  <c r="F106" i="12"/>
  <c r="F74" i="12"/>
  <c r="E74" i="12"/>
  <c r="C105" i="12"/>
  <c r="G106" i="12"/>
  <c r="G107" i="12"/>
  <c r="H107" i="12"/>
  <c r="H106" i="12"/>
  <c r="H138" i="12"/>
  <c r="H139" i="12"/>
  <c r="E202" i="12"/>
  <c r="G139" i="12"/>
  <c r="G138" i="12"/>
  <c r="C171" i="12"/>
  <c r="I139" i="12"/>
  <c r="I138" i="12"/>
  <c r="C170" i="12"/>
  <c r="C137" i="12"/>
  <c r="H202" i="12"/>
  <c r="H203" i="12"/>
  <c r="G267" i="12"/>
  <c r="G266" i="12"/>
  <c r="D330" i="12"/>
  <c r="D234" i="12"/>
  <c r="D235" i="12"/>
  <c r="D298" i="12"/>
  <c r="F266" i="12"/>
  <c r="I331" i="12"/>
  <c r="E299" i="12"/>
  <c r="E330" i="12"/>
  <c r="I330" i="12"/>
  <c r="H298" i="12"/>
  <c r="I298" i="12"/>
  <c r="C362" i="12"/>
  <c r="C330" i="12"/>
  <c r="I299" i="12"/>
  <c r="G234" i="12"/>
  <c r="I234" i="12"/>
  <c r="G14" i="12"/>
  <c r="C174" i="12"/>
  <c r="I173" i="12"/>
  <c r="H78" i="12"/>
  <c r="C366" i="12"/>
  <c r="H14" i="12"/>
  <c r="I14" i="12"/>
  <c r="D45" i="12"/>
  <c r="I79" i="12"/>
  <c r="C110" i="12"/>
  <c r="C111" i="12"/>
  <c r="E110" i="12"/>
  <c r="F111" i="12"/>
  <c r="H143" i="12"/>
  <c r="I175" i="12"/>
  <c r="D239" i="12"/>
  <c r="G271" i="12"/>
  <c r="F334" i="12"/>
  <c r="I302" i="12"/>
  <c r="E206" i="12"/>
  <c r="F210" i="12"/>
  <c r="C178" i="12"/>
  <c r="D114" i="12"/>
  <c r="C306" i="12"/>
  <c r="I82" i="12"/>
  <c r="G306" i="12"/>
  <c r="I142" i="12"/>
  <c r="H142" i="12"/>
  <c r="G270" i="12"/>
  <c r="D302" i="12"/>
  <c r="H206" i="12"/>
  <c r="F78" i="12"/>
  <c r="F110" i="12"/>
  <c r="H270" i="12"/>
  <c r="E302" i="12"/>
  <c r="C78" i="12"/>
  <c r="D78" i="12"/>
  <c r="I78" i="12"/>
  <c r="H141" i="12"/>
  <c r="G142" i="12"/>
  <c r="D270" i="12"/>
  <c r="C334" i="12"/>
  <c r="E334" i="12"/>
  <c r="G19" i="12"/>
  <c r="I147" i="12"/>
  <c r="C179" i="12"/>
  <c r="C275" i="12"/>
  <c r="H115" i="12"/>
  <c r="G243" i="12"/>
  <c r="H19" i="12"/>
  <c r="I19" i="12"/>
  <c r="D83" i="12"/>
  <c r="H83" i="12"/>
  <c r="F83" i="12"/>
  <c r="E115" i="12"/>
  <c r="I115" i="12"/>
  <c r="C339" i="12"/>
  <c r="F339" i="12"/>
  <c r="H307" i="12"/>
  <c r="I307" i="12"/>
  <c r="C371" i="12"/>
  <c r="E211" i="12"/>
  <c r="H211" i="12"/>
  <c r="G275" i="12"/>
  <c r="I243" i="12"/>
  <c r="G115" i="12"/>
  <c r="D307" i="12"/>
  <c r="E307" i="12"/>
  <c r="G307" i="12"/>
  <c r="H275" i="12"/>
  <c r="I339" i="12"/>
  <c r="C115" i="12"/>
  <c r="F115" i="12"/>
  <c r="D275" i="12"/>
  <c r="E339" i="12"/>
  <c r="C83" i="12"/>
  <c r="I83" i="12"/>
  <c r="G147" i="12"/>
  <c r="F212" i="12"/>
  <c r="E308" i="12"/>
  <c r="I340" i="12"/>
  <c r="C180" i="12"/>
  <c r="G116" i="12"/>
  <c r="D340" i="12"/>
  <c r="F89" i="12"/>
  <c r="C185" i="12"/>
  <c r="E31" i="12"/>
  <c r="I170" i="12"/>
  <c r="I171" i="12"/>
  <c r="I169" i="12"/>
  <c r="I174" i="12"/>
  <c r="I179" i="12"/>
  <c r="I43" i="12"/>
  <c r="E138" i="12"/>
  <c r="F205" i="12"/>
  <c r="D111" i="12"/>
  <c r="C303" i="12"/>
  <c r="F206" i="12"/>
  <c r="I46" i="12"/>
  <c r="F211" i="12"/>
  <c r="I51" i="12"/>
  <c r="I57" i="12"/>
  <c r="G89" i="12"/>
  <c r="F216" i="12"/>
  <c r="C147" i="12"/>
  <c r="D43" i="12"/>
  <c r="G75" i="12"/>
  <c r="D331" i="12"/>
  <c r="G331" i="12"/>
  <c r="D46" i="12"/>
  <c r="H110" i="12"/>
  <c r="G110" i="12"/>
  <c r="H238" i="12"/>
  <c r="D238" i="12"/>
  <c r="I238" i="12"/>
  <c r="F270" i="12"/>
  <c r="I334" i="12"/>
  <c r="D339" i="12"/>
  <c r="D243" i="12"/>
  <c r="D51" i="12"/>
  <c r="H243" i="12"/>
  <c r="F275" i="12"/>
  <c r="G83" i="12"/>
  <c r="E11" i="12"/>
  <c r="H239" i="12"/>
  <c r="E14" i="12"/>
  <c r="G339" i="12"/>
  <c r="E19" i="12"/>
  <c r="E139" i="12"/>
  <c r="C299" i="12"/>
  <c r="E78" i="12"/>
  <c r="G78" i="12"/>
  <c r="D110" i="12"/>
  <c r="E142" i="12"/>
  <c r="C302" i="12"/>
  <c r="E83" i="12"/>
  <c r="D115" i="12"/>
  <c r="E147" i="12"/>
  <c r="D107" i="12"/>
  <c r="C301" i="12"/>
  <c r="C142" i="12"/>
  <c r="F32" i="12"/>
  <c r="F224" i="12"/>
  <c r="F28" i="12"/>
  <c r="F29" i="12"/>
  <c r="E32" i="12"/>
  <c r="C60" i="12"/>
  <c r="C61" i="12"/>
  <c r="C64" i="12"/>
  <c r="D128" i="12"/>
  <c r="F9" i="12"/>
  <c r="C42" i="12"/>
  <c r="C43" i="12"/>
  <c r="E106" i="12"/>
  <c r="G202" i="12"/>
  <c r="C234" i="12"/>
  <c r="C235" i="12"/>
  <c r="G15" i="12"/>
  <c r="F16" i="12"/>
  <c r="C45" i="12"/>
  <c r="C46" i="12"/>
  <c r="C48" i="12"/>
  <c r="F13" i="12"/>
  <c r="G206" i="12"/>
  <c r="G207" i="12"/>
  <c r="F18" i="12"/>
  <c r="C50" i="12"/>
  <c r="C51" i="12"/>
  <c r="D371" i="12"/>
  <c r="E116" i="12"/>
  <c r="C57" i="12"/>
  <c r="C56" i="12"/>
  <c r="F24" i="12"/>
  <c r="H153" i="12"/>
  <c r="E16" i="12"/>
  <c r="C18" i="12"/>
  <c r="C16" i="12"/>
  <c r="E29" i="12"/>
  <c r="I64" i="12"/>
  <c r="E9" i="12"/>
  <c r="C138" i="12"/>
  <c r="C24" i="12"/>
  <c r="F10" i="12"/>
  <c r="F11" i="12"/>
  <c r="H74" i="12"/>
  <c r="C298" i="12"/>
  <c r="G330" i="12"/>
  <c r="H266" i="12"/>
  <c r="E298" i="12"/>
  <c r="D266" i="12"/>
  <c r="F330" i="12"/>
  <c r="G298" i="12"/>
  <c r="H234" i="12"/>
  <c r="F14" i="12"/>
  <c r="H147" i="12"/>
  <c r="F19" i="12"/>
  <c r="F25" i="12"/>
  <c r="E371" i="12"/>
  <c r="E10" i="12"/>
  <c r="F202" i="12"/>
  <c r="C11" i="12"/>
  <c r="C13" i="12"/>
  <c r="C14" i="12"/>
  <c r="I42" i="12"/>
  <c r="I202" i="12"/>
  <c r="F217" i="12"/>
  <c r="D106" i="12"/>
  <c r="C308" i="12"/>
  <c r="I203" i="12"/>
  <c r="C307" i="12"/>
  <c r="C19" i="12"/>
  <c r="C240" i="12"/>
  <c r="C238" i="12"/>
  <c r="C237" i="12"/>
  <c r="C242" i="12"/>
  <c r="C243" i="12"/>
  <c r="C244" i="12"/>
  <c r="I205" i="12"/>
  <c r="I208" i="12"/>
  <c r="I210" i="12"/>
  <c r="I212" i="12"/>
  <c r="I211" i="12"/>
  <c r="I206" i="12"/>
  <c r="CE60" i="1"/>
  <c r="H612" i="1" s="1"/>
  <c r="CE61" i="1"/>
  <c r="CE65" i="1"/>
  <c r="C431" i="1" s="1"/>
  <c r="CE63" i="1"/>
  <c r="I365" i="12" s="1"/>
  <c r="CE66" i="1"/>
  <c r="I368" i="12" s="1"/>
  <c r="CE68" i="1"/>
  <c r="I370" i="12" s="1"/>
  <c r="D75" i="1"/>
  <c r="AR75" i="1"/>
  <c r="AS75" i="1"/>
  <c r="AT75" i="1"/>
  <c r="D218" i="12" s="1"/>
  <c r="AU75" i="1"/>
  <c r="AQ75" i="1"/>
  <c r="H186" i="12" s="1"/>
  <c r="AO75" i="1"/>
  <c r="AN75" i="1"/>
  <c r="AM75" i="1"/>
  <c r="D186" i="12" s="1"/>
  <c r="AI75" i="1"/>
  <c r="G154" i="12" s="1"/>
  <c r="AH75" i="1"/>
  <c r="F154" i="12" s="1"/>
  <c r="AF75" i="1"/>
  <c r="D154" i="12" s="1"/>
  <c r="AD75" i="1"/>
  <c r="I122" i="12" s="1"/>
  <c r="AA75" i="1"/>
  <c r="F122" i="12" s="1"/>
  <c r="Z75" i="1"/>
  <c r="E122" i="12" s="1"/>
  <c r="X75" i="1"/>
  <c r="C122" i="12" s="1"/>
  <c r="W75" i="1"/>
  <c r="V75" i="1"/>
  <c r="H90" i="12" s="1"/>
  <c r="T75" i="1"/>
  <c r="R75" i="1"/>
  <c r="Q75" i="1"/>
  <c r="C90" i="12" s="1"/>
  <c r="P75" i="1"/>
  <c r="I58" i="12" s="1"/>
  <c r="O75" i="1"/>
  <c r="N75" i="1"/>
  <c r="G58" i="12" s="1"/>
  <c r="M75" i="1"/>
  <c r="F58" i="12" s="1"/>
  <c r="L75" i="1"/>
  <c r="E58" i="12" s="1"/>
  <c r="I75" i="1"/>
  <c r="H75" i="1"/>
  <c r="H26" i="12" s="1"/>
  <c r="G75" i="1"/>
  <c r="F75" i="1"/>
  <c r="F26" i="12" s="1"/>
  <c r="AV75" i="1"/>
  <c r="AP75" i="1"/>
  <c r="AJ75" i="1"/>
  <c r="AL75" i="1"/>
  <c r="C186" i="12" s="1"/>
  <c r="AK75" i="1"/>
  <c r="I154" i="12" s="1"/>
  <c r="AG75" i="1"/>
  <c r="E154" i="12" s="1"/>
  <c r="AE75" i="1"/>
  <c r="AC75" i="1"/>
  <c r="H122" i="12" s="1"/>
  <c r="AB75" i="1"/>
  <c r="Y75" i="1"/>
  <c r="D122" i="12" s="1"/>
  <c r="U75" i="1"/>
  <c r="G90" i="12" s="1"/>
  <c r="S75" i="1"/>
  <c r="E90" i="12" s="1"/>
  <c r="K75" i="1"/>
  <c r="J75" i="1"/>
  <c r="E75" i="1"/>
  <c r="E26" i="12" s="1"/>
  <c r="CE73" i="1"/>
  <c r="CE74" i="1"/>
  <c r="C75" i="1"/>
  <c r="C26" i="12" s="1"/>
  <c r="CE80" i="1"/>
  <c r="CE69" i="1"/>
  <c r="I371" i="12" s="1"/>
  <c r="D361" i="1"/>
  <c r="D372" i="1"/>
  <c r="C125" i="11" s="1"/>
  <c r="D260" i="1"/>
  <c r="C16" i="11" s="1"/>
  <c r="D265" i="1"/>
  <c r="D275" i="1"/>
  <c r="D277" i="1" s="1"/>
  <c r="C35" i="11" s="1"/>
  <c r="D290" i="1"/>
  <c r="C49" i="11" s="1"/>
  <c r="D314" i="1"/>
  <c r="D319" i="1"/>
  <c r="C74" i="11" s="1"/>
  <c r="D328" i="1"/>
  <c r="D329" i="1"/>
  <c r="C85" i="11" s="1"/>
  <c r="D229" i="1"/>
  <c r="B445" i="1" s="1"/>
  <c r="D236" i="1"/>
  <c r="D240" i="1"/>
  <c r="B447" i="1" s="1"/>
  <c r="E209" i="1"/>
  <c r="F24" i="9" s="1"/>
  <c r="E210" i="1"/>
  <c r="F25" i="9" s="1"/>
  <c r="E211" i="1"/>
  <c r="F26" i="9" s="1"/>
  <c r="E212" i="1"/>
  <c r="F27" i="9" s="1"/>
  <c r="E213" i="1"/>
  <c r="F28" i="9" s="1"/>
  <c r="E214" i="1"/>
  <c r="F29" i="9" s="1"/>
  <c r="E215" i="1"/>
  <c r="F30" i="9" s="1"/>
  <c r="E216" i="1"/>
  <c r="D217" i="1"/>
  <c r="E32" i="9" s="1"/>
  <c r="C217" i="1"/>
  <c r="E196" i="1"/>
  <c r="C469" i="1" s="1"/>
  <c r="E197" i="1"/>
  <c r="C470" i="1" s="1"/>
  <c r="E198" i="1"/>
  <c r="E199" i="1"/>
  <c r="E200" i="1"/>
  <c r="E201" i="1"/>
  <c r="F13" i="9" s="1"/>
  <c r="E202" i="1"/>
  <c r="C474" i="1" s="1"/>
  <c r="E203" i="1"/>
  <c r="D204" i="1"/>
  <c r="E16" i="9" s="1"/>
  <c r="B204" i="1"/>
  <c r="D190" i="1"/>
  <c r="D437" i="1" s="1"/>
  <c r="D186" i="1"/>
  <c r="D181" i="1"/>
  <c r="D435" i="1" s="1"/>
  <c r="D177" i="1"/>
  <c r="C20" i="8" s="1"/>
  <c r="E154" i="1"/>
  <c r="F28" i="7" s="1"/>
  <c r="E153" i="1"/>
  <c r="E152" i="1"/>
  <c r="D28" i="7" s="1"/>
  <c r="E151" i="1"/>
  <c r="C28" i="7" s="1"/>
  <c r="E150" i="1"/>
  <c r="E148" i="1"/>
  <c r="E147" i="1"/>
  <c r="E19" i="7" s="1"/>
  <c r="E146" i="1"/>
  <c r="D19" i="7" s="1"/>
  <c r="E145" i="1"/>
  <c r="C19" i="7" s="1"/>
  <c r="E144" i="1"/>
  <c r="B19" i="7" s="1"/>
  <c r="E141" i="1"/>
  <c r="E10" i="7" s="1"/>
  <c r="E140" i="1"/>
  <c r="D10" i="7" s="1"/>
  <c r="E139" i="1"/>
  <c r="E127" i="1"/>
  <c r="G34" i="6" s="1"/>
  <c r="CF79" i="1"/>
  <c r="B53" i="1"/>
  <c r="CE51" i="1"/>
  <c r="B49" i="1"/>
  <c r="AS48" i="1"/>
  <c r="AS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11"/>
  <c r="A3" i="11"/>
  <c r="C149" i="11"/>
  <c r="C148" i="11"/>
  <c r="C144" i="11"/>
  <c r="C139" i="11"/>
  <c r="C138" i="11"/>
  <c r="C137" i="11"/>
  <c r="C136" i="11"/>
  <c r="C135" i="11"/>
  <c r="C134" i="11"/>
  <c r="C133" i="11"/>
  <c r="C132" i="11"/>
  <c r="C131" i="11"/>
  <c r="C130" i="11"/>
  <c r="C129" i="11"/>
  <c r="C124" i="11"/>
  <c r="C123" i="11"/>
  <c r="C118" i="11"/>
  <c r="C117" i="11"/>
  <c r="C116" i="11"/>
  <c r="C111" i="11"/>
  <c r="C110" i="11"/>
  <c r="C107" i="11"/>
  <c r="A107" i="11"/>
  <c r="C88" i="11"/>
  <c r="C83" i="11"/>
  <c r="C82" i="11"/>
  <c r="C81" i="11"/>
  <c r="C80" i="11"/>
  <c r="C79" i="11"/>
  <c r="C78" i="11"/>
  <c r="C77" i="11"/>
  <c r="C73" i="11"/>
  <c r="C72" i="11"/>
  <c r="C71" i="11"/>
  <c r="C68" i="11"/>
  <c r="C67" i="11"/>
  <c r="C66" i="11"/>
  <c r="C65" i="11"/>
  <c r="C64" i="11"/>
  <c r="C63" i="11"/>
  <c r="C62" i="11"/>
  <c r="C61" i="11"/>
  <c r="C60" i="11"/>
  <c r="C59" i="11"/>
  <c r="C58" i="11"/>
  <c r="A55" i="11"/>
  <c r="C55" i="11"/>
  <c r="C48" i="11"/>
  <c r="C47" i="11"/>
  <c r="C46" i="11"/>
  <c r="C45" i="11"/>
  <c r="C41" i="11"/>
  <c r="C39" i="11"/>
  <c r="C38" i="11"/>
  <c r="C34" i="11"/>
  <c r="C33" i="11"/>
  <c r="C32" i="11"/>
  <c r="C31" i="11"/>
  <c r="C30" i="11"/>
  <c r="C29" i="11"/>
  <c r="C28" i="11"/>
  <c r="C27" i="11"/>
  <c r="C26" i="11"/>
  <c r="C25" i="11"/>
  <c r="C22" i="11"/>
  <c r="C21" i="11"/>
  <c r="C20" i="11"/>
  <c r="C19" i="11"/>
  <c r="C15" i="11"/>
  <c r="C14" i="11"/>
  <c r="C13" i="11"/>
  <c r="C12" i="11"/>
  <c r="C11" i="11"/>
  <c r="C10" i="11"/>
  <c r="C9" i="11"/>
  <c r="C8" i="11"/>
  <c r="C7" i="11"/>
  <c r="C6" i="11"/>
  <c r="G31" i="6"/>
  <c r="B4" i="6"/>
  <c r="G37" i="6"/>
  <c r="G36" i="6"/>
  <c r="G33" i="6"/>
  <c r="G32" i="6"/>
  <c r="G30" i="6"/>
  <c r="D40" i="6"/>
  <c r="D36" i="6"/>
  <c r="D35" i="6"/>
  <c r="D34" i="6"/>
  <c r="D33" i="6"/>
  <c r="D32" i="6"/>
  <c r="D31" i="6"/>
  <c r="D30" i="6"/>
  <c r="G26" i="6"/>
  <c r="G25" i="6"/>
  <c r="G24" i="6"/>
  <c r="G23" i="6"/>
  <c r="F26" i="6"/>
  <c r="F25" i="6"/>
  <c r="F24" i="6"/>
  <c r="F23" i="6"/>
  <c r="E18" i="6"/>
  <c r="E17" i="6"/>
  <c r="E16" i="6"/>
  <c r="C17" i="6"/>
  <c r="C16" i="6"/>
  <c r="A19" i="6"/>
  <c r="A17" i="6"/>
  <c r="A16" i="6"/>
  <c r="D11" i="6"/>
  <c r="D10" i="6"/>
  <c r="D9" i="6"/>
  <c r="D8" i="6"/>
  <c r="D7" i="6"/>
  <c r="D6" i="6"/>
  <c r="D5" i="6"/>
  <c r="F4" i="6"/>
  <c r="G3" i="7"/>
  <c r="C33" i="7"/>
  <c r="C32" i="7"/>
  <c r="G27" i="7"/>
  <c r="G26" i="7"/>
  <c r="G25" i="7"/>
  <c r="F27" i="7"/>
  <c r="F26" i="7"/>
  <c r="F25" i="7"/>
  <c r="E27" i="7"/>
  <c r="E26" i="7"/>
  <c r="E25" i="7"/>
  <c r="D27" i="7"/>
  <c r="D26" i="7"/>
  <c r="D25" i="7"/>
  <c r="C27" i="7"/>
  <c r="C26" i="7"/>
  <c r="C25" i="7"/>
  <c r="B27" i="7"/>
  <c r="B26" i="7"/>
  <c r="B25" i="7"/>
  <c r="G18" i="7"/>
  <c r="G17" i="7"/>
  <c r="G16" i="7"/>
  <c r="F18" i="7"/>
  <c r="F17" i="7"/>
  <c r="F16" i="7"/>
  <c r="E18" i="7"/>
  <c r="E17" i="7"/>
  <c r="E16" i="7"/>
  <c r="D18" i="7"/>
  <c r="D17" i="7"/>
  <c r="D16" i="7"/>
  <c r="C18" i="7"/>
  <c r="C17" i="7"/>
  <c r="C16" i="7"/>
  <c r="B18" i="7"/>
  <c r="B17" i="7"/>
  <c r="B16" i="7"/>
  <c r="A2" i="7"/>
  <c r="G8" i="7"/>
  <c r="G7" i="7"/>
  <c r="F8" i="7"/>
  <c r="F7" i="7"/>
  <c r="E9" i="7"/>
  <c r="E8" i="7"/>
  <c r="E7" i="7"/>
  <c r="D9" i="7"/>
  <c r="D8" i="7"/>
  <c r="D7" i="7"/>
  <c r="C9" i="7"/>
  <c r="C8" i="7"/>
  <c r="C7" i="7"/>
  <c r="B9" i="7"/>
  <c r="B8" i="7"/>
  <c r="B7" i="7"/>
  <c r="C3" i="8"/>
  <c r="A3" i="8"/>
  <c r="C39" i="8"/>
  <c r="C38" i="8"/>
  <c r="C33" i="8"/>
  <c r="C32" i="8"/>
  <c r="C31" i="8"/>
  <c r="C26" i="8"/>
  <c r="C25" i="8"/>
  <c r="C19" i="8"/>
  <c r="C18" i="8"/>
  <c r="C13" i="8"/>
  <c r="C12" i="8"/>
  <c r="C11" i="8"/>
  <c r="C10" i="8"/>
  <c r="C8" i="8"/>
  <c r="C7" i="8"/>
  <c r="C6" i="8"/>
  <c r="F31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E15" i="9"/>
  <c r="D15" i="9"/>
  <c r="E14" i="9"/>
  <c r="D14" i="9"/>
  <c r="E13" i="9"/>
  <c r="D13" i="9"/>
  <c r="E12" i="9"/>
  <c r="E11" i="9"/>
  <c r="D11" i="9"/>
  <c r="E10" i="9"/>
  <c r="D10" i="9"/>
  <c r="E9" i="9"/>
  <c r="D9" i="9"/>
  <c r="E8" i="9"/>
  <c r="D8" i="9"/>
  <c r="E7" i="9"/>
  <c r="D7" i="9"/>
  <c r="C31" i="9"/>
  <c r="C30" i="9"/>
  <c r="C29" i="9"/>
  <c r="C27" i="9"/>
  <c r="C26" i="9"/>
  <c r="C25" i="9"/>
  <c r="C24" i="9"/>
  <c r="C16" i="9"/>
  <c r="C15" i="9"/>
  <c r="C14" i="9"/>
  <c r="C13" i="9"/>
  <c r="C12" i="9"/>
  <c r="C11" i="9"/>
  <c r="C10" i="9"/>
  <c r="C9" i="9"/>
  <c r="C8" i="9"/>
  <c r="C7" i="9"/>
  <c r="F3" i="9"/>
  <c r="A3" i="9"/>
  <c r="D16" i="10"/>
  <c r="D2" i="10"/>
  <c r="A2" i="10"/>
  <c r="D26" i="10"/>
  <c r="D24" i="10"/>
  <c r="D19" i="10"/>
  <c r="D18" i="10"/>
  <c r="D12" i="10"/>
  <c r="D11" i="10"/>
  <c r="D10" i="10"/>
  <c r="D9" i="10"/>
  <c r="D8" i="10"/>
  <c r="D7" i="10"/>
  <c r="B28" i="5"/>
  <c r="E21" i="5"/>
  <c r="E18" i="5"/>
  <c r="E17" i="5"/>
  <c r="X48" i="1"/>
  <c r="X62" i="1" s="1"/>
  <c r="L48" i="1"/>
  <c r="L62" i="1" s="1"/>
  <c r="I377" i="12"/>
  <c r="C464" i="1"/>
  <c r="G122" i="12"/>
  <c r="I26" i="12"/>
  <c r="F90" i="12"/>
  <c r="C218" i="12"/>
  <c r="D366" i="12"/>
  <c r="CE64" i="1"/>
  <c r="F612" i="1" s="1"/>
  <c r="D368" i="12"/>
  <c r="C276" i="12"/>
  <c r="CE70" i="1"/>
  <c r="C458" i="1" s="1"/>
  <c r="CE76" i="1"/>
  <c r="CE77" i="1"/>
  <c r="I29" i="12"/>
  <c r="C95" i="12"/>
  <c r="CE79" i="1"/>
  <c r="J612" i="1" s="1"/>
  <c r="E142" i="1"/>
  <c r="F10" i="7" s="1"/>
  <c r="G9" i="7"/>
  <c r="F9" i="7"/>
  <c r="E138" i="1"/>
  <c r="C414" i="1" s="1"/>
  <c r="C204" i="1"/>
  <c r="D16" i="9" s="1"/>
  <c r="E195" i="1"/>
  <c r="C28" i="9"/>
  <c r="B217" i="1"/>
  <c r="C32" i="9" s="1"/>
  <c r="C140" i="11"/>
  <c r="D390" i="1"/>
  <c r="B441" i="1" s="1"/>
  <c r="D283" i="1"/>
  <c r="C42" i="11" s="1"/>
  <c r="C40" i="11"/>
  <c r="E515" i="1"/>
  <c r="H73" i="12"/>
  <c r="E105" i="12"/>
  <c r="E519" i="1"/>
  <c r="E528" i="1"/>
  <c r="G137" i="12"/>
  <c r="C9" i="8"/>
  <c r="D173" i="1"/>
  <c r="C14" i="8" s="1"/>
  <c r="AU48" i="1"/>
  <c r="AU62" i="1" s="1"/>
  <c r="AE48" i="1"/>
  <c r="AE62" i="1" s="1"/>
  <c r="CD71" i="1"/>
  <c r="E373" i="12" s="1"/>
  <c r="AK48" i="1"/>
  <c r="AK62" i="1" s="1"/>
  <c r="E48" i="1"/>
  <c r="E62" i="1" s="1"/>
  <c r="BM48" i="1"/>
  <c r="BM62" i="1" s="1"/>
  <c r="I48" i="1"/>
  <c r="I62" i="1" s="1"/>
  <c r="BW48" i="1"/>
  <c r="BW62" i="1" s="1"/>
  <c r="BG48" i="1"/>
  <c r="BG62" i="1" s="1"/>
  <c r="AI48" i="1"/>
  <c r="AI62" i="1" s="1"/>
  <c r="C615" i="1"/>
  <c r="E372" i="12"/>
  <c r="BV48" i="1"/>
  <c r="BV62" i="1" s="1"/>
  <c r="BP48" i="1"/>
  <c r="BP62" i="1" s="1"/>
  <c r="BF48" i="1"/>
  <c r="BF62" i="1" s="1"/>
  <c r="AZ48" i="1"/>
  <c r="AZ62" i="1" s="1"/>
  <c r="C236" i="12" s="1"/>
  <c r="AP48" i="1"/>
  <c r="AP62" i="1" s="1"/>
  <c r="AJ48" i="1"/>
  <c r="AJ62" i="1" s="1"/>
  <c r="V48" i="1"/>
  <c r="V62" i="1" s="1"/>
  <c r="J48" i="1"/>
  <c r="J62" i="1" s="1"/>
  <c r="C44" i="12" s="1"/>
  <c r="B10" i="7"/>
  <c r="I366" i="12"/>
  <c r="F499" i="1"/>
  <c r="F517" i="1"/>
  <c r="H505" i="1"/>
  <c r="H501" i="1"/>
  <c r="F501" i="1"/>
  <c r="F497" i="1"/>
  <c r="H499" i="1"/>
  <c r="B440" i="1" l="1"/>
  <c r="F9" i="9"/>
  <c r="C473" i="1"/>
  <c r="I380" i="12"/>
  <c r="A5" i="17"/>
  <c r="I372" i="12"/>
  <c r="C434" i="1"/>
  <c r="CF76" i="1"/>
  <c r="BI52" i="1" s="1"/>
  <c r="BI67" i="1" s="1"/>
  <c r="B476" i="1"/>
  <c r="C27" i="8"/>
  <c r="F8" i="9"/>
  <c r="D612" i="1"/>
  <c r="C112" i="11"/>
  <c r="B465" i="1"/>
  <c r="G10" i="7"/>
  <c r="D428" i="1"/>
  <c r="C575" i="1"/>
  <c r="C440" i="1"/>
  <c r="D13" i="10"/>
  <c r="C141" i="11"/>
  <c r="C448" i="1"/>
  <c r="D368" i="1"/>
  <c r="C120" i="11" s="1"/>
  <c r="F12" i="9"/>
  <c r="C432" i="1"/>
  <c r="C430" i="1"/>
  <c r="C429" i="1"/>
  <c r="CF77" i="1"/>
  <c r="I381" i="12"/>
  <c r="C204" i="12"/>
  <c r="C84" i="11"/>
  <c r="D330" i="1"/>
  <c r="C86" i="11" s="1"/>
  <c r="E44" i="12"/>
  <c r="I268" i="12"/>
  <c r="G186" i="12"/>
  <c r="E218" i="12"/>
  <c r="E300" i="12"/>
  <c r="G19" i="7"/>
  <c r="F19" i="7"/>
  <c r="E28" i="7"/>
  <c r="D463" i="1"/>
  <c r="D436" i="1"/>
  <c r="C34" i="8"/>
  <c r="C475" i="1"/>
  <c r="F15" i="9"/>
  <c r="C472" i="1"/>
  <c r="F11" i="9"/>
  <c r="D433" i="1"/>
  <c r="D32" i="9"/>
  <c r="E186" i="12"/>
  <c r="G612" i="1"/>
  <c r="I12" i="12"/>
  <c r="H140" i="12"/>
  <c r="C268" i="12"/>
  <c r="I140" i="12"/>
  <c r="H58" i="12"/>
  <c r="I186" i="12"/>
  <c r="C140" i="12"/>
  <c r="C415" i="1"/>
  <c r="C10" i="7"/>
  <c r="C154" i="12"/>
  <c r="I90" i="12"/>
  <c r="BK48" i="1"/>
  <c r="BK62" i="1" s="1"/>
  <c r="W48" i="1"/>
  <c r="W62" i="1" s="1"/>
  <c r="I76" i="12" s="1"/>
  <c r="AB48" i="1"/>
  <c r="AB62" i="1" s="1"/>
  <c r="D48" i="1"/>
  <c r="D62" i="1" s="1"/>
  <c r="D12" i="12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BO48" i="1"/>
  <c r="BO62" i="1" s="1"/>
  <c r="AA48" i="1"/>
  <c r="AA62" i="1" s="1"/>
  <c r="F108" i="12" s="1"/>
  <c r="C48" i="1"/>
  <c r="BX48" i="1"/>
  <c r="BX62" i="1" s="1"/>
  <c r="BN48" i="1"/>
  <c r="BN62" i="1" s="1"/>
  <c r="BH48" i="1"/>
  <c r="BH62" i="1" s="1"/>
  <c r="AX48" i="1"/>
  <c r="AX62" i="1" s="1"/>
  <c r="AR48" i="1"/>
  <c r="AR62" i="1" s="1"/>
  <c r="AH48" i="1"/>
  <c r="AH62" i="1" s="1"/>
  <c r="F140" i="12" s="1"/>
  <c r="Z48" i="1"/>
  <c r="Z62" i="1" s="1"/>
  <c r="F48" i="1"/>
  <c r="F62" i="1" s="1"/>
  <c r="F12" i="12" s="1"/>
  <c r="P48" i="1"/>
  <c r="P62" i="1" s="1"/>
  <c r="BZ48" i="1"/>
  <c r="BZ62" i="1" s="1"/>
  <c r="AC48" i="1"/>
  <c r="AC62" i="1" s="1"/>
  <c r="H108" i="12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S48" i="1"/>
  <c r="S62" i="1" s="1"/>
  <c r="CB48" i="1"/>
  <c r="CB62" i="1" s="1"/>
  <c r="C364" i="12" s="1"/>
  <c r="CA48" i="1"/>
  <c r="CA62" i="1" s="1"/>
  <c r="BR48" i="1"/>
  <c r="BR62" i="1" s="1"/>
  <c r="BL48" i="1"/>
  <c r="BL62" i="1" s="1"/>
  <c r="BB48" i="1"/>
  <c r="BB62" i="1" s="1"/>
  <c r="AV48" i="1"/>
  <c r="AV62" i="1" s="1"/>
  <c r="AL48" i="1"/>
  <c r="AL62" i="1" s="1"/>
  <c r="AF48" i="1"/>
  <c r="AF62" i="1" s="1"/>
  <c r="N48" i="1"/>
  <c r="N62" i="1" s="1"/>
  <c r="I363" i="12"/>
  <c r="T48" i="1"/>
  <c r="T62" i="1" s="1"/>
  <c r="H48" i="1"/>
  <c r="H62" i="1" s="1"/>
  <c r="G48" i="1"/>
  <c r="G62" i="1" s="1"/>
  <c r="G12" i="12" s="1"/>
  <c r="O48" i="1"/>
  <c r="O62" i="1" s="1"/>
  <c r="H44" i="12" s="1"/>
  <c r="BI48" i="1"/>
  <c r="BI62" i="1" s="1"/>
  <c r="BQ48" i="1"/>
  <c r="BQ62" i="1" s="1"/>
  <c r="AW48" i="1"/>
  <c r="AW62" i="1" s="1"/>
  <c r="G204" i="12" s="1"/>
  <c r="AG48" i="1"/>
  <c r="AG62" i="1" s="1"/>
  <c r="Q48" i="1"/>
  <c r="Q62" i="1" s="1"/>
  <c r="AY48" i="1"/>
  <c r="AY62" i="1" s="1"/>
  <c r="K48" i="1"/>
  <c r="K62" i="1" s="1"/>
  <c r="BY48" i="1"/>
  <c r="BY62" i="1" s="1"/>
  <c r="BT48" i="1"/>
  <c r="BT62" i="1" s="1"/>
  <c r="BJ48" i="1"/>
  <c r="BJ62" i="1" s="1"/>
  <c r="F268" i="12" s="1"/>
  <c r="BD48" i="1"/>
  <c r="BD62" i="1" s="1"/>
  <c r="AT48" i="1"/>
  <c r="AT62" i="1" s="1"/>
  <c r="AN48" i="1"/>
  <c r="AN62" i="1" s="1"/>
  <c r="AD48" i="1"/>
  <c r="AD62" i="1" s="1"/>
  <c r="R48" i="1"/>
  <c r="R62" i="1" s="1"/>
  <c r="G28" i="7"/>
  <c r="I362" i="12"/>
  <c r="D5" i="10"/>
  <c r="H76" i="12"/>
  <c r="G172" i="12"/>
  <c r="I236" i="12"/>
  <c r="D332" i="12"/>
  <c r="B446" i="1"/>
  <c r="D242" i="1"/>
  <c r="G140" i="12"/>
  <c r="E332" i="12"/>
  <c r="E12" i="12"/>
  <c r="C418" i="1"/>
  <c r="D438" i="1"/>
  <c r="C108" i="12"/>
  <c r="F14" i="9"/>
  <c r="C471" i="1"/>
  <c r="F10" i="9"/>
  <c r="D26" i="12"/>
  <c r="CE75" i="1"/>
  <c r="E204" i="12"/>
  <c r="F7" i="9"/>
  <c r="E204" i="1"/>
  <c r="C468" i="1"/>
  <c r="I383" i="12"/>
  <c r="D22" i="10"/>
  <c r="C40" i="8"/>
  <c r="C420" i="1"/>
  <c r="B28" i="7"/>
  <c r="F186" i="12"/>
  <c r="I376" i="12"/>
  <c r="C463" i="1"/>
  <c r="D58" i="12"/>
  <c r="G26" i="12"/>
  <c r="E217" i="1"/>
  <c r="I384" i="12"/>
  <c r="L612" i="1"/>
  <c r="F218" i="12"/>
  <c r="D90" i="12"/>
  <c r="D464" i="1"/>
  <c r="D465" i="1" s="1"/>
  <c r="H154" i="12"/>
  <c r="I367" i="12"/>
  <c r="D434" i="1"/>
  <c r="D292" i="1"/>
  <c r="C58" i="12"/>
  <c r="BR52" i="1" l="1"/>
  <c r="BR67" i="1" s="1"/>
  <c r="AR52" i="1"/>
  <c r="AR67" i="1" s="1"/>
  <c r="F52" i="1"/>
  <c r="F67" i="1" s="1"/>
  <c r="S52" i="1"/>
  <c r="S67" i="1" s="1"/>
  <c r="AN52" i="1"/>
  <c r="AN67" i="1" s="1"/>
  <c r="M52" i="1"/>
  <c r="M67" i="1" s="1"/>
  <c r="D373" i="1"/>
  <c r="D391" i="1" s="1"/>
  <c r="BE52" i="1"/>
  <c r="BE67" i="1" s="1"/>
  <c r="BE71" i="1" s="1"/>
  <c r="AW52" i="1"/>
  <c r="AW67" i="1" s="1"/>
  <c r="AW71" i="1" s="1"/>
  <c r="AM52" i="1"/>
  <c r="AM67" i="1" s="1"/>
  <c r="D177" i="12" s="1"/>
  <c r="BB52" i="1"/>
  <c r="BB67" i="1" s="1"/>
  <c r="BB71" i="1" s="1"/>
  <c r="E245" i="12" s="1"/>
  <c r="AA52" i="1"/>
  <c r="AA67" i="1" s="1"/>
  <c r="CB52" i="1"/>
  <c r="CB67" i="1" s="1"/>
  <c r="BD52" i="1"/>
  <c r="BD67" i="1" s="1"/>
  <c r="G241" i="12" s="1"/>
  <c r="R52" i="1"/>
  <c r="R67" i="1" s="1"/>
  <c r="D81" i="12" s="1"/>
  <c r="AK52" i="1"/>
  <c r="AK67" i="1" s="1"/>
  <c r="AK71" i="1" s="1"/>
  <c r="C530" i="1" s="1"/>
  <c r="G530" i="1" s="1"/>
  <c r="BY52" i="1"/>
  <c r="BY67" i="1" s="1"/>
  <c r="AO52" i="1"/>
  <c r="AO67" i="1" s="1"/>
  <c r="F177" i="12" s="1"/>
  <c r="G52" i="1"/>
  <c r="G67" i="1" s="1"/>
  <c r="D52" i="1"/>
  <c r="D67" i="1" s="1"/>
  <c r="D17" i="12" s="1"/>
  <c r="BN52" i="1"/>
  <c r="BN67" i="1" s="1"/>
  <c r="C305" i="12" s="1"/>
  <c r="BM52" i="1"/>
  <c r="BM67" i="1" s="1"/>
  <c r="BM71" i="1" s="1"/>
  <c r="C638" i="1" s="1"/>
  <c r="BQ52" i="1"/>
  <c r="BQ67" i="1" s="1"/>
  <c r="BQ71" i="1" s="1"/>
  <c r="BX52" i="1"/>
  <c r="BX67" i="1" s="1"/>
  <c r="AX52" i="1"/>
  <c r="AX67" i="1" s="1"/>
  <c r="AX71" i="1" s="1"/>
  <c r="H213" i="12" s="1"/>
  <c r="BV52" i="1"/>
  <c r="BV67" i="1" s="1"/>
  <c r="BV71" i="1" s="1"/>
  <c r="C642" i="1" s="1"/>
  <c r="T52" i="1"/>
  <c r="T67" i="1" s="1"/>
  <c r="AY52" i="1"/>
  <c r="AY67" i="1" s="1"/>
  <c r="AY71" i="1" s="1"/>
  <c r="I213" i="12" s="1"/>
  <c r="BF52" i="1"/>
  <c r="BF67" i="1" s="1"/>
  <c r="BF71" i="1" s="1"/>
  <c r="C629" i="1" s="1"/>
  <c r="BG52" i="1"/>
  <c r="BG67" i="1" s="1"/>
  <c r="BG71" i="1" s="1"/>
  <c r="C618" i="1" s="1"/>
  <c r="BJ52" i="1"/>
  <c r="BJ67" i="1" s="1"/>
  <c r="U52" i="1"/>
  <c r="U67" i="1" s="1"/>
  <c r="U71" i="1" s="1"/>
  <c r="Y52" i="1"/>
  <c r="Y67" i="1" s="1"/>
  <c r="Y71" i="1" s="1"/>
  <c r="D117" i="12" s="1"/>
  <c r="W52" i="1"/>
  <c r="W67" i="1" s="1"/>
  <c r="I81" i="12" s="1"/>
  <c r="I177" i="12"/>
  <c r="AC52" i="1"/>
  <c r="AC67" i="1" s="1"/>
  <c r="V52" i="1"/>
  <c r="V67" i="1" s="1"/>
  <c r="V71" i="1" s="1"/>
  <c r="BU52" i="1"/>
  <c r="BU67" i="1" s="1"/>
  <c r="BU71" i="1" s="1"/>
  <c r="AF52" i="1"/>
  <c r="AF67" i="1" s="1"/>
  <c r="AF71" i="1" s="1"/>
  <c r="I52" i="1"/>
  <c r="I67" i="1" s="1"/>
  <c r="I17" i="12" s="1"/>
  <c r="AI52" i="1"/>
  <c r="AI67" i="1" s="1"/>
  <c r="AI71" i="1" s="1"/>
  <c r="G149" i="12" s="1"/>
  <c r="BS52" i="1"/>
  <c r="BS67" i="1" s="1"/>
  <c r="K52" i="1"/>
  <c r="K67" i="1" s="1"/>
  <c r="E52" i="1"/>
  <c r="E67" i="1" s="1"/>
  <c r="BW52" i="1"/>
  <c r="BW67" i="1" s="1"/>
  <c r="L52" i="1"/>
  <c r="L67" i="1" s="1"/>
  <c r="E49" i="12" s="1"/>
  <c r="AZ52" i="1"/>
  <c r="AZ67" i="1" s="1"/>
  <c r="AZ71" i="1" s="1"/>
  <c r="C545" i="1" s="1"/>
  <c r="G545" i="1" s="1"/>
  <c r="CC52" i="1"/>
  <c r="CC67" i="1" s="1"/>
  <c r="D369" i="12" s="1"/>
  <c r="O52" i="1"/>
  <c r="O67" i="1" s="1"/>
  <c r="BA52" i="1"/>
  <c r="BA67" i="1" s="1"/>
  <c r="AG52" i="1"/>
  <c r="AG67" i="1" s="1"/>
  <c r="CA52" i="1"/>
  <c r="CA67" i="1" s="1"/>
  <c r="BZ52" i="1"/>
  <c r="BZ67" i="1" s="1"/>
  <c r="H337" i="12" s="1"/>
  <c r="AU52" i="1"/>
  <c r="AU67" i="1" s="1"/>
  <c r="AU71" i="1" s="1"/>
  <c r="E213" i="12" s="1"/>
  <c r="AS52" i="1"/>
  <c r="AS67" i="1" s="1"/>
  <c r="AS71" i="1" s="1"/>
  <c r="C538" i="1" s="1"/>
  <c r="G538" i="1" s="1"/>
  <c r="AB52" i="1"/>
  <c r="AB67" i="1" s="1"/>
  <c r="C52" i="1"/>
  <c r="C67" i="1" s="1"/>
  <c r="N52" i="1"/>
  <c r="N67" i="1" s="1"/>
  <c r="N71" i="1" s="1"/>
  <c r="C507" i="1" s="1"/>
  <c r="G507" i="1" s="1"/>
  <c r="AJ52" i="1"/>
  <c r="AJ67" i="1" s="1"/>
  <c r="AJ71" i="1" s="1"/>
  <c r="C701" i="1" s="1"/>
  <c r="P52" i="1"/>
  <c r="P67" i="1" s="1"/>
  <c r="I49" i="12" s="1"/>
  <c r="X52" i="1"/>
  <c r="X67" i="1" s="1"/>
  <c r="X71" i="1" s="1"/>
  <c r="C517" i="1" s="1"/>
  <c r="G517" i="1" s="1"/>
  <c r="H517" i="1" s="1"/>
  <c r="AQ52" i="1"/>
  <c r="AQ67" i="1" s="1"/>
  <c r="H177" i="12" s="1"/>
  <c r="AH52" i="1"/>
  <c r="AH67" i="1" s="1"/>
  <c r="F145" i="12" s="1"/>
  <c r="BK52" i="1"/>
  <c r="BK67" i="1" s="1"/>
  <c r="BC52" i="1"/>
  <c r="BC67" i="1" s="1"/>
  <c r="BC71" i="1" s="1"/>
  <c r="H52" i="1"/>
  <c r="H67" i="1" s="1"/>
  <c r="H71" i="1" s="1"/>
  <c r="BP52" i="1"/>
  <c r="BP67" i="1" s="1"/>
  <c r="E305" i="12" s="1"/>
  <c r="AD52" i="1"/>
  <c r="AD67" i="1" s="1"/>
  <c r="BT52" i="1"/>
  <c r="BT67" i="1" s="1"/>
  <c r="BT71" i="1" s="1"/>
  <c r="BL52" i="1"/>
  <c r="BL67" i="1" s="1"/>
  <c r="Q52" i="1"/>
  <c r="Q67" i="1" s="1"/>
  <c r="Q71" i="1" s="1"/>
  <c r="BO52" i="1"/>
  <c r="BO67" i="1" s="1"/>
  <c r="D305" i="12" s="1"/>
  <c r="AP52" i="1"/>
  <c r="AP67" i="1" s="1"/>
  <c r="E273" i="12"/>
  <c r="BH52" i="1"/>
  <c r="BH67" i="1" s="1"/>
  <c r="BH71" i="1" s="1"/>
  <c r="AL52" i="1"/>
  <c r="AL67" i="1" s="1"/>
  <c r="AL71" i="1" s="1"/>
  <c r="AT52" i="1"/>
  <c r="AT67" i="1" s="1"/>
  <c r="AE52" i="1"/>
  <c r="AE67" i="1" s="1"/>
  <c r="H113" i="12"/>
  <c r="BY71" i="1"/>
  <c r="C570" i="1" s="1"/>
  <c r="AV52" i="1"/>
  <c r="AV67" i="1" s="1"/>
  <c r="AV71" i="1" s="1"/>
  <c r="J52" i="1"/>
  <c r="J67" i="1" s="1"/>
  <c r="Z52" i="1"/>
  <c r="Z67" i="1" s="1"/>
  <c r="Z71" i="1" s="1"/>
  <c r="F44" i="12"/>
  <c r="F273" i="12"/>
  <c r="E177" i="12"/>
  <c r="L71" i="1"/>
  <c r="W71" i="1"/>
  <c r="I85" i="12" s="1"/>
  <c r="E236" i="12"/>
  <c r="BN71" i="1"/>
  <c r="C309" i="12" s="1"/>
  <c r="D339" i="1"/>
  <c r="C482" i="1" s="1"/>
  <c r="C172" i="12"/>
  <c r="C300" i="12"/>
  <c r="I108" i="12"/>
  <c r="I204" i="12"/>
  <c r="G71" i="1"/>
  <c r="C500" i="1" s="1"/>
  <c r="G500" i="1" s="1"/>
  <c r="G44" i="12"/>
  <c r="BR71" i="1"/>
  <c r="C626" i="1" s="1"/>
  <c r="D108" i="12"/>
  <c r="H204" i="12"/>
  <c r="G332" i="12"/>
  <c r="AA71" i="1"/>
  <c r="C520" i="1" s="1"/>
  <c r="G520" i="1" s="1"/>
  <c r="M71" i="1"/>
  <c r="C678" i="1" s="1"/>
  <c r="D204" i="12"/>
  <c r="E172" i="12"/>
  <c r="AN71" i="1"/>
  <c r="E268" i="12"/>
  <c r="BI71" i="1"/>
  <c r="AR71" i="1"/>
  <c r="I172" i="12"/>
  <c r="G76" i="12"/>
  <c r="D364" i="12"/>
  <c r="H172" i="12"/>
  <c r="F300" i="12"/>
  <c r="H12" i="12"/>
  <c r="D140" i="12"/>
  <c r="H268" i="12"/>
  <c r="E76" i="12"/>
  <c r="S71" i="1"/>
  <c r="D172" i="12"/>
  <c r="H332" i="12"/>
  <c r="D300" i="12"/>
  <c r="C332" i="12"/>
  <c r="C76" i="12"/>
  <c r="F236" i="12"/>
  <c r="F332" i="12"/>
  <c r="G108" i="12"/>
  <c r="G300" i="12"/>
  <c r="E140" i="12"/>
  <c r="F204" i="12"/>
  <c r="I332" i="12"/>
  <c r="F71" i="1"/>
  <c r="C62" i="1"/>
  <c r="CE48" i="1"/>
  <c r="F172" i="12"/>
  <c r="AO71" i="1"/>
  <c r="D236" i="12"/>
  <c r="D113" i="12"/>
  <c r="E81" i="12"/>
  <c r="I300" i="12"/>
  <c r="F76" i="12"/>
  <c r="I44" i="12"/>
  <c r="D76" i="12"/>
  <c r="G236" i="12"/>
  <c r="D44" i="12"/>
  <c r="E108" i="12"/>
  <c r="D268" i="12"/>
  <c r="H236" i="12"/>
  <c r="H300" i="12"/>
  <c r="BS71" i="1"/>
  <c r="G268" i="12"/>
  <c r="D27" i="10"/>
  <c r="B448" i="1"/>
  <c r="F544" i="1"/>
  <c r="H536" i="1"/>
  <c r="F536" i="1"/>
  <c r="F528" i="1"/>
  <c r="F520" i="1"/>
  <c r="D341" i="1"/>
  <c r="C481" i="1" s="1"/>
  <c r="C50" i="11"/>
  <c r="F81" i="12"/>
  <c r="I241" i="12"/>
  <c r="I378" i="12"/>
  <c r="K612" i="1"/>
  <c r="C465" i="1"/>
  <c r="C126" i="11"/>
  <c r="F32" i="9"/>
  <c r="C478" i="1"/>
  <c r="F498" i="1"/>
  <c r="C476" i="1"/>
  <c r="F16" i="9"/>
  <c r="C567" i="1"/>
  <c r="F516" i="1"/>
  <c r="F540" i="1"/>
  <c r="H540" i="1"/>
  <c r="F532" i="1"/>
  <c r="H532" i="1"/>
  <c r="F524" i="1"/>
  <c r="F550" i="1"/>
  <c r="G305" i="12"/>
  <c r="F113" i="12"/>
  <c r="F49" i="12"/>
  <c r="C369" i="12"/>
  <c r="F17" i="12"/>
  <c r="H241" i="12" l="1"/>
  <c r="F305" i="12"/>
  <c r="G209" i="12"/>
  <c r="AB71" i="1"/>
  <c r="C521" i="1" s="1"/>
  <c r="G521" i="1" s="1"/>
  <c r="CB71" i="1"/>
  <c r="C573" i="1" s="1"/>
  <c r="I149" i="12"/>
  <c r="G337" i="12"/>
  <c r="BK71" i="1"/>
  <c r="C556" i="1" s="1"/>
  <c r="F337" i="12"/>
  <c r="P71" i="1"/>
  <c r="C681" i="1" s="1"/>
  <c r="AM71" i="1"/>
  <c r="D350" i="12"/>
  <c r="K71" i="1"/>
  <c r="D53" i="12" s="1"/>
  <c r="BX71" i="1"/>
  <c r="F341" i="12" s="1"/>
  <c r="E145" i="12"/>
  <c r="C702" i="1"/>
  <c r="T71" i="1"/>
  <c r="C685" i="1" s="1"/>
  <c r="G81" i="12"/>
  <c r="C245" i="12"/>
  <c r="G350" i="12"/>
  <c r="H318" i="12"/>
  <c r="G286" i="12"/>
  <c r="E241" i="12"/>
  <c r="C209" i="12"/>
  <c r="AH71" i="1"/>
  <c r="C527" i="1" s="1"/>
  <c r="G527" i="1" s="1"/>
  <c r="F254" i="12"/>
  <c r="G222" i="12"/>
  <c r="CE78" i="1"/>
  <c r="H350" i="12"/>
  <c r="E350" i="12"/>
  <c r="I318" i="12"/>
  <c r="G17" i="12"/>
  <c r="BD71" i="1"/>
  <c r="C624" i="1" s="1"/>
  <c r="E209" i="12"/>
  <c r="BJ71" i="1"/>
  <c r="F277" i="12" s="1"/>
  <c r="D71" i="1"/>
  <c r="D21" i="12" s="1"/>
  <c r="H305" i="12"/>
  <c r="H286" i="12"/>
  <c r="D286" i="12"/>
  <c r="D254" i="12"/>
  <c r="I350" i="12"/>
  <c r="F350" i="12"/>
  <c r="I145" i="12"/>
  <c r="I209" i="12"/>
  <c r="R71" i="1"/>
  <c r="C511" i="1" s="1"/>
  <c r="C350" i="12"/>
  <c r="I286" i="12"/>
  <c r="E286" i="12"/>
  <c r="E254" i="12"/>
  <c r="C382" i="12"/>
  <c r="C551" i="1"/>
  <c r="I245" i="12"/>
  <c r="D341" i="12"/>
  <c r="D337" i="12"/>
  <c r="C113" i="12"/>
  <c r="C552" i="1"/>
  <c r="C558" i="1"/>
  <c r="H209" i="12"/>
  <c r="I273" i="12"/>
  <c r="F241" i="12"/>
  <c r="C277" i="12"/>
  <c r="O71" i="1"/>
  <c r="C680" i="1" s="1"/>
  <c r="I277" i="12"/>
  <c r="I113" i="12"/>
  <c r="G273" i="12"/>
  <c r="C273" i="12"/>
  <c r="BZ71" i="1"/>
  <c r="H341" i="12" s="1"/>
  <c r="C213" i="12"/>
  <c r="H149" i="12"/>
  <c r="C628" i="1"/>
  <c r="C700" i="1"/>
  <c r="C622" i="1"/>
  <c r="C528" i="1"/>
  <c r="G528" i="1" s="1"/>
  <c r="I337" i="12"/>
  <c r="C710" i="1"/>
  <c r="C529" i="1"/>
  <c r="G529" i="1" s="1"/>
  <c r="C241" i="12"/>
  <c r="AD71" i="1"/>
  <c r="C695" i="1" s="1"/>
  <c r="G113" i="12"/>
  <c r="AC71" i="1"/>
  <c r="H117" i="12" s="1"/>
  <c r="CA71" i="1"/>
  <c r="I341" i="12" s="1"/>
  <c r="CC71" i="1"/>
  <c r="C620" i="1" s="1"/>
  <c r="H145" i="12"/>
  <c r="AG71" i="1"/>
  <c r="C698" i="1" s="1"/>
  <c r="G145" i="12"/>
  <c r="C645" i="1"/>
  <c r="C619" i="1"/>
  <c r="G341" i="12"/>
  <c r="D49" i="12"/>
  <c r="AQ71" i="1"/>
  <c r="C708" i="1" s="1"/>
  <c r="BA71" i="1"/>
  <c r="C630" i="1" s="1"/>
  <c r="D145" i="12"/>
  <c r="C547" i="1"/>
  <c r="H17" i="12"/>
  <c r="C690" i="1"/>
  <c r="C515" i="1"/>
  <c r="G515" i="1" s="1"/>
  <c r="H515" i="1" s="1"/>
  <c r="C687" i="1"/>
  <c r="H85" i="12"/>
  <c r="BP71" i="1"/>
  <c r="C117" i="12"/>
  <c r="H49" i="12"/>
  <c r="C689" i="1"/>
  <c r="H81" i="12"/>
  <c r="BL71" i="1"/>
  <c r="H277" i="12" s="1"/>
  <c r="C337" i="12"/>
  <c r="H21" i="12"/>
  <c r="C501" i="1"/>
  <c r="G501" i="1" s="1"/>
  <c r="C673" i="1"/>
  <c r="C712" i="1"/>
  <c r="C540" i="1"/>
  <c r="G540" i="1" s="1"/>
  <c r="D241" i="12"/>
  <c r="BW71" i="1"/>
  <c r="E337" i="12"/>
  <c r="G49" i="12"/>
  <c r="E71" i="1"/>
  <c r="E17" i="12"/>
  <c r="I71" i="1"/>
  <c r="I305" i="12"/>
  <c r="C17" i="12"/>
  <c r="H273" i="12"/>
  <c r="C616" i="1"/>
  <c r="C669" i="1"/>
  <c r="AE71" i="1"/>
  <c r="C696" i="1" s="1"/>
  <c r="C81" i="12"/>
  <c r="C181" i="12"/>
  <c r="C703" i="1"/>
  <c r="C531" i="1"/>
  <c r="G531" i="1" s="1"/>
  <c r="G177" i="12"/>
  <c r="AP71" i="1"/>
  <c r="CE67" i="1"/>
  <c r="I369" i="12" s="1"/>
  <c r="BO71" i="1"/>
  <c r="C145" i="12"/>
  <c r="D209" i="12"/>
  <c r="C177" i="12"/>
  <c r="D273" i="12"/>
  <c r="CE52" i="1"/>
  <c r="AT71" i="1"/>
  <c r="E113" i="12"/>
  <c r="C102" i="11"/>
  <c r="C518" i="1"/>
  <c r="G518" i="1" s="1"/>
  <c r="J71" i="1"/>
  <c r="C49" i="12"/>
  <c r="F209" i="12"/>
  <c r="C632" i="1"/>
  <c r="C516" i="1"/>
  <c r="G516" i="1" s="1"/>
  <c r="C559" i="1"/>
  <c r="C677" i="1"/>
  <c r="E53" i="12"/>
  <c r="C505" i="1"/>
  <c r="G505" i="1" s="1"/>
  <c r="C688" i="1"/>
  <c r="C555" i="1"/>
  <c r="C625" i="1"/>
  <c r="C617" i="1"/>
  <c r="C373" i="12"/>
  <c r="C672" i="1"/>
  <c r="G309" i="12"/>
  <c r="G53" i="12"/>
  <c r="G21" i="12"/>
  <c r="F117" i="12"/>
  <c r="F53" i="12"/>
  <c r="C544" i="1"/>
  <c r="G544" i="1" s="1"/>
  <c r="C543" i="1"/>
  <c r="C563" i="1"/>
  <c r="C692" i="1"/>
  <c r="C679" i="1"/>
  <c r="C506" i="1"/>
  <c r="G506" i="1" s="1"/>
  <c r="C509" i="1"/>
  <c r="G509" i="1" s="1"/>
  <c r="C71" i="1"/>
  <c r="CE62" i="1"/>
  <c r="C12" i="12"/>
  <c r="C644" i="1"/>
  <c r="C705" i="1"/>
  <c r="E181" i="12"/>
  <c r="C533" i="1"/>
  <c r="G533" i="1" s="1"/>
  <c r="C639" i="1"/>
  <c r="C564" i="1"/>
  <c r="H309" i="12"/>
  <c r="H245" i="12"/>
  <c r="C550" i="1"/>
  <c r="C614" i="1"/>
  <c r="C553" i="1"/>
  <c r="C636" i="1"/>
  <c r="D277" i="12"/>
  <c r="G213" i="12"/>
  <c r="C542" i="1"/>
  <c r="C631" i="1"/>
  <c r="G85" i="12"/>
  <c r="C514" i="1"/>
  <c r="G514" i="1" s="1"/>
  <c r="C686" i="1"/>
  <c r="C709" i="1"/>
  <c r="I181" i="12"/>
  <c r="C537" i="1"/>
  <c r="G537" i="1" s="1"/>
  <c r="C640" i="1"/>
  <c r="I309" i="12"/>
  <c r="C565" i="1"/>
  <c r="C633" i="1"/>
  <c r="C548" i="1"/>
  <c r="F245" i="12"/>
  <c r="C532" i="1"/>
  <c r="G532" i="1" s="1"/>
  <c r="C704" i="1"/>
  <c r="D181" i="12"/>
  <c r="F309" i="12"/>
  <c r="C623" i="1"/>
  <c r="C562" i="1"/>
  <c r="E117" i="12"/>
  <c r="C691" i="1"/>
  <c r="C519" i="1"/>
  <c r="G519" i="1" s="1"/>
  <c r="E85" i="12"/>
  <c r="C512" i="1"/>
  <c r="G512" i="1" s="1"/>
  <c r="C684" i="1"/>
  <c r="C525" i="1"/>
  <c r="G525" i="1" s="1"/>
  <c r="C697" i="1"/>
  <c r="D149" i="12"/>
  <c r="C554" i="1"/>
  <c r="C634" i="1"/>
  <c r="E277" i="12"/>
  <c r="F181" i="12"/>
  <c r="C706" i="1"/>
  <c r="C534" i="1"/>
  <c r="G534" i="1" s="1"/>
  <c r="H520" i="1"/>
  <c r="F21" i="12"/>
  <c r="C499" i="1"/>
  <c r="G499" i="1" s="1"/>
  <c r="C671" i="1"/>
  <c r="F213" i="12"/>
  <c r="C541" i="1"/>
  <c r="C713" i="1"/>
  <c r="C682" i="1"/>
  <c r="C510" i="1"/>
  <c r="G510" i="1" s="1"/>
  <c r="C85" i="12"/>
  <c r="C641" i="1"/>
  <c r="C341" i="12"/>
  <c r="C566" i="1"/>
  <c r="F522" i="1"/>
  <c r="F510" i="1"/>
  <c r="F513" i="1"/>
  <c r="H513" i="1"/>
  <c r="C142" i="11"/>
  <c r="D393" i="1"/>
  <c r="F538" i="1"/>
  <c r="H538" i="1"/>
  <c r="F496" i="1"/>
  <c r="F534" i="1"/>
  <c r="H534" i="1"/>
  <c r="H502" i="1"/>
  <c r="F502" i="1"/>
  <c r="H504" i="1"/>
  <c r="F504" i="1"/>
  <c r="F530" i="1"/>
  <c r="H530" i="1" s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635" i="1" l="1"/>
  <c r="G245" i="12"/>
  <c r="G117" i="12"/>
  <c r="C693" i="1"/>
  <c r="D85" i="12"/>
  <c r="C549" i="1"/>
  <c r="G277" i="12"/>
  <c r="C699" i="1"/>
  <c r="F85" i="12"/>
  <c r="C683" i="1"/>
  <c r="I53" i="12"/>
  <c r="C497" i="1"/>
  <c r="G497" i="1" s="1"/>
  <c r="C676" i="1"/>
  <c r="H53" i="12"/>
  <c r="H528" i="1"/>
  <c r="C513" i="1"/>
  <c r="G513" i="1" s="1"/>
  <c r="C504" i="1"/>
  <c r="G504" i="1" s="1"/>
  <c r="C569" i="1"/>
  <c r="F149" i="12"/>
  <c r="I382" i="12"/>
  <c r="I612" i="1"/>
  <c r="C571" i="1"/>
  <c r="C647" i="1"/>
  <c r="C508" i="1"/>
  <c r="G508" i="1" s="1"/>
  <c r="H516" i="1"/>
  <c r="H510" i="1"/>
  <c r="C646" i="1"/>
  <c r="C574" i="1"/>
  <c r="D245" i="12"/>
  <c r="D373" i="12"/>
  <c r="C557" i="1"/>
  <c r="C526" i="1"/>
  <c r="G526" i="1" s="1"/>
  <c r="C572" i="1"/>
  <c r="C546" i="1"/>
  <c r="G546" i="1" s="1"/>
  <c r="C523" i="1"/>
  <c r="G523" i="1" s="1"/>
  <c r="I117" i="12"/>
  <c r="C637" i="1"/>
  <c r="E149" i="12"/>
  <c r="C694" i="1"/>
  <c r="C522" i="1"/>
  <c r="C536" i="1"/>
  <c r="G536" i="1" s="1"/>
  <c r="H181" i="12"/>
  <c r="C561" i="1"/>
  <c r="E309" i="12"/>
  <c r="C621" i="1"/>
  <c r="C674" i="1"/>
  <c r="I21" i="12"/>
  <c r="C502" i="1"/>
  <c r="G502" i="1" s="1"/>
  <c r="C568" i="1"/>
  <c r="E341" i="12"/>
  <c r="C643" i="1"/>
  <c r="C498" i="1"/>
  <c r="E21" i="12"/>
  <c r="C670" i="1"/>
  <c r="C524" i="1"/>
  <c r="G524" i="1" s="1"/>
  <c r="H524" i="1" s="1"/>
  <c r="C149" i="12"/>
  <c r="C433" i="1"/>
  <c r="H518" i="1"/>
  <c r="D309" i="12"/>
  <c r="C627" i="1"/>
  <c r="C560" i="1"/>
  <c r="C535" i="1"/>
  <c r="G535" i="1" s="1"/>
  <c r="C707" i="1"/>
  <c r="G181" i="12"/>
  <c r="D213" i="12"/>
  <c r="C711" i="1"/>
  <c r="C539" i="1"/>
  <c r="G539" i="1" s="1"/>
  <c r="C675" i="1"/>
  <c r="C53" i="12"/>
  <c r="C503" i="1"/>
  <c r="H544" i="1"/>
  <c r="H546" i="1"/>
  <c r="H512" i="1"/>
  <c r="H514" i="1"/>
  <c r="C496" i="1"/>
  <c r="C21" i="12"/>
  <c r="C668" i="1"/>
  <c r="G511" i="1"/>
  <c r="H511" i="1" s="1"/>
  <c r="G550" i="1"/>
  <c r="H550" i="1" s="1"/>
  <c r="I364" i="12"/>
  <c r="C428" i="1"/>
  <c r="CE71" i="1"/>
  <c r="D615" i="1"/>
  <c r="H509" i="1"/>
  <c r="H545" i="1"/>
  <c r="F545" i="1"/>
  <c r="H525" i="1"/>
  <c r="F525" i="1"/>
  <c r="H529" i="1"/>
  <c r="F529" i="1"/>
  <c r="C146" i="11"/>
  <c r="D396" i="1"/>
  <c r="C151" i="11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F537" i="1"/>
  <c r="H537" i="1"/>
  <c r="F531" i="1"/>
  <c r="H531" i="1"/>
  <c r="H508" i="1" l="1"/>
  <c r="H497" i="1"/>
  <c r="H523" i="1"/>
  <c r="H526" i="1"/>
  <c r="G522" i="1"/>
  <c r="H522" i="1" s="1"/>
  <c r="C648" i="1"/>
  <c r="M716" i="1" s="1"/>
  <c r="C441" i="1"/>
  <c r="G498" i="1"/>
  <c r="H498" i="1"/>
  <c r="G503" i="1"/>
  <c r="H503" i="1"/>
  <c r="C71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5" i="1"/>
  <c r="D639" i="1"/>
  <c r="D628" i="1"/>
  <c r="D699" i="1"/>
  <c r="D631" i="1"/>
  <c r="D67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44" i="1"/>
  <c r="D704" i="1"/>
  <c r="D686" i="1"/>
  <c r="D711" i="1"/>
  <c r="D70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87" i="1"/>
  <c r="D692" i="1"/>
  <c r="D622" i="1"/>
  <c r="D700" i="1"/>
  <c r="D623" i="1"/>
  <c r="D705" i="1"/>
  <c r="D675" i="1"/>
  <c r="D630" i="1"/>
  <c r="D682" i="1"/>
  <c r="G496" i="1"/>
  <c r="H496" i="1" s="1"/>
  <c r="C716" i="1"/>
  <c r="I373" i="12"/>
  <c r="D715" i="1" l="1"/>
  <c r="E623" i="1"/>
  <c r="E612" i="1"/>
  <c r="E716" i="1" l="1"/>
  <c r="E639" i="1"/>
  <c r="E625" i="1"/>
  <c r="E689" i="1"/>
  <c r="E676" i="1"/>
  <c r="E700" i="1"/>
  <c r="E696" i="1"/>
  <c r="E669" i="1"/>
  <c r="E645" i="1"/>
  <c r="E711" i="1"/>
  <c r="E627" i="1"/>
  <c r="E635" i="1"/>
  <c r="E647" i="1"/>
  <c r="E702" i="1"/>
  <c r="E632" i="1"/>
  <c r="E633" i="1"/>
  <c r="E695" i="1"/>
  <c r="E692" i="1"/>
  <c r="E675" i="1"/>
  <c r="E708" i="1"/>
  <c r="E682" i="1"/>
  <c r="E685" i="1"/>
  <c r="E638" i="1"/>
  <c r="E704" i="1"/>
  <c r="E705" i="1"/>
  <c r="E691" i="1"/>
  <c r="E678" i="1"/>
  <c r="E642" i="1"/>
  <c r="E712" i="1"/>
  <c r="E646" i="1"/>
  <c r="E681" i="1"/>
  <c r="E693" i="1"/>
  <c r="E679" i="1"/>
  <c r="E629" i="1"/>
  <c r="E636" i="1"/>
  <c r="E670" i="1"/>
  <c r="E687" i="1"/>
  <c r="E644" i="1"/>
  <c r="E672" i="1"/>
  <c r="E699" i="1"/>
  <c r="E637" i="1"/>
  <c r="E710" i="1"/>
  <c r="E683" i="1"/>
  <c r="E697" i="1"/>
  <c r="E630" i="1"/>
  <c r="E643" i="1"/>
  <c r="E640" i="1"/>
  <c r="E684" i="1"/>
  <c r="E688" i="1"/>
  <c r="E680" i="1"/>
  <c r="E677" i="1"/>
  <c r="E709" i="1"/>
  <c r="E703" i="1"/>
  <c r="E713" i="1"/>
  <c r="E690" i="1"/>
  <c r="E634" i="1"/>
  <c r="E674" i="1"/>
  <c r="E706" i="1"/>
  <c r="E626" i="1"/>
  <c r="E686" i="1"/>
  <c r="E631" i="1"/>
  <c r="E701" i="1"/>
  <c r="E624" i="1"/>
  <c r="F624" i="1" s="1"/>
  <c r="E707" i="1"/>
  <c r="E641" i="1"/>
  <c r="E698" i="1"/>
  <c r="E673" i="1"/>
  <c r="E628" i="1"/>
  <c r="E694" i="1"/>
  <c r="E668" i="1"/>
  <c r="E671" i="1"/>
  <c r="F687" i="1" l="1"/>
  <c r="F633" i="1"/>
  <c r="F713" i="1"/>
  <c r="F704" i="1"/>
  <c r="F681" i="1"/>
  <c r="F707" i="1"/>
  <c r="F671" i="1"/>
  <c r="F688" i="1"/>
  <c r="F710" i="1"/>
  <c r="F709" i="1"/>
  <c r="F694" i="1"/>
  <c r="F626" i="1"/>
  <c r="F640" i="1"/>
  <c r="F691" i="1"/>
  <c r="F638" i="1"/>
  <c r="F625" i="1"/>
  <c r="G625" i="1" s="1"/>
  <c r="F629" i="1"/>
  <c r="F678" i="1"/>
  <c r="F698" i="1"/>
  <c r="F647" i="1"/>
  <c r="F702" i="1"/>
  <c r="F628" i="1"/>
  <c r="F716" i="1"/>
  <c r="F632" i="1"/>
  <c r="F641" i="1"/>
  <c r="F693" i="1"/>
  <c r="F700" i="1"/>
  <c r="F679" i="1"/>
  <c r="F708" i="1"/>
  <c r="F696" i="1"/>
  <c r="F644" i="1"/>
  <c r="F692" i="1"/>
  <c r="F634" i="1"/>
  <c r="F701" i="1"/>
  <c r="F672" i="1"/>
  <c r="F636" i="1"/>
  <c r="F668" i="1"/>
  <c r="F705" i="1"/>
  <c r="F673" i="1"/>
  <c r="F703" i="1"/>
  <c r="F645" i="1"/>
  <c r="F684" i="1"/>
  <c r="F669" i="1"/>
  <c r="F635" i="1"/>
  <c r="F689" i="1"/>
  <c r="F675" i="1"/>
  <c r="F711" i="1"/>
  <c r="F674" i="1"/>
  <c r="F682" i="1"/>
  <c r="F686" i="1"/>
  <c r="F706" i="1"/>
  <c r="F627" i="1"/>
  <c r="F670" i="1"/>
  <c r="F677" i="1"/>
  <c r="F637" i="1"/>
  <c r="F642" i="1"/>
  <c r="F683" i="1"/>
  <c r="F643" i="1"/>
  <c r="F685" i="1"/>
  <c r="F680" i="1"/>
  <c r="F699" i="1"/>
  <c r="F631" i="1"/>
  <c r="F639" i="1"/>
  <c r="F690" i="1"/>
  <c r="F712" i="1"/>
  <c r="F630" i="1"/>
  <c r="F646" i="1"/>
  <c r="F676" i="1"/>
  <c r="F695" i="1"/>
  <c r="F697" i="1"/>
  <c r="E715" i="1"/>
  <c r="F715" i="1" l="1"/>
  <c r="G677" i="1"/>
  <c r="G707" i="1"/>
  <c r="G642" i="1"/>
  <c r="G686" i="1"/>
  <c r="G702" i="1"/>
  <c r="G679" i="1"/>
  <c r="G684" i="1"/>
  <c r="G694" i="1"/>
  <c r="G646" i="1"/>
  <c r="G713" i="1"/>
  <c r="G698" i="1"/>
  <c r="G676" i="1"/>
  <c r="G699" i="1"/>
  <c r="G706" i="1"/>
  <c r="G692" i="1"/>
  <c r="G638" i="1"/>
  <c r="G689" i="1"/>
  <c r="G669" i="1"/>
  <c r="G683" i="1"/>
  <c r="G695" i="1"/>
  <c r="G629" i="1"/>
  <c r="G693" i="1"/>
  <c r="G641" i="1"/>
  <c r="G674" i="1"/>
  <c r="G631" i="1"/>
  <c r="G637" i="1"/>
  <c r="G639" i="1"/>
  <c r="G711" i="1"/>
  <c r="G675" i="1"/>
  <c r="G709" i="1"/>
  <c r="G640" i="1"/>
  <c r="G627" i="1"/>
  <c r="G712" i="1"/>
  <c r="G716" i="1"/>
  <c r="G680" i="1"/>
  <c r="G670" i="1"/>
  <c r="G668" i="1"/>
  <c r="G691" i="1"/>
  <c r="G633" i="1"/>
  <c r="G632" i="1"/>
  <c r="G701" i="1"/>
  <c r="G643" i="1"/>
  <c r="G700" i="1"/>
  <c r="G647" i="1"/>
  <c r="G672" i="1"/>
  <c r="G671" i="1"/>
  <c r="G645" i="1"/>
  <c r="G636" i="1"/>
  <c r="G685" i="1"/>
  <c r="G705" i="1"/>
  <c r="G687" i="1"/>
  <c r="G682" i="1"/>
  <c r="G697" i="1"/>
  <c r="G681" i="1"/>
  <c r="G626" i="1"/>
  <c r="G703" i="1"/>
  <c r="G708" i="1"/>
  <c r="G673" i="1"/>
  <c r="G690" i="1"/>
  <c r="G678" i="1"/>
  <c r="G628" i="1"/>
  <c r="G634" i="1"/>
  <c r="G688" i="1"/>
  <c r="G635" i="1"/>
  <c r="G630" i="1"/>
  <c r="G710" i="1"/>
  <c r="G704" i="1"/>
  <c r="G696" i="1"/>
  <c r="G644" i="1"/>
  <c r="G715" i="1" l="1"/>
  <c r="H628" i="1"/>
  <c r="H712" i="1" l="1"/>
  <c r="H707" i="1"/>
  <c r="H685" i="1"/>
  <c r="H689" i="1"/>
  <c r="H639" i="1"/>
  <c r="H702" i="1"/>
  <c r="H631" i="1"/>
  <c r="H641" i="1"/>
  <c r="H709" i="1"/>
  <c r="H646" i="1"/>
  <c r="H705" i="1"/>
  <c r="H637" i="1"/>
  <c r="H644" i="1"/>
  <c r="H679" i="1"/>
  <c r="H632" i="1"/>
  <c r="H668" i="1"/>
  <c r="H677" i="1"/>
  <c r="H636" i="1"/>
  <c r="H698" i="1"/>
  <c r="H634" i="1"/>
  <c r="H706" i="1"/>
  <c r="H688" i="1"/>
  <c r="H711" i="1"/>
  <c r="H713" i="1"/>
  <c r="H671" i="1"/>
  <c r="H643" i="1"/>
  <c r="H684" i="1"/>
  <c r="H690" i="1"/>
  <c r="H695" i="1"/>
  <c r="H673" i="1"/>
  <c r="H686" i="1"/>
  <c r="H676" i="1"/>
  <c r="H669" i="1"/>
  <c r="H675" i="1"/>
  <c r="H703" i="1"/>
  <c r="H687" i="1"/>
  <c r="H642" i="1"/>
  <c r="H630" i="1"/>
  <c r="H629" i="1"/>
  <c r="I629" i="1" s="1"/>
  <c r="H708" i="1"/>
  <c r="H640" i="1"/>
  <c r="H683" i="1"/>
  <c r="H647" i="1"/>
  <c r="H672" i="1"/>
  <c r="H674" i="1"/>
  <c r="H696" i="1"/>
  <c r="H699" i="1"/>
  <c r="H704" i="1"/>
  <c r="H693" i="1"/>
  <c r="H700" i="1"/>
  <c r="H680" i="1"/>
  <c r="H638" i="1"/>
  <c r="H694" i="1"/>
  <c r="H691" i="1"/>
  <c r="H678" i="1"/>
  <c r="H670" i="1"/>
  <c r="H681" i="1"/>
  <c r="H716" i="1"/>
  <c r="H701" i="1"/>
  <c r="H697" i="1"/>
  <c r="H635" i="1"/>
  <c r="H710" i="1"/>
  <c r="H692" i="1"/>
  <c r="H633" i="1"/>
  <c r="H645" i="1"/>
  <c r="H682" i="1"/>
  <c r="I713" i="1" l="1"/>
  <c r="I672" i="1"/>
  <c r="I641" i="1"/>
  <c r="I698" i="1"/>
  <c r="I695" i="1"/>
  <c r="I676" i="1"/>
  <c r="I689" i="1"/>
  <c r="I688" i="1"/>
  <c r="I681" i="1"/>
  <c r="I690" i="1"/>
  <c r="I645" i="1"/>
  <c r="I646" i="1"/>
  <c r="I642" i="1"/>
  <c r="I675" i="1"/>
  <c r="I703" i="1"/>
  <c r="I716" i="1"/>
  <c r="I678" i="1"/>
  <c r="I709" i="1"/>
  <c r="I702" i="1"/>
  <c r="I679" i="1"/>
  <c r="I643" i="1"/>
  <c r="I640" i="1"/>
  <c r="I694" i="1"/>
  <c r="I701" i="1"/>
  <c r="I634" i="1"/>
  <c r="I638" i="1"/>
  <c r="I684" i="1"/>
  <c r="I686" i="1"/>
  <c r="I693" i="1"/>
  <c r="I631" i="1"/>
  <c r="I711" i="1"/>
  <c r="I707" i="1"/>
  <c r="I696" i="1"/>
  <c r="I637" i="1"/>
  <c r="I669" i="1"/>
  <c r="I700" i="1"/>
  <c r="I635" i="1"/>
  <c r="I633" i="1"/>
  <c r="I630" i="1"/>
  <c r="I673" i="1"/>
  <c r="I632" i="1"/>
  <c r="I683" i="1"/>
  <c r="I668" i="1"/>
  <c r="I636" i="1"/>
  <c r="I682" i="1"/>
  <c r="I677" i="1"/>
  <c r="I670" i="1"/>
  <c r="I639" i="1"/>
  <c r="I704" i="1"/>
  <c r="I680" i="1"/>
  <c r="I647" i="1"/>
  <c r="I674" i="1"/>
  <c r="I691" i="1"/>
  <c r="I644" i="1"/>
  <c r="I692" i="1"/>
  <c r="I705" i="1"/>
  <c r="I699" i="1"/>
  <c r="I687" i="1"/>
  <c r="I708" i="1"/>
  <c r="I710" i="1"/>
  <c r="I697" i="1"/>
  <c r="I706" i="1"/>
  <c r="I712" i="1"/>
  <c r="I685" i="1"/>
  <c r="I671" i="1"/>
  <c r="H715" i="1"/>
  <c r="I715" i="1" l="1"/>
  <c r="J630" i="1"/>
  <c r="J711" i="1" l="1"/>
  <c r="J631" i="1"/>
  <c r="J671" i="1"/>
  <c r="J688" i="1"/>
  <c r="J672" i="1"/>
  <c r="J689" i="1"/>
  <c r="J684" i="1"/>
  <c r="J637" i="1"/>
  <c r="J700" i="1"/>
  <c r="J695" i="1"/>
  <c r="J635" i="1"/>
  <c r="J713" i="1"/>
  <c r="J716" i="1"/>
  <c r="J676" i="1"/>
  <c r="J693" i="1"/>
  <c r="J633" i="1"/>
  <c r="J634" i="1"/>
  <c r="J644" i="1"/>
  <c r="J709" i="1"/>
  <c r="J698" i="1"/>
  <c r="J707" i="1"/>
  <c r="J668" i="1"/>
  <c r="J639" i="1"/>
  <c r="J632" i="1"/>
  <c r="J669" i="1"/>
  <c r="J678" i="1"/>
  <c r="J687" i="1"/>
  <c r="J701" i="1"/>
  <c r="J646" i="1"/>
  <c r="J706" i="1"/>
  <c r="J685" i="1"/>
  <c r="J638" i="1"/>
  <c r="J642" i="1"/>
  <c r="J683" i="1"/>
  <c r="J699" i="1"/>
  <c r="J679" i="1"/>
  <c r="J640" i="1"/>
  <c r="J703" i="1"/>
  <c r="J682" i="1"/>
  <c r="J670" i="1"/>
  <c r="J643" i="1"/>
  <c r="J696" i="1"/>
  <c r="J690" i="1"/>
  <c r="J680" i="1"/>
  <c r="J712" i="1"/>
  <c r="J705" i="1"/>
  <c r="J692" i="1"/>
  <c r="J641" i="1"/>
  <c r="J697" i="1"/>
  <c r="J686" i="1"/>
  <c r="J710" i="1"/>
  <c r="J647" i="1"/>
  <c r="J645" i="1"/>
  <c r="J691" i="1"/>
  <c r="J674" i="1"/>
  <c r="J677" i="1"/>
  <c r="J702" i="1"/>
  <c r="J673" i="1"/>
  <c r="J694" i="1"/>
  <c r="J704" i="1"/>
  <c r="J708" i="1"/>
  <c r="J675" i="1"/>
  <c r="J636" i="1"/>
  <c r="J681" i="1"/>
  <c r="L647" i="1" l="1"/>
  <c r="L680" i="1" s="1"/>
  <c r="K644" i="1"/>
  <c r="K689" i="1" s="1"/>
  <c r="J715" i="1"/>
  <c r="K685" i="1" l="1"/>
  <c r="K684" i="1"/>
  <c r="K671" i="1"/>
  <c r="K673" i="1"/>
  <c r="K692" i="1"/>
  <c r="K675" i="1"/>
  <c r="K709" i="1"/>
  <c r="L676" i="1"/>
  <c r="K681" i="1"/>
  <c r="K710" i="1"/>
  <c r="L678" i="1"/>
  <c r="L684" i="1"/>
  <c r="L713" i="1"/>
  <c r="L710" i="1"/>
  <c r="L709" i="1"/>
  <c r="L683" i="1"/>
  <c r="L700" i="1"/>
  <c r="L670" i="1"/>
  <c r="L688" i="1"/>
  <c r="L711" i="1"/>
  <c r="L693" i="1"/>
  <c r="L694" i="1"/>
  <c r="L706" i="1"/>
  <c r="L672" i="1"/>
  <c r="L675" i="1"/>
  <c r="L690" i="1"/>
  <c r="L702" i="1"/>
  <c r="L681" i="1"/>
  <c r="L671" i="1"/>
  <c r="L712" i="1"/>
  <c r="L698" i="1"/>
  <c r="L687" i="1"/>
  <c r="L708" i="1"/>
  <c r="L695" i="1"/>
  <c r="L716" i="1"/>
  <c r="L673" i="1"/>
  <c r="L701" i="1"/>
  <c r="L685" i="1"/>
  <c r="L692" i="1"/>
  <c r="L668" i="1"/>
  <c r="K669" i="1"/>
  <c r="K696" i="1"/>
  <c r="K699" i="1"/>
  <c r="L697" i="1"/>
  <c r="L679" i="1"/>
  <c r="L704" i="1"/>
  <c r="L699" i="1"/>
  <c r="L682" i="1"/>
  <c r="L677" i="1"/>
  <c r="L703" i="1"/>
  <c r="L691" i="1"/>
  <c r="L669" i="1"/>
  <c r="L696" i="1"/>
  <c r="L707" i="1"/>
  <c r="L674" i="1"/>
  <c r="L705" i="1"/>
  <c r="L686" i="1"/>
  <c r="L689" i="1"/>
  <c r="M689" i="1" s="1"/>
  <c r="C119" i="12" s="1"/>
  <c r="K700" i="1"/>
  <c r="K682" i="1"/>
  <c r="K677" i="1"/>
  <c r="M677" i="1" s="1"/>
  <c r="E55" i="12" s="1"/>
  <c r="K712" i="1"/>
  <c r="M712" i="1" s="1"/>
  <c r="K706" i="1"/>
  <c r="M706" i="1" s="1"/>
  <c r="F183" i="12" s="1"/>
  <c r="K693" i="1"/>
  <c r="K703" i="1"/>
  <c r="K679" i="1"/>
  <c r="K698" i="1"/>
  <c r="K711" i="1"/>
  <c r="M711" i="1" s="1"/>
  <c r="K680" i="1"/>
  <c r="M680" i="1" s="1"/>
  <c r="H55" i="12" s="1"/>
  <c r="K672" i="1"/>
  <c r="K704" i="1"/>
  <c r="K702" i="1"/>
  <c r="K691" i="1"/>
  <c r="K674" i="1"/>
  <c r="K683" i="1"/>
  <c r="K690" i="1"/>
  <c r="K713" i="1"/>
  <c r="M713" i="1" s="1"/>
  <c r="F215" i="12" s="1"/>
  <c r="K688" i="1"/>
  <c r="K686" i="1"/>
  <c r="K678" i="1"/>
  <c r="K676" i="1"/>
  <c r="K708" i="1"/>
  <c r="K716" i="1"/>
  <c r="K697" i="1"/>
  <c r="M697" i="1" s="1"/>
  <c r="K668" i="1"/>
  <c r="K707" i="1"/>
  <c r="M707" i="1" s="1"/>
  <c r="K695" i="1"/>
  <c r="M695" i="1" s="1"/>
  <c r="I119" i="12" s="1"/>
  <c r="K701" i="1"/>
  <c r="K687" i="1"/>
  <c r="K705" i="1"/>
  <c r="K694" i="1"/>
  <c r="K670" i="1"/>
  <c r="M681" i="1"/>
  <c r="M682" i="1" l="1"/>
  <c r="M698" i="1"/>
  <c r="M694" i="1"/>
  <c r="H119" i="12" s="1"/>
  <c r="M674" i="1"/>
  <c r="I23" i="12" s="1"/>
  <c r="M679" i="1"/>
  <c r="G55" i="12" s="1"/>
  <c r="D215" i="12"/>
  <c r="C87" i="12"/>
  <c r="M687" i="1"/>
  <c r="M668" i="1"/>
  <c r="C23" i="12" s="1"/>
  <c r="M676" i="1"/>
  <c r="D55" i="12" s="1"/>
  <c r="M696" i="1"/>
  <c r="C151" i="12" s="1"/>
  <c r="M710" i="1"/>
  <c r="M670" i="1"/>
  <c r="M705" i="1"/>
  <c r="E183" i="12" s="1"/>
  <c r="M684" i="1"/>
  <c r="M673" i="1"/>
  <c r="H23" i="12" s="1"/>
  <c r="M709" i="1"/>
  <c r="I183" i="12" s="1"/>
  <c r="M691" i="1"/>
  <c r="E119" i="12" s="1"/>
  <c r="M703" i="1"/>
  <c r="C183" i="12" s="1"/>
  <c r="M685" i="1"/>
  <c r="F87" i="12" s="1"/>
  <c r="M686" i="1"/>
  <c r="M683" i="1"/>
  <c r="D87" i="12" s="1"/>
  <c r="M700" i="1"/>
  <c r="G151" i="12" s="1"/>
  <c r="M699" i="1"/>
  <c r="M702" i="1"/>
  <c r="I151" i="12" s="1"/>
  <c r="M669" i="1"/>
  <c r="M693" i="1"/>
  <c r="G119" i="12" s="1"/>
  <c r="M701" i="1"/>
  <c r="H151" i="12" s="1"/>
  <c r="M692" i="1"/>
  <c r="F119" i="12" s="1"/>
  <c r="M671" i="1"/>
  <c r="M708" i="1"/>
  <c r="M678" i="1"/>
  <c r="F55" i="12" s="1"/>
  <c r="M690" i="1"/>
  <c r="L715" i="1"/>
  <c r="M704" i="1"/>
  <c r="D183" i="12" s="1"/>
  <c r="E215" i="12"/>
  <c r="K715" i="1"/>
  <c r="D151" i="12"/>
  <c r="M688" i="1"/>
  <c r="I87" i="12" s="1"/>
  <c r="M672" i="1"/>
  <c r="M675" i="1"/>
  <c r="C55" i="12" s="1"/>
  <c r="E151" i="12"/>
  <c r="I55" i="12"/>
  <c r="G183" i="12"/>
  <c r="H87" i="12" l="1"/>
  <c r="C215" i="12"/>
  <c r="F151" i="12"/>
  <c r="E23" i="12"/>
  <c r="E87" i="12"/>
  <c r="D23" i="12"/>
  <c r="G87" i="12"/>
  <c r="F23" i="12"/>
  <c r="H183" i="12"/>
  <c r="D119" i="12"/>
  <c r="M715" i="1"/>
  <c r="G23" i="12"/>
</calcChain>
</file>

<file path=xl/sharedStrings.xml><?xml version="1.0" encoding="utf-8"?>
<sst xmlns="http://schemas.openxmlformats.org/spreadsheetml/2006/main" count="4671" uniqueCount="1279">
  <si>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</si>
  <si>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</si>
  <si>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</si>
  <si>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</si>
  <si>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</si>
  <si>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</si>
  <si>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</si>
  <si>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</si>
  <si>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</si>
  <si>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</si>
  <si>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</si>
  <si>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</si>
  <si>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</si>
  <si>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</si>
  <si>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</si>
  <si>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</si>
  <si>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</si>
  <si>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</si>
  <si>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</si>
  <si>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</si>
  <si>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</si>
  <si>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</si>
  <si>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</si>
  <si>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</si>
  <si>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</si>
  <si>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</si>
  <si>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</si>
  <si>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</si>
  <si>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</si>
  <si>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</si>
  <si>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</si>
  <si>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</si>
  <si>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</si>
  <si>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</si>
  <si>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</si>
  <si>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</si>
  <si>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</si>
  <si>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</si>
  <si>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</si>
  <si>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</si>
  <si>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</si>
  <si>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</si>
  <si>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</si>
  <si>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</si>
  <si>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</si>
  <si>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</si>
  <si>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</si>
  <si>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</si>
  <si>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</si>
  <si>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</si>
  <si>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</si>
  <si>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</si>
  <si>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</si>
  <si>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</si>
  <si>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</si>
  <si>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</si>
  <si>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</si>
  <si>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</si>
  <si>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</si>
  <si>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</si>
  <si>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</si>
  <si>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</si>
  <si>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</si>
  <si>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</si>
  <si>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</si>
  <si>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</si>
  <si>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</si>
  <si>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</si>
  <si>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</si>
  <si>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</si>
  <si>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</si>
  <si>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</si>
  <si>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</si>
  <si>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</si>
  <si>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</si>
  <si>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</si>
  <si>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</si>
  <si>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</si>
  <si>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</si>
  <si>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</si>
  <si>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</si>
  <si>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</si>
  <si>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</si>
  <si>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</si>
  <si>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</si>
  <si>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</si>
  <si>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</si>
  <si>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</si>
  <si>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</si>
  <si>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</si>
  <si>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</si>
  <si>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</si>
  <si>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</si>
  <si>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</si>
  <si>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</si>
  <si>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</si>
  <si>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</si>
  <si>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</si>
  <si>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</si>
  <si>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</si>
  <si>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</si>
  <si>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</si>
  <si>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</si>
  <si>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</si>
  <si>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</si>
  <si>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</si>
  <si>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</si>
  <si>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</si>
  <si>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</si>
  <si>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</si>
  <si>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</si>
  <si>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</si>
  <si>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</si>
  <si>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</si>
  <si>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</si>
  <si>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</si>
  <si>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</si>
  <si>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</si>
  <si>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</si>
  <si>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</si>
  <si>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</si>
  <si>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</si>
  <si>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</si>
  <si>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</si>
  <si>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</si>
  <si>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</si>
  <si>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</si>
  <si>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</si>
  <si>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</si>
  <si>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</si>
  <si>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</si>
  <si>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</si>
  <si>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</si>
  <si>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</si>
  <si>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</si>
  <si>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</si>
  <si>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</si>
  <si>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</si>
  <si>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</si>
  <si>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</si>
  <si>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</si>
  <si>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</si>
  <si>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</si>
  <si>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</si>
  <si>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</si>
  <si>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</si>
  <si>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</si>
  <si>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</si>
  <si>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</si>
  <si>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</si>
  <si>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</si>
  <si>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</si>
  <si>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</si>
  <si>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</si>
  <si>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</si>
  <si>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</si>
  <si>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</si>
  <si>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</si>
  <si>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</si>
  <si>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</si>
  <si>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</si>
  <si>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</si>
  <si>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</si>
  <si>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</si>
  <si>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</si>
  <si>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</si>
  <si>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</si>
  <si>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</si>
  <si>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</si>
  <si>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</si>
  <si>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</si>
  <si>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</si>
  <si>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</si>
  <si>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</si>
  <si>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</si>
  <si>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</si>
  <si>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</si>
  <si>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</si>
  <si>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</si>
  <si>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</si>
  <si>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</si>
  <si>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</si>
  <si>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</si>
  <si>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</si>
  <si>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</si>
  <si>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</si>
  <si>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</si>
  <si>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</si>
  <si>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</si>
  <si>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</si>
  <si>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</si>
  <si>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</si>
  <si>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</si>
  <si>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</si>
  <si>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</si>
  <si>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</si>
  <si>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</si>
  <si>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</si>
  <si>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</si>
  <si>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</si>
  <si>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</si>
  <si>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</si>
  <si>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</si>
  <si>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</si>
  <si>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</si>
  <si>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</si>
  <si>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</si>
  <si>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</si>
  <si>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</si>
  <si>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</si>
  <si>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</si>
  <si>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</si>
  <si>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</si>
  <si>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</si>
  <si>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</si>
  <si>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</si>
  <si>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</si>
  <si>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</si>
  <si>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</si>
  <si>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</si>
  <si>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</si>
  <si>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</si>
  <si>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</si>
  <si>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</si>
  <si>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</si>
  <si>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</si>
  <si>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</si>
  <si>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</si>
  <si>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</si>
  <si>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</si>
  <si>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</si>
  <si>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</si>
  <si>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</si>
  <si>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</si>
  <si>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</si>
  <si>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</si>
  <si>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</si>
  <si>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</si>
  <si>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</si>
  <si>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</si>
  <si>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</si>
  <si>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</si>
  <si>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</si>
  <si>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</si>
  <si>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</si>
  <si>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</si>
  <si>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</si>
  <si>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</si>
  <si>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</si>
  <si>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</si>
  <si>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</si>
  <si>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</si>
  <si>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</si>
  <si>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</si>
  <si>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</si>
  <si>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</si>
  <si>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</si>
  <si>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</si>
  <si>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</si>
  <si>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</si>
  <si>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</si>
  <si>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</si>
  <si>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</si>
  <si>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</si>
  <si>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</si>
  <si>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</si>
  <si>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</si>
  <si>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</si>
  <si>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</si>
  <si>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</si>
  <si>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</si>
  <si>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</si>
  <si>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</si>
  <si>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</si>
  <si>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</si>
  <si>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</si>
  <si>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</si>
  <si>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</si>
  <si>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</si>
  <si>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</si>
  <si>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</si>
  <si>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</si>
  <si>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</si>
  <si>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</si>
  <si>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</si>
  <si>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</si>
  <si>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</si>
  <si>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</si>
  <si>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</si>
  <si>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</si>
  <si>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</si>
  <si>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</si>
  <si>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</si>
  <si>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</si>
  <si>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</si>
  <si>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</si>
  <si>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</si>
  <si>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</si>
  <si>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</si>
  <si>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</si>
  <si>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</si>
  <si>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</si>
  <si>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</si>
  <si>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</si>
  <si>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</si>
  <si>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</si>
  <si>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</si>
  <si>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</si>
  <si>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</si>
  <si>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</si>
  <si>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</si>
  <si>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</si>
  <si>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</si>
  <si>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</si>
  <si>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</si>
  <si>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</si>
  <si>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</si>
  <si>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</si>
  <si>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</si>
  <si>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</si>
  <si>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</si>
  <si>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</si>
  <si>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</si>
  <si>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</si>
  <si>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</si>
  <si>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</si>
  <si>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</si>
  <si>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</si>
  <si>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</si>
  <si>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</si>
  <si>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</si>
  <si>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</si>
  <si>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</si>
  <si>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</si>
  <si>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</si>
  <si>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</si>
  <si>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</si>
  <si>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</si>
  <si>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</si>
  <si>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</si>
  <si>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</si>
  <si>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</si>
  <si>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</si>
  <si>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</si>
  <si>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</si>
  <si>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</si>
  <si>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</si>
  <si>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</si>
  <si>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</si>
  <si>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</si>
  <si>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</si>
  <si>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</si>
  <si>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</si>
  <si>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</si>
  <si>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</si>
  <si>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</si>
  <si>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</si>
  <si>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</si>
  <si>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</si>
  <si>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</si>
  <si>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</si>
  <si>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</si>
  <si>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</si>
  <si>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</si>
  <si>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</si>
  <si>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</si>
  <si>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</si>
  <si>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</si>
  <si>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</si>
  <si>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</si>
  <si>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</si>
  <si>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</si>
  <si>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</si>
  <si>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</si>
  <si>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</si>
  <si>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</si>
  <si>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</si>
  <si>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</si>
  <si>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</si>
  <si>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</si>
  <si>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</si>
  <si>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</si>
  <si>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</si>
  <si>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</si>
  <si>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</si>
  <si>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</si>
  <si>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</si>
  <si>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</si>
  <si>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</si>
  <si>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</si>
  <si>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</si>
  <si>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</si>
  <si>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</si>
  <si>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</si>
  <si>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</si>
  <si>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</si>
  <si>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</si>
  <si>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</si>
  <si>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</si>
  <si>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</si>
  <si>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</si>
  <si>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</si>
  <si>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</si>
  <si>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</si>
  <si>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</si>
  <si>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</si>
  <si>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</si>
  <si>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</si>
  <si>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</si>
  <si>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</si>
  <si>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</si>
  <si>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</si>
  <si>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</si>
  <si>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</si>
  <si>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</si>
  <si>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</si>
  <si>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</si>
  <si>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</si>
  <si>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</si>
  <si>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</si>
  <si>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</si>
  <si>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</si>
  <si>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</si>
  <si>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</si>
  <si>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</si>
  <si>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</si>
  <si>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</si>
  <si>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</si>
  <si>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</si>
  <si>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</si>
  <si>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</si>
  <si>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</si>
  <si>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</si>
  <si>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</si>
  <si>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</si>
  <si>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</si>
  <si>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</si>
  <si>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</si>
  <si>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</si>
  <si>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</si>
  <si>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</si>
  <si>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</si>
  <si>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</si>
  <si>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</si>
  <si>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</si>
  <si>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</si>
  <si>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</si>
  <si>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</si>
  <si>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</si>
  <si>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</si>
  <si>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</si>
  <si>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</si>
  <si>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</si>
  <si>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</si>
  <si>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</si>
  <si>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</si>
  <si>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</si>
  <si>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</si>
  <si>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</si>
  <si>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</si>
  <si>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</si>
  <si>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</si>
  <si>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</si>
  <si>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</si>
  <si>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</si>
  <si>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</si>
  <si>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</si>
  <si>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</si>
  <si>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</si>
  <si>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</si>
  <si>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</si>
  <si>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</si>
  <si>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</si>
  <si>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</si>
  <si>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</si>
  <si>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</si>
  <si>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</si>
  <si>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</si>
  <si>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</si>
  <si>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</si>
  <si>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</si>
  <si>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</si>
  <si>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</si>
  <si>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</si>
  <si>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</si>
  <si>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</si>
  <si>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</si>
  <si>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</si>
  <si>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</si>
  <si>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</si>
  <si>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</si>
  <si>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</si>
  <si>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</si>
  <si>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</si>
  <si>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</si>
  <si>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</si>
  <si>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</si>
  <si>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</si>
  <si>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</si>
  <si>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</si>
  <si>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</si>
  <si>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</si>
  <si>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</si>
  <si>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</si>
  <si>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</si>
  <si>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</si>
  <si>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</si>
  <si>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</si>
  <si>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</si>
  <si>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</si>
  <si>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</si>
  <si>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</si>
  <si>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</si>
  <si>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</si>
  <si>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</si>
  <si>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</si>
  <si>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</si>
  <si>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</si>
  <si>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</si>
  <si>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</si>
  <si>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</si>
  <si>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</si>
  <si>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</si>
  <si>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</si>
  <si>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</si>
  <si>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</si>
  <si>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</si>
  <si>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</si>
  <si>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</si>
  <si>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</si>
  <si>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</si>
  <si>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</si>
  <si>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</si>
  <si>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</si>
  <si>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</si>
  <si>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</si>
  <si>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</si>
  <si>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</si>
  <si>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</si>
  <si>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</si>
  <si>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</si>
  <si>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</si>
  <si>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</si>
  <si>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</si>
  <si>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</si>
  <si>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</si>
  <si>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</si>
  <si>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</si>
  <si>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</si>
  <si>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</si>
  <si>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</si>
  <si>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</si>
  <si>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</si>
  <si>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</si>
  <si>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</si>
  <si>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</si>
  <si>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</si>
  <si>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</si>
  <si>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</si>
  <si>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</si>
  <si>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</si>
  <si>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</si>
  <si>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</si>
  <si>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</si>
  <si>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</si>
  <si>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</si>
  <si>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</si>
  <si>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</si>
  <si>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</si>
  <si>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</si>
  <si>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</si>
  <si>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</si>
  <si>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</si>
  <si>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</si>
  <si>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</si>
  <si>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</si>
  <si>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</si>
  <si>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</si>
  <si>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</si>
  <si>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</si>
  <si>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</si>
  <si>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</si>
  <si>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</si>
  <si>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</si>
  <si>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</si>
  <si>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</si>
  <si>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</si>
  <si>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</si>
  <si>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</si>
  <si>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</si>
  <si>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</si>
  <si>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</si>
  <si>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</si>
  <si>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</si>
  <si>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</si>
  <si>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</si>
  <si>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</si>
  <si>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</si>
  <si>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</si>
  <si>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</si>
  <si>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</si>
  <si>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</si>
  <si>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</si>
  <si>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</si>
  <si>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</si>
  <si>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</si>
  <si>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</si>
  <si>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</si>
  <si>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</si>
  <si>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</si>
  <si>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</si>
  <si>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</si>
  <si>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</si>
  <si>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</si>
  <si>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</si>
  <si>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</si>
  <si>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</si>
  <si>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</si>
  <si>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</si>
  <si>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</si>
  <si>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</si>
  <si>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</si>
  <si>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</si>
  <si>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</si>
  <si>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</si>
  <si>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</si>
  <si>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</si>
  <si>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</si>
  <si>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</si>
  <si>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</si>
  <si>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</si>
  <si>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</si>
  <si>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</si>
  <si>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</si>
  <si>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</si>
  <si>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</si>
  <si>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</si>
  <si>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</si>
  <si>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</si>
  <si>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</si>
  <si>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</si>
  <si>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</si>
  <si>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</si>
  <si>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</si>
  <si>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</si>
  <si>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</si>
  <si>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</si>
  <si>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</si>
  <si>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</si>
  <si>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</si>
  <si>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</si>
  <si>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</si>
  <si>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</si>
  <si>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</si>
  <si>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</si>
  <si>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</si>
  <si>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</si>
  <si>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</si>
  <si>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</si>
  <si>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</si>
  <si>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</si>
  <si>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</si>
  <si>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</si>
  <si>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</si>
  <si>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</si>
  <si>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</si>
  <si>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</si>
  <si>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</si>
  <si>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</si>
  <si>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</si>
  <si>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</si>
  <si>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</si>
  <si>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</si>
  <si>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</si>
  <si>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</si>
  <si>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</si>
  <si>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</si>
  <si>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</si>
  <si>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</si>
  <si>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</si>
  <si>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</si>
  <si>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</si>
  <si>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</si>
  <si>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</si>
  <si>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</si>
  <si>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</si>
  <si>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</si>
  <si>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</si>
  <si>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</si>
  <si>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</si>
  <si>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</si>
  <si>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</si>
  <si>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</si>
  <si>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</si>
  <si>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</si>
  <si>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</si>
  <si>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</si>
  <si>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</si>
  <si>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</si>
  <si>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</si>
  <si>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</si>
  <si>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</si>
  <si>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</si>
  <si>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</si>
  <si>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</si>
  <si>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</si>
  <si>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</si>
  <si>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</si>
  <si>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</si>
  <si>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</si>
  <si>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</si>
  <si>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</si>
  <si>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</si>
  <si>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</si>
  <si>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</si>
  <si>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</si>
  <si>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</si>
  <si>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</si>
  <si>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</si>
  <si>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</si>
  <si>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</si>
  <si>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</si>
  <si>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</si>
  <si>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</si>
  <si>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</si>
  <si>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</si>
  <si>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</si>
  <si>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</si>
  <si>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</si>
  <si>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</si>
  <si>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</si>
  <si>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</si>
  <si>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</si>
  <si>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</si>
  <si>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</si>
  <si>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</si>
  <si>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</si>
  <si>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</si>
  <si>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</si>
  <si>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</si>
  <si>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</si>
  <si>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</si>
  <si>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</si>
  <si>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</si>
  <si>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</si>
  <si>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</si>
  <si>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</si>
  <si>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</si>
  <si>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</si>
  <si>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</si>
  <si>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</si>
  <si>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</si>
  <si>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</si>
  <si>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</si>
  <si>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</si>
  <si>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</si>
  <si>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</si>
  <si>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</si>
  <si>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</si>
  <si>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</si>
  <si>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</si>
  <si>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</si>
  <si>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</si>
  <si>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</si>
  <si>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</si>
  <si>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</si>
  <si>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</si>
  <si>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</si>
  <si>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</si>
  <si>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</si>
  <si>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</si>
  <si>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</si>
  <si>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</si>
  <si>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</si>
  <si>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</si>
  <si>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</si>
  <si>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</si>
  <si>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</si>
  <si>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</si>
  <si>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</si>
  <si>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</si>
  <si>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</si>
  <si>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</si>
  <si>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</si>
  <si>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</si>
  <si>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</si>
  <si>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</si>
  <si>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</si>
  <si>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</si>
  <si>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</si>
  <si>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</si>
  <si>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</si>
  <si>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</si>
  <si>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</si>
  <si>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</si>
  <si>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</si>
  <si>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</si>
  <si>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</si>
  <si>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</si>
  <si>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</si>
  <si>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</si>
  <si>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</si>
  <si>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</si>
  <si>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</si>
  <si>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</si>
  <si>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</si>
  <si>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</si>
  <si>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</si>
  <si>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</si>
  <si>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</si>
  <si>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</si>
  <si>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</si>
  <si>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</si>
  <si>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</si>
  <si>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</si>
  <si>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</si>
  <si>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</si>
  <si>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</si>
  <si>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</si>
  <si>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</si>
  <si>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</si>
  <si>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</si>
  <si>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</si>
  <si>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</si>
  <si>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</si>
  <si>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</si>
  <si>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</si>
  <si>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</si>
  <si>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</si>
  <si>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</si>
  <si>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</si>
  <si>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</si>
  <si>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</si>
  <si>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</si>
  <si>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</si>
  <si>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</si>
  <si>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</si>
  <si>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</si>
  <si>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</si>
  <si>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</si>
  <si>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</si>
  <si>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</si>
  <si>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</si>
  <si>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</si>
  <si>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</si>
  <si>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</si>
  <si>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</si>
  <si>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</si>
  <si>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</si>
  <si>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</si>
  <si>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</si>
  <si>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</si>
  <si>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</si>
  <si>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</si>
  <si>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</si>
  <si>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</si>
  <si>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</si>
  <si>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</si>
  <si>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</si>
  <si>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</si>
  <si>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</si>
  <si>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</si>
  <si>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</si>
  <si>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</si>
  <si>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</si>
  <si>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</si>
  <si>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</si>
  <si>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</si>
  <si>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</si>
  <si>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</si>
  <si>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</si>
  <si>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</si>
  <si>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</si>
  <si>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</si>
  <si>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</si>
  <si>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</si>
  <si>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</si>
  <si>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</si>
  <si>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</si>
  <si>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</si>
  <si>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</si>
  <si>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</si>
  <si>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</si>
  <si>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</si>
  <si>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</si>
  <si>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</si>
  <si>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</si>
  <si>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</si>
  <si>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</si>
  <si>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</si>
  <si>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</si>
  <si>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</si>
  <si>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</si>
  <si>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</si>
  <si>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</si>
  <si>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</si>
  <si>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</si>
  <si>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</si>
  <si>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</si>
  <si>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</si>
  <si>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</si>
  <si>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</si>
  <si>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</si>
  <si>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</si>
  <si>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</si>
  <si>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</si>
  <si>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</si>
  <si>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</si>
  <si>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</si>
  <si>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</si>
  <si>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</si>
  <si>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</si>
  <si>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</si>
  <si>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</si>
  <si>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</si>
  <si>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</si>
  <si>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</si>
  <si>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</si>
  <si>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</si>
  <si>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</si>
  <si>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</si>
  <si>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</si>
  <si>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</si>
  <si>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</si>
  <si>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</si>
  <si>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</si>
  <si>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</si>
  <si>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</si>
  <si>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</si>
  <si>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</si>
  <si>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</si>
  <si>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</si>
  <si>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</si>
  <si>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</si>
  <si>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</si>
  <si>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</si>
  <si>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</si>
  <si>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</si>
  <si>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</si>
  <si>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</si>
  <si>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</si>
  <si>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</si>
  <si>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</si>
  <si>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</si>
  <si>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</si>
  <si>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</si>
  <si>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</si>
  <si>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</si>
  <si>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</si>
  <si>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</si>
  <si>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</si>
  <si>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</si>
  <si>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</si>
  <si>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</si>
  <si>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</si>
  <si>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</si>
  <si>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</si>
  <si>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</si>
  <si>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</si>
  <si>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</si>
  <si>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</si>
  <si>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</si>
  <si>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</si>
  <si>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</si>
  <si>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</si>
  <si>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</si>
  <si>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</si>
  <si>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</si>
  <si>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</si>
  <si>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</si>
  <si>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</si>
  <si>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</si>
  <si>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</si>
  <si>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</si>
  <si>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</si>
  <si>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</si>
  <si>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</si>
  <si>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</si>
  <si>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</si>
  <si>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</si>
  <si>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</si>
  <si>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</si>
  <si>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</si>
  <si>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</si>
  <si>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</si>
  <si>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</si>
  <si>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</si>
  <si>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</si>
  <si>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</si>
  <si>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</si>
  <si>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</si>
  <si>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</si>
  <si>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</si>
  <si>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</si>
  <si>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</si>
  <si>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</si>
  <si>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</si>
  <si>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</si>
  <si>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</si>
  <si>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</si>
  <si>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</si>
  <si>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</si>
  <si>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</si>
  <si>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</si>
  <si>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</si>
  <si>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</si>
  <si>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</si>
  <si>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</si>
  <si>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</si>
  <si>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</si>
  <si>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</si>
  <si>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</si>
  <si>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</si>
  <si>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</si>
  <si>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</si>
  <si>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</si>
  <si>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</si>
  <si>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</si>
  <si>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</si>
  <si>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</si>
  <si>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</si>
  <si>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</si>
  <si>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</si>
  <si>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</si>
  <si>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</si>
  <si>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</si>
  <si>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</si>
  <si>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</si>
  <si>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</si>
  <si>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</si>
  <si>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</si>
  <si>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</si>
  <si>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</si>
  <si>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</si>
  <si>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</si>
  <si>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</si>
  <si>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</si>
  <si>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</si>
  <si>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</si>
  <si>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</si>
  <si>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</si>
  <si>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</si>
  <si>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</si>
  <si>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</si>
  <si>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</si>
  <si>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</si>
  <si>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</si>
  <si>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</si>
  <si>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</si>
  <si>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</si>
  <si>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</si>
  <si>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</si>
  <si>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</si>
  <si>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</si>
  <si>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</si>
  <si>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</si>
  <si>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</si>
  <si>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</si>
  <si>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</si>
  <si>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</si>
  <si>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</si>
  <si>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</si>
  <si>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</si>
  <si>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</si>
  <si>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</si>
  <si>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</si>
  <si>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</si>
  <si>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</si>
  <si>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</si>
  <si>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</si>
  <si>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</si>
  <si>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</si>
  <si>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</si>
  <si>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</si>
  <si>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</si>
  <si>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</si>
  <si>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</si>
  <si>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</si>
  <si>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</si>
  <si>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</si>
  <si>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</si>
  <si>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</si>
  <si>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</si>
  <si>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</si>
  <si>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</si>
  <si>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</si>
  <si>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</si>
  <si>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</si>
  <si>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</si>
  <si>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</si>
  <si>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</si>
  <si>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</si>
  <si>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</si>
  <si>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</si>
  <si>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</si>
  <si>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</si>
  <si>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</si>
  <si>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</si>
  <si>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</si>
  <si>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</si>
  <si>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</si>
  <si>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</si>
  <si>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</si>
  <si>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</si>
  <si>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</si>
  <si>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</si>
  <si>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</si>
  <si>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</si>
  <si>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</si>
  <si>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</si>
  <si>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</si>
  <si>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</si>
  <si>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</si>
  <si>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</si>
  <si>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</si>
  <si>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</si>
  <si>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</si>
  <si>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</si>
  <si>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</si>
  <si>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</si>
  <si>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</si>
  <si>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</si>
  <si>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</si>
  <si>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</si>
  <si>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</si>
  <si>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</si>
  <si>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</si>
  <si>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</si>
  <si>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</si>
  <si>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</si>
  <si>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</si>
  <si>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</si>
  <si>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</si>
  <si>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</si>
  <si>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</si>
  <si>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</si>
  <si>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</si>
  <si>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</si>
  <si>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</si>
  <si>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</si>
  <si>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</si>
  <si>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</si>
  <si>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</si>
  <si>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</si>
  <si>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</si>
  <si>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</si>
  <si>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</si>
  <si>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</si>
  <si>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</si>
  <si>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</si>
  <si>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</si>
  <si>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</si>
  <si>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</si>
  <si>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</si>
  <si>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</si>
  <si>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</si>
  <si>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</si>
  <si>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</si>
  <si>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</si>
  <si>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</si>
  <si>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</si>
  <si>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</si>
  <si>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</si>
  <si>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</si>
  <si>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</si>
  <si>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</si>
  <si>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</si>
  <si>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</si>
  <si>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</si>
  <si>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</si>
  <si>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</si>
  <si>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</si>
  <si>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</si>
  <si>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</si>
  <si>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</si>
  <si>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</si>
  <si>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</si>
  <si>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</si>
  <si>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</si>
  <si>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</si>
  <si>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</si>
  <si>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</si>
  <si>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</si>
  <si>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</si>
  <si>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</si>
  <si>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</si>
  <si>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</si>
  <si>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</si>
  <si>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</si>
  <si>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</si>
  <si>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</si>
  <si>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</si>
  <si>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</si>
  <si>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</si>
  <si>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</si>
  <si>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</si>
  <si>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</si>
  <si>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</si>
  <si>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</si>
  <si>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</si>
  <si>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</si>
  <si>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</si>
  <si>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</si>
  <si>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</si>
  <si>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</si>
  <si>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</si>
  <si>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</si>
  <si>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</si>
  <si>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</si>
  <si>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</si>
  <si>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</si>
  <si>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</si>
  <si>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</si>
  <si>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</si>
  <si>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</si>
  <si>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</si>
  <si>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</si>
  <si>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</si>
  <si>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</si>
  <si>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</si>
  <si>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</si>
  <si>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</si>
  <si>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</si>
  <si>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</si>
  <si>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</si>
  <si>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</si>
  <si>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</si>
  <si>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</si>
  <si>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</si>
  <si>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</si>
  <si>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</si>
  <si>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</si>
  <si>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</si>
  <si>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</si>
  <si>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</si>
  <si>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</si>
  <si>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</si>
  <si>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</si>
  <si>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</si>
  <si>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</si>
  <si>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</si>
  <si>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</si>
  <si>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</si>
  <si>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</si>
  <si>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</si>
  <si>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</si>
  <si>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</si>
  <si>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</si>
  <si>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</si>
  <si>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</si>
  <si>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</si>
  <si>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</si>
  <si>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</si>
  <si>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</si>
  <si>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</si>
  <si>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</si>
  <si>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</si>
  <si>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</si>
  <si>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</si>
  <si>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</si>
  <si>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</si>
  <si>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</si>
  <si>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</si>
  <si>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</si>
  <si>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</si>
  <si>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</si>
  <si>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</si>
  <si>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</si>
  <si>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If you have any questions or concerns please call Randy Huyck at 360-236-4210 or send an e-mail to</t>
  </si>
  <si>
    <t>180</t>
  </si>
  <si>
    <t>VALLEY HOSPITAL AND MEDICAL CENTER</t>
  </si>
  <si>
    <t xml:space="preserve">12606 E MISSION AVE </t>
  </si>
  <si>
    <t>SPOKANE WA 99210-0248</t>
  </si>
  <si>
    <t>SPOKANE</t>
  </si>
  <si>
    <t>GREG REPETTI (INTERIM)</t>
  </si>
  <si>
    <t xml:space="preserve">JUSTIN VOELKER </t>
  </si>
  <si>
    <t>FRANK TOMBARI</t>
  </si>
  <si>
    <t>(509) 473-5291</t>
  </si>
  <si>
    <t>(509) 473-5731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</si>
</sst>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#,##0.0"/>
  </numFmts>
  <fonts count="2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0"/>
      <color indexed="12"/>
      <name val="Arial"/>
      <family val="2"/>
    </font>
    <font>
      <b/>
      <sz val="11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4.9775688955351421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1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theme="0" tint="-0.49977111117893003"/>
      </top>
      <bottom style="double">
        <color theme="0" tint="-0.49977111117893003"/>
      </bottom>
      <diagonal/>
    </border>
  </borders>
  <cellStyleXfs count="38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37" fontId="9" fillId="0" borderId="0"/>
    <xf numFmtId="9" fontId="4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0" fontId="8" fillId="0" borderId="0"/>
    <xf numFmtId="37" fontId="17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37" fontId="17" fillId="0" borderId="0"/>
    <xf numFmtId="0" fontId="2" fillId="0" borderId="0"/>
    <xf numFmtId="37" fontId="17" fillId="0" borderId="0"/>
    <xf numFmtId="43" fontId="4" fillId="0" borderId="0" applyFont="0" applyFill="0" applyBorder="0" applyAlignment="0" applyProtection="0"/>
    <xf numFmtId="0" fontId="1" fillId="0" borderId="0"/>
    <xf numFmtId="0" fontId="19" fillId="10" borderId="33">
      <alignment vertical="center"/>
    </xf>
    <xf numFmtId="9" fontId="4" fillId="0" borderId="0" applyFont="0" applyFill="0" applyBorder="0" applyAlignment="0" applyProtection="0"/>
    <xf numFmtId="0" fontId="21" fillId="0" borderId="0"/>
    <xf numFmtId="37" fontId="8" fillId="4" borderId="0" applyFill="0"/>
    <xf numFmtId="37" fontId="20" fillId="11" borderId="0">
      <alignment horizontal="left" vertical="center"/>
    </xf>
    <xf numFmtId="0" fontId="22" fillId="12" borderId="0">
      <alignment horizontal="right" vertical="center"/>
    </xf>
  </cellStyleXfs>
  <cellXfs count="309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49" fontId="12" fillId="4" borderId="1" xfId="0" applyNumberFormat="1" applyFont="1" applyFill="1" applyBorder="1" applyAlignment="1" applyProtection="1">
      <alignment horizontal="left"/>
      <protection locked="0"/>
    </xf>
    <xf numFmtId="38" fontId="12" fillId="4" borderId="14" xfId="0" quotePrefix="1" applyNumberFormat="1" applyFont="1" applyFill="1" applyBorder="1" applyProtection="1">
      <protection locked="0"/>
    </xf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Alignment="1" applyProtection="1">
      <alignment horizontal="right"/>
    </xf>
    <xf numFmtId="37" fontId="6" fillId="0" borderId="0" xfId="0" applyFont="1" applyAlignment="1" applyProtection="1">
      <alignment horizontal="right"/>
    </xf>
    <xf numFmtId="4" fontId="6" fillId="2" borderId="0" xfId="0" applyNumberFormat="1" applyFont="1" applyFill="1" applyAlignment="1" applyProtection="1">
      <alignment horizontal="right"/>
    </xf>
    <xf numFmtId="39" fontId="6" fillId="2" borderId="0" xfId="0" applyNumberFormat="1" applyFont="1" applyFill="1" applyAlignment="1" applyProtection="1">
      <alignment horizontal="right"/>
    </xf>
    <xf numFmtId="37" fontId="6" fillId="0" borderId="0" xfId="0" quotePrefix="1" applyFont="1" applyAlignment="1" applyProtection="1">
      <alignment horizontal="right"/>
    </xf>
    <xf numFmtId="2" fontId="6" fillId="0" borderId="0" xfId="0" applyNumberFormat="1" applyFont="1" applyAlignment="1" applyProtection="1">
      <alignment horizontal="right"/>
    </xf>
    <xf numFmtId="49" fontId="12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37" fontId="12" fillId="0" borderId="1" xfId="1" quotePrefix="1" applyNumberFormat="1" applyFont="1" applyFill="1" applyBorder="1" applyProtection="1">
      <protection locked="0"/>
    </xf>
    <xf numFmtId="37" fontId="14" fillId="0" borderId="0" xfId="2" applyNumberFormat="1" applyAlignment="1" applyProtection="1"/>
    <xf numFmtId="37" fontId="6" fillId="9" borderId="0" xfId="0" applyFont="1" applyFill="1" applyProtection="1"/>
    <xf numFmtId="38" fontId="6" fillId="9" borderId="0" xfId="0" applyNumberFormat="1" applyFont="1" applyFill="1" applyProtection="1"/>
    <xf numFmtId="37" fontId="12" fillId="0" borderId="1" xfId="0" quotePrefix="1" applyNumberFormat="1" applyFont="1" applyFill="1" applyBorder="1" applyProtection="1">
      <protection locked="0"/>
    </xf>
    <xf numFmtId="37" fontId="12" fillId="0" borderId="1" xfId="1" applyNumberFormat="1" applyFont="1" applyFill="1" applyBorder="1" applyProtection="1">
      <protection locked="0"/>
    </xf>
    <xf numFmtId="37" fontId="6" fillId="0" borderId="0" xfId="1" applyNumberFormat="1" applyFont="1" applyFill="1" applyProtection="1"/>
    <xf numFmtId="37" fontId="6" fillId="0" borderId="0" xfId="0" applyFont="1" applyFill="1" applyProtection="1">
      <protection locked="0"/>
    </xf>
    <xf numFmtId="2" fontId="12" fillId="0" borderId="1" xfId="3" quotePrefix="1" applyNumberFormat="1" applyFont="1" applyFill="1" applyBorder="1" applyProtection="1">
      <protection locked="0"/>
    </xf>
    <xf numFmtId="0" fontId="12" fillId="0" borderId="1" xfId="3" quotePrefix="1" applyNumberFormat="1" applyFont="1" applyFill="1" applyBorder="1" applyProtection="1">
      <protection locked="0"/>
    </xf>
    <xf numFmtId="39" fontId="12" fillId="0" borderId="1" xfId="0" applyNumberFormat="1" applyFont="1" applyFill="1" applyBorder="1" applyProtection="1">
      <protection locked="0"/>
    </xf>
    <xf numFmtId="39" fontId="12" fillId="0" borderId="1" xfId="0" quotePrefix="1" applyNumberFormat="1" applyFont="1" applyFill="1" applyBorder="1" applyProtection="1">
      <protection locked="0"/>
    </xf>
    <xf numFmtId="39" fontId="12" fillId="0" borderId="1" xfId="1" quotePrefix="1" applyNumberFormat="1" applyFont="1" applyFill="1" applyBorder="1" applyProtection="1">
      <protection locked="0"/>
    </xf>
    <xf numFmtId="167" fontId="6" fillId="3" borderId="0" xfId="0" applyNumberFormat="1" applyFont="1" applyFill="1" applyProtection="1"/>
    <xf numFmtId="165" fontId="12" fillId="0" borderId="1" xfId="0" quotePrefix="1" applyNumberFormat="1" applyFont="1" applyBorder="1" applyProtection="1">
      <protection locked="0"/>
    </xf>
    <xf numFmtId="49" fontId="6" fillId="3" borderId="0" xfId="0" quotePrefix="1" applyNumberFormat="1" applyFont="1" applyFill="1" applyAlignment="1" applyProtection="1">
      <alignment horizontal="fill"/>
    </xf>
    <xf numFmtId="37" fontId="12" fillId="0" borderId="1" xfId="0" applyFont="1" applyFill="1" applyBorder="1" applyProtection="1">
      <protection locked="0"/>
    </xf>
    <xf numFmtId="38" fontId="12" fillId="0" borderId="1" xfId="0" applyNumberFormat="1" applyFont="1" applyFill="1" applyBorder="1" applyProtection="1">
      <protection locked="0"/>
    </xf>
    <xf numFmtId="43" fontId="12" fillId="4" borderId="1" xfId="30" applyFont="1" applyFill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right"/>
      <protection locked="0"/>
    </xf>
    <xf numFmtId="37" fontId="18" fillId="4" borderId="1" xfId="16" applyFont="1" applyFill="1" applyBorder="1" applyProtection="1">
      <protection locked="0"/>
    </xf>
    <xf numFmtId="39" fontId="0" fillId="0" borderId="0" xfId="0" applyNumberFormat="1"/>
    <xf numFmtId="37" fontId="12" fillId="3" borderId="0" xfId="0" applyFont="1" applyFill="1" applyAlignment="1" applyProtection="1">
      <alignment horizontal="center" vertical="center"/>
    </xf>
  </cellXfs>
  <cellStyles count="38">
    <cellStyle name="Comma" xfId="1" builtinId="3"/>
    <cellStyle name="Comma 10" xfId="30"/>
    <cellStyle name="Comma 2" xfId="26"/>
    <cellStyle name="Hyperlink" xfId="2" builtinId="8"/>
    <cellStyle name="Normal" xfId="0" builtinId="0"/>
    <cellStyle name="Normal 10" xfId="28"/>
    <cellStyle name="Normal 10 2" xfId="25"/>
    <cellStyle name="Normal 10 2 2" xfId="34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 3 2" xfId="27"/>
    <cellStyle name="Normal 2_Sheet3" xfId="35"/>
    <cellStyle name="Normal 213" xfId="20"/>
    <cellStyle name="Normal 220" xfId="7"/>
    <cellStyle name="Normal 240" xfId="8"/>
    <cellStyle name="Normal 27" xfId="29"/>
    <cellStyle name="Normal 277" xfId="9"/>
    <cellStyle name="Normal 288" xfId="10"/>
    <cellStyle name="Normal 3" xfId="31"/>
    <cellStyle name="Normal 326" xfId="11"/>
    <cellStyle name="Normal 346" xfId="12"/>
    <cellStyle name="Normal 4" xfId="24"/>
    <cellStyle name="Normal 420" xfId="17"/>
    <cellStyle name="Normal 428" xfId="18"/>
    <cellStyle name="Normal 448" xfId="19"/>
    <cellStyle name="Normal 6" xfId="22"/>
    <cellStyle name="Percent" xfId="3" builtinId="5"/>
    <cellStyle name="Percent 2" xfId="33"/>
    <cellStyle name="Percent 398" xfId="5"/>
    <cellStyle name="Section Header" xfId="32"/>
    <cellStyle name="Sub-Section Header" xfId="36"/>
    <cellStyle name="Tab Hdr Right" xfId="3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mailto:hos@doh.wa.gov" TargetMode="External"/><Relationship Id="rId5" Type="http://schemas.openxmlformats.org/officeDocument/2006/relationships/hyperlink" Target="mailto:hos@doh.wa.gov." TargetMode="Externa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7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hyperlink" Target="mailto:hos@doh.wa.gov" TargetMode="External"/><Relationship Id="rId5" Type="http://schemas.openxmlformats.org/officeDocument/2006/relationships/hyperlink" Target="mailto:hos@doh.wa.gov." TargetMode="External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10"/>
  <sheetViews>
    <sheetView workbookViewId="0">
      <selection activeCell="A10" sqref="A10"/>
    </sheetView>
  </sheetViews>
  <sheetFormatPr defaultRowHeight="15" x14ac:dyDescent="0.25"/>
  <sheetData>
    <row r="5" spans="1:1" x14ac:dyDescent="0.25">
      <c r="A5">
        <f>data!CE76-data!BR76-data!BN76-data!BF76-data!BE76-data!AY76</f>
        <v>136548</v>
      </c>
    </row>
    <row r="7" spans="1:1" x14ac:dyDescent="0.25">
      <c r="A7">
        <v>52094</v>
      </c>
    </row>
    <row r="10" spans="1:1" x14ac:dyDescent="0.25">
      <c r="A10" s="307">
        <v>175.53</v>
      </c>
    </row>
  </sheetData>
  <customSheetViews>
    <customSheetView guid="{A66A08DC-EE53-4B68-9567-69AEF466998B}" state="hidden">
      <selection activeCell="A10" sqref="A1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VALLEY HOSPITAL AND MEDICAL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5728.28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99987079.530000001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80427546.25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154013.63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2876433.9299999997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106415.6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22702124.720000003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8979210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766764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32182720.390000001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1044163.49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13770470.310000001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135000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56878328.190000005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6555759.8399999999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50322568.350000009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81694.38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81694.38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68985724.879999995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3609999.92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72595724.799999997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145702112.25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VALLEY HOSPITAL AND MEDICAL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1524172.43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959554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126720489.8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417292.39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129621508.61999999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405787.73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405787.73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405787.73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15674815.899999972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15674815.899999972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145702112.24999997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VALLEY HOSPITAL AND MEDICAL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295816414.02999997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404054697.0399999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699871111.06999993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5706270.2500000009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559364005.6500001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6204837.5699999994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571275113.47000015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128595997.59999979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968464.11999999988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968464.11999999988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129564461.71999979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48078760.760000005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12015794.450000001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4004050.02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26996468.020000003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0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12410036.899999999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4960417.51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787439.62000000011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3067282.3600000008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6682757.79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119003007.43000002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10561454.289999768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-3035909.7199999997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7525544.5699997684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7525544.5699997684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customSheetViews>
    <customSheetView guid="{AF224140-1822-4D55-AA68-8E6ECE9F00FA}" scale="75" showGridLines="0" fitToPage="1" topLeftCell="A94">
      <selection activeCell="C115" sqref="C115"/>
      <rowBreaks count="2" manualBreakCount="2">
        <brk id="50" max="65535" man="1"/>
        <brk id="101" max="65535" man="1"/>
      </rowBreaks>
      <pageMargins left="0" right="0" top="0" bottom="0" header="0" footer="0"/>
      <printOptions horizontalCentered="1" verticalCentered="1"/>
      <pageSetup scale="70" fitToHeight="3" orientation="portrait" r:id="rId1"/>
      <headerFooter alignWithMargins="0"/>
    </customSheetView>
    <customSheetView guid="{29C7D28D-A8D9-464F-A1BE-6E19ABDAC2B2}" scale="75" showGridLines="0" fitToPage="1" topLeftCell="A94">
      <selection activeCell="C115" sqref="C115"/>
      <rowBreaks count="2" manualBreakCount="2">
        <brk id="50" max="65535" man="1"/>
        <brk id="101" max="65535" man="1"/>
      </rowBreaks>
      <pageMargins left="0" right="0" top="0" bottom="0" header="0" footer="0"/>
      <printOptions horizontalCentered="1" verticalCentered="1"/>
      <pageSetup scale="70" fitToHeight="3" orientation="portrait" r:id="rId2"/>
      <headerFooter alignWithMargins="0"/>
    </customSheetView>
    <customSheetView guid="{1565D254-C65C-4A11-B9EA-4BF10C869FB8}" scale="75" showGridLines="0" fitToPage="1" topLeftCell="A94">
      <selection activeCell="C115" sqref="C115"/>
      <rowBreaks count="2" manualBreakCount="2">
        <brk id="50" max="65535" man="1"/>
        <brk id="101" max="65535" man="1"/>
      </rowBreaks>
      <pageMargins left="0" right="0" top="0" bottom="0" header="0" footer="0"/>
      <printOptions horizontalCentered="1" verticalCentered="1"/>
      <pageSetup scale="70" fitToHeight="3" orientation="portrait" r:id="rId3"/>
      <headerFooter alignWithMargins="0"/>
    </customSheetView>
    <customSheetView guid="{A66A08DC-EE53-4B68-9567-69AEF466998B}" scale="75" showGridLines="0" fitToPage="1" topLeftCell="A94">
      <selection activeCell="C115" sqref="C115"/>
      <rowBreaks count="2" manualBreakCount="2">
        <brk id="50" max="65535" man="1"/>
        <brk id="101" max="65535" man="1"/>
      </rowBreaks>
      <pageMargins left="0" right="0" top="0" bottom="0" header="0" footer="0"/>
      <printOptions horizontalCentered="1" verticalCentered="1"/>
      <pageSetup scale="70" fitToHeight="3" orientation="portrait" r:id="rId4"/>
      <headerFooter alignWithMargins="0"/>
    </customSheetView>
  </customSheetViews>
  <phoneticPr fontId="0" type="noConversion"/>
  <printOptions horizontalCentered="1" verticalCentered="1" gridLinesSet="0"/>
  <pageMargins left="0" right="0" top="0" bottom="0" header="0" footer="0"/>
  <pageSetup scale="70" fitToHeight="3" orientation="portrait" r:id="rId5"/>
  <headerFooter alignWithMargins="0"/>
  <rowBreaks count="2" manualBreakCount="2">
    <brk id="50" max="65535" man="1"/>
    <brk id="101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VALLEY HOSPITAL AND MEDICAL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2632</v>
      </c>
      <c r="D9" s="14">
        <f>data!D59</f>
        <v>14348</v>
      </c>
      <c r="E9" s="14">
        <f>data!E59</f>
        <v>0</v>
      </c>
      <c r="F9" s="14">
        <f>data!F59</f>
        <v>1352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28.46</v>
      </c>
      <c r="D10" s="26">
        <f>data!D60</f>
        <v>68.569999999999993</v>
      </c>
      <c r="E10" s="26">
        <f>data!E60</f>
        <v>13.45</v>
      </c>
      <c r="F10" s="26">
        <f>data!F60</f>
        <v>23.55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2859328.6799999997</v>
      </c>
      <c r="D11" s="14">
        <f>data!D61</f>
        <v>5764012.5099999998</v>
      </c>
      <c r="E11" s="14">
        <f>data!E61</f>
        <v>614450.79999999993</v>
      </c>
      <c r="F11" s="14">
        <f>data!F61</f>
        <v>2628965.38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275326</v>
      </c>
      <c r="D12" s="14">
        <f>data!D62</f>
        <v>497596</v>
      </c>
      <c r="E12" s="14">
        <f>data!E62</f>
        <v>54034</v>
      </c>
      <c r="F12" s="14">
        <f>data!F62</f>
        <v>231277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142270.01999999999</v>
      </c>
      <c r="D14" s="14">
        <f>data!D64</f>
        <v>784689.79999999993</v>
      </c>
      <c r="E14" s="14">
        <f>data!E64</f>
        <v>359449.87999999995</v>
      </c>
      <c r="F14" s="14">
        <f>data!F64</f>
        <v>116902.2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22939.71</v>
      </c>
      <c r="D16" s="14">
        <f>data!D66</f>
        <v>8520.2099999999991</v>
      </c>
      <c r="E16" s="14">
        <f>data!E66</f>
        <v>806.03</v>
      </c>
      <c r="F16" s="14">
        <f>data!F66</f>
        <v>1662.02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143109</v>
      </c>
      <c r="D17" s="14">
        <f>data!D67</f>
        <v>4246</v>
      </c>
      <c r="E17" s="14">
        <f>data!E67</f>
        <v>30624</v>
      </c>
      <c r="F17" s="14">
        <f>data!F67</f>
        <v>1437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1990.8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9498.4699999999993</v>
      </c>
      <c r="D19" s="14">
        <f>data!D69</f>
        <v>12770</v>
      </c>
      <c r="E19" s="14">
        <f>data!E69</f>
        <v>0</v>
      </c>
      <c r="F19" s="14">
        <f>data!F69</f>
        <v>1669.96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3452471.88</v>
      </c>
      <c r="D21" s="14">
        <f>data!D71</f>
        <v>7073825.3199999994</v>
      </c>
      <c r="E21" s="14">
        <f>data!E71</f>
        <v>1059364.71</v>
      </c>
      <c r="F21" s="14">
        <f>data!F71</f>
        <v>2981913.56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2090517</v>
      </c>
      <c r="D23" s="48">
        <f>+data!M669</f>
        <v>5502868</v>
      </c>
      <c r="E23" s="48">
        <f>+data!M670</f>
        <v>2980399</v>
      </c>
      <c r="F23" s="48">
        <f>+data!M671</f>
        <v>1453471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10755655.4</v>
      </c>
      <c r="D24" s="14">
        <f>data!D73</f>
        <v>27302281</v>
      </c>
      <c r="E24" s="14">
        <f>data!E73</f>
        <v>25439.859999999986</v>
      </c>
      <c r="F24" s="14">
        <f>data!F73</f>
        <v>8141563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4137485.88</v>
      </c>
      <c r="D25" s="14">
        <f>data!D74</f>
        <v>5992874.9999999991</v>
      </c>
      <c r="E25" s="14">
        <f>data!E74</f>
        <v>-534</v>
      </c>
      <c r="F25" s="14">
        <f>data!F74</f>
        <v>534385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14893141.280000001</v>
      </c>
      <c r="D26" s="14">
        <f>data!D75</f>
        <v>33295156</v>
      </c>
      <c r="E26" s="14">
        <f>data!E75</f>
        <v>24905.859999999986</v>
      </c>
      <c r="F26" s="14">
        <f>data!F75</f>
        <v>8675948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4165</v>
      </c>
      <c r="D28" s="14">
        <f>data!D76</f>
        <v>7160</v>
      </c>
      <c r="E28" s="14">
        <f>data!E76</f>
        <v>39558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3873</v>
      </c>
      <c r="D29" s="14">
        <f>data!D77</f>
        <v>41899</v>
      </c>
      <c r="E29" s="14">
        <f>data!E77</f>
        <v>0</v>
      </c>
      <c r="F29" s="14">
        <f>data!F77</f>
        <v>3975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1588.9761109646424</v>
      </c>
      <c r="D30" s="14">
        <f>data!D78</f>
        <v>2731.5891847555436</v>
      </c>
      <c r="E30" s="14">
        <f>data!E78</f>
        <v>15091.648738905002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8537</v>
      </c>
      <c r="D31" s="14">
        <f>data!D79</f>
        <v>48554.330155103642</v>
      </c>
      <c r="E31" s="14">
        <f>data!E79</f>
        <v>0</v>
      </c>
      <c r="F31" s="14">
        <f>data!F79</f>
        <v>20364.203860295765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21.239129999999999</v>
      </c>
      <c r="D32" s="84">
        <f>data!D80</f>
        <v>0</v>
      </c>
      <c r="E32" s="84">
        <f>data!E80</f>
        <v>48.621810000000004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VALLEY HOSPITAL AND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651</v>
      </c>
      <c r="I41" s="14">
        <f>data!P59</f>
        <v>654109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78.81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23880</v>
      </c>
      <c r="I43" s="14">
        <f>data!P61</f>
        <v>6826481.580000001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607901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58000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118206.28</v>
      </c>
      <c r="I46" s="14">
        <f>data!P64</f>
        <v>15559648.98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48806.320000000007</v>
      </c>
      <c r="I48" s="14">
        <f>data!P66</f>
        <v>689702.7699999999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73540</v>
      </c>
      <c r="I49" s="14">
        <f>data!P67</f>
        <v>767351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30580.020000000004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3278.04</v>
      </c>
      <c r="I51" s="14">
        <f>data!P69</f>
        <v>14641.41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267710.63999999996</v>
      </c>
      <c r="I53" s="14">
        <f>data!P71</f>
        <v>24554306.760000002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267446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159794</v>
      </c>
      <c r="I55" s="48" t="e">
        <f>+data!M681</f>
        <v>#REF!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3439659</v>
      </c>
      <c r="I56" s="14">
        <f>data!P73</f>
        <v>94978417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328876.99999999994</v>
      </c>
      <c r="I57" s="14">
        <f>data!P74</f>
        <v>117026791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3768536</v>
      </c>
      <c r="I58" s="14">
        <f>data!P75</f>
        <v>212005208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960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711</v>
      </c>
      <c r="I60" s="14">
        <f>data!P76</f>
        <v>28824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10006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366.24659460409526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271.25138412865806</v>
      </c>
      <c r="I62" s="14">
        <f>data!P79</f>
        <v>37359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 t="e">
        <f>data!#REF!</f>
        <v>#REF!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18.43065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21.414660000000001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VALLEY HOSPITAL AND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1239013</v>
      </c>
      <c r="E73" s="212"/>
      <c r="F73" s="212"/>
      <c r="G73" s="14">
        <f>data!U59</f>
        <v>380545</v>
      </c>
      <c r="H73" s="14">
        <f>data!V59</f>
        <v>14331</v>
      </c>
      <c r="I73" s="14">
        <f>data!W59</f>
        <v>16152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16.02</v>
      </c>
      <c r="E74" s="26">
        <f>data!S60</f>
        <v>5.85</v>
      </c>
      <c r="F74" s="26">
        <f>data!T60</f>
        <v>0</v>
      </c>
      <c r="G74" s="26">
        <f>data!U60</f>
        <v>23.77</v>
      </c>
      <c r="H74" s="26">
        <f>data!V60</f>
        <v>0</v>
      </c>
      <c r="I74" s="26">
        <f>data!W60</f>
        <v>2.94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1797188.0199999998</v>
      </c>
      <c r="E75" s="14">
        <f>data!S61</f>
        <v>233212.66</v>
      </c>
      <c r="F75" s="14">
        <f>data!T61</f>
        <v>0</v>
      </c>
      <c r="G75" s="14">
        <f>data!U61</f>
        <v>1418371.1099999999</v>
      </c>
      <c r="H75" s="14">
        <f>data!V61</f>
        <v>0</v>
      </c>
      <c r="I75" s="14">
        <f>data!W61</f>
        <v>236761.63999999996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167714</v>
      </c>
      <c r="E76" s="14">
        <f>data!S62</f>
        <v>20569</v>
      </c>
      <c r="F76" s="14">
        <f>data!T62</f>
        <v>0</v>
      </c>
      <c r="G76" s="14">
        <f>data!U62</f>
        <v>128075</v>
      </c>
      <c r="H76" s="14">
        <f>data!V62</f>
        <v>0</v>
      </c>
      <c r="I76" s="14">
        <f>data!W62</f>
        <v>20870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1344043.85</v>
      </c>
      <c r="E77" s="14">
        <f>data!S63</f>
        <v>0</v>
      </c>
      <c r="F77" s="14">
        <f>data!T63</f>
        <v>0</v>
      </c>
      <c r="G77" s="14">
        <f>data!U63</f>
        <v>16200</v>
      </c>
      <c r="H77" s="14">
        <f>data!V63</f>
        <v>9830</v>
      </c>
      <c r="I77" s="14">
        <f>data!W63</f>
        <v>8450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338082.51</v>
      </c>
      <c r="E78" s="14">
        <f>data!S64</f>
        <v>314056.88</v>
      </c>
      <c r="F78" s="14">
        <f>data!T64</f>
        <v>0</v>
      </c>
      <c r="G78" s="14">
        <f>data!U64</f>
        <v>2099108.11</v>
      </c>
      <c r="H78" s="14">
        <f>data!V64</f>
        <v>775.5</v>
      </c>
      <c r="I78" s="14">
        <f>data!W64</f>
        <v>3658.5199999999995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17606.679999999997</v>
      </c>
      <c r="E80" s="14">
        <f>data!S66</f>
        <v>119741.56999999999</v>
      </c>
      <c r="F80" s="14">
        <f>data!T66</f>
        <v>0</v>
      </c>
      <c r="G80" s="14">
        <f>data!U66</f>
        <v>795197.03000000014</v>
      </c>
      <c r="H80" s="14">
        <f>data!V66</f>
        <v>1492.5799999999995</v>
      </c>
      <c r="I80" s="14">
        <f>data!W66</f>
        <v>125290.05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79400</v>
      </c>
      <c r="E81" s="14">
        <f>data!S67</f>
        <v>0</v>
      </c>
      <c r="F81" s="14">
        <f>data!T67</f>
        <v>0</v>
      </c>
      <c r="G81" s="14">
        <f>data!U67</f>
        <v>22611</v>
      </c>
      <c r="H81" s="14">
        <f>data!V67</f>
        <v>0</v>
      </c>
      <c r="I81" s="14">
        <f>data!W67</f>
        <v>194426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223955.91</v>
      </c>
      <c r="F82" s="14">
        <f>data!T68</f>
        <v>0</v>
      </c>
      <c r="G82" s="14">
        <f>data!U68</f>
        <v>69381.919999999998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11403.84</v>
      </c>
      <c r="E83" s="14">
        <f>data!S69</f>
        <v>777.45</v>
      </c>
      <c r="F83" s="14">
        <f>data!T69</f>
        <v>0</v>
      </c>
      <c r="G83" s="14">
        <f>data!U69</f>
        <v>5433.67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3755438.9</v>
      </c>
      <c r="E85" s="14">
        <f>data!S71</f>
        <v>912313.47</v>
      </c>
      <c r="F85" s="14">
        <f>data!T71</f>
        <v>0</v>
      </c>
      <c r="G85" s="14">
        <f>data!U71</f>
        <v>4554377.84</v>
      </c>
      <c r="H85" s="14">
        <f>data!V71</f>
        <v>12098.08</v>
      </c>
      <c r="I85" s="14">
        <f>data!W71</f>
        <v>589456.21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253086</v>
      </c>
      <c r="D87" s="48">
        <f>+data!M683</f>
        <v>1642535</v>
      </c>
      <c r="E87" s="48">
        <f>+data!M684</f>
        <v>584569</v>
      </c>
      <c r="F87" s="48">
        <f>+data!M685</f>
        <v>0</v>
      </c>
      <c r="G87" s="48">
        <f>+data!M686</f>
        <v>2206455</v>
      </c>
      <c r="H87" s="48">
        <f>+data!M687</f>
        <v>98346</v>
      </c>
      <c r="I87" s="48">
        <f>+data!M688</f>
        <v>378553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6648159</v>
      </c>
      <c r="E88" s="14">
        <f>data!S73</f>
        <v>0</v>
      </c>
      <c r="F88" s="14">
        <f>data!T73</f>
        <v>0</v>
      </c>
      <c r="G88" s="14">
        <f>data!U73</f>
        <v>24585163.340000004</v>
      </c>
      <c r="H88" s="14">
        <f>data!V73</f>
        <v>538592</v>
      </c>
      <c r="I88" s="14">
        <f>data!W73</f>
        <v>2667650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14824387</v>
      </c>
      <c r="E89" s="14">
        <f>data!S74</f>
        <v>0</v>
      </c>
      <c r="F89" s="14">
        <f>data!T74</f>
        <v>0</v>
      </c>
      <c r="G89" s="14">
        <f>data!U74</f>
        <v>23465384.039999999</v>
      </c>
      <c r="H89" s="14">
        <f>data!V74</f>
        <v>1520530.1300000001</v>
      </c>
      <c r="I89" s="14">
        <f>data!W74</f>
        <v>6636213.0000000009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21472546</v>
      </c>
      <c r="E90" s="14">
        <f>data!S75</f>
        <v>0</v>
      </c>
      <c r="F90" s="14">
        <f>data!T75</f>
        <v>0</v>
      </c>
      <c r="G90" s="14">
        <f>data!U75</f>
        <v>48050547.380000003</v>
      </c>
      <c r="H90" s="14">
        <f>data!V75</f>
        <v>2059122.1300000001</v>
      </c>
      <c r="I90" s="14">
        <f>data!W75</f>
        <v>9303863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2616</v>
      </c>
      <c r="D92" s="14">
        <f>data!R76</f>
        <v>662</v>
      </c>
      <c r="E92" s="14">
        <f>data!S76</f>
        <v>4690</v>
      </c>
      <c r="F92" s="14">
        <f>data!T76</f>
        <v>0</v>
      </c>
      <c r="G92" s="14">
        <f>data!U76</f>
        <v>3779</v>
      </c>
      <c r="H92" s="14">
        <f>data!V76</f>
        <v>1616</v>
      </c>
      <c r="I92" s="14">
        <f>data!W76</f>
        <v>1549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305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998.02197029615957</v>
      </c>
      <c r="D94" s="14">
        <f>data!R78</f>
        <v>252.55754752907401</v>
      </c>
      <c r="E94" s="14">
        <f>data!S78</f>
        <v>1789.2672173887572</v>
      </c>
      <c r="F94" s="14">
        <f>data!T78</f>
        <v>0</v>
      </c>
      <c r="G94" s="14">
        <f>data!U78</f>
        <v>1441.7144593842459</v>
      </c>
      <c r="H94" s="14">
        <f>data!V78</f>
        <v>616.51510091689363</v>
      </c>
      <c r="I94" s="14">
        <f>data!W78</f>
        <v>590.95414066848286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7429.2988677523281</v>
      </c>
      <c r="E95" s="14">
        <f>data!S79</f>
        <v>0</v>
      </c>
      <c r="F95" s="14">
        <f>data!T79</f>
        <v>0</v>
      </c>
      <c r="G95" s="14">
        <f>data!U79</f>
        <v>51.849259112176007</v>
      </c>
      <c r="H95" s="14">
        <f>data!V79</f>
        <v>0</v>
      </c>
      <c r="I95" s="14">
        <f>data!W79</f>
        <v>6462.895346265539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10.18074</v>
      </c>
      <c r="D96" s="84">
        <f>data!R80</f>
        <v>0.87765000000000004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VALLEY HOSPITAL AND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15497</v>
      </c>
      <c r="D105" s="14">
        <f>data!Y59</f>
        <v>48446</v>
      </c>
      <c r="E105" s="14">
        <f>data!Z59</f>
        <v>0</v>
      </c>
      <c r="F105" s="14">
        <f>data!AA59</f>
        <v>13930</v>
      </c>
      <c r="G105" s="212"/>
      <c r="H105" s="14">
        <f>data!AC59</f>
        <v>32564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7.57</v>
      </c>
      <c r="D106" s="26">
        <f>data!Y60</f>
        <v>29.94</v>
      </c>
      <c r="E106" s="26">
        <f>data!Z60</f>
        <v>0</v>
      </c>
      <c r="F106" s="26">
        <f>data!AA60</f>
        <v>3.09</v>
      </c>
      <c r="G106" s="26">
        <f>data!AB60</f>
        <v>15.17</v>
      </c>
      <c r="H106" s="26">
        <f>data!AC60</f>
        <v>16.98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577959.36</v>
      </c>
      <c r="D107" s="14">
        <f>data!Y61</f>
        <v>2447601.5700000003</v>
      </c>
      <c r="E107" s="14">
        <f>data!Z61</f>
        <v>0</v>
      </c>
      <c r="F107" s="14">
        <f>data!AA61</f>
        <v>252542.64</v>
      </c>
      <c r="G107" s="14">
        <f>data!AB61</f>
        <v>1491031.51</v>
      </c>
      <c r="H107" s="14">
        <f>data!AC61</f>
        <v>1417340.1899999997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49298</v>
      </c>
      <c r="D108" s="14">
        <f>data!Y62</f>
        <v>233019</v>
      </c>
      <c r="E108" s="14">
        <f>data!Z62</f>
        <v>0</v>
      </c>
      <c r="F108" s="14">
        <f>data!AA62</f>
        <v>22205</v>
      </c>
      <c r="G108" s="14">
        <f>data!AB62</f>
        <v>128780</v>
      </c>
      <c r="H108" s="14">
        <f>data!AC62</f>
        <v>134246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2937.6</v>
      </c>
      <c r="D109" s="14">
        <f>data!Y63</f>
        <v>9767.34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116298.03999999998</v>
      </c>
      <c r="D110" s="14">
        <f>data!Y64</f>
        <v>1213113.7000000002</v>
      </c>
      <c r="E110" s="14">
        <f>data!Z64</f>
        <v>0</v>
      </c>
      <c r="F110" s="14">
        <f>data!AA64</f>
        <v>433201.99</v>
      </c>
      <c r="G110" s="14">
        <f>data!AB64</f>
        <v>3244665.5300000003</v>
      </c>
      <c r="H110" s="14">
        <f>data!AC64</f>
        <v>195257.94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149366.47999999998</v>
      </c>
      <c r="D112" s="14">
        <f>data!Y66</f>
        <v>226496.83000000002</v>
      </c>
      <c r="E112" s="14">
        <f>data!Z66</f>
        <v>0</v>
      </c>
      <c r="F112" s="14">
        <f>data!AA66</f>
        <v>38544.44999999999</v>
      </c>
      <c r="G112" s="14">
        <f>data!AB66</f>
        <v>156741.86000000002</v>
      </c>
      <c r="H112" s="14">
        <f>data!AC66</f>
        <v>4465.55</v>
      </c>
      <c r="I112" s="14">
        <f>data!AD66</f>
        <v>137855.78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72528</v>
      </c>
      <c r="D113" s="14">
        <f>data!Y67</f>
        <v>220855</v>
      </c>
      <c r="E113" s="14">
        <f>data!Z67</f>
        <v>0</v>
      </c>
      <c r="F113" s="14">
        <f>data!AA67</f>
        <v>82741</v>
      </c>
      <c r="G113" s="14">
        <f>data!AB67</f>
        <v>3904</v>
      </c>
      <c r="H113" s="14">
        <f>data!AC67</f>
        <v>16159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9792</v>
      </c>
      <c r="E114" s="14">
        <f>data!Z68</f>
        <v>0</v>
      </c>
      <c r="F114" s="14">
        <f>data!AA68</f>
        <v>0</v>
      </c>
      <c r="G114" s="14">
        <f>data!AB68</f>
        <v>84770.710000000021</v>
      </c>
      <c r="H114" s="14">
        <f>data!AC68</f>
        <v>111063.08000000002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97.83</v>
      </c>
      <c r="E115" s="14">
        <f>data!Z69</f>
        <v>0</v>
      </c>
      <c r="F115" s="14">
        <f>data!AA69</f>
        <v>9126</v>
      </c>
      <c r="G115" s="14">
        <f>data!AB69</f>
        <v>3620.69</v>
      </c>
      <c r="H115" s="14">
        <f>data!AC69</f>
        <v>1595.5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968387.48</v>
      </c>
      <c r="D117" s="14">
        <f>data!Y71</f>
        <v>4360743.2700000005</v>
      </c>
      <c r="E117" s="14">
        <f>data!Z71</f>
        <v>0</v>
      </c>
      <c r="F117" s="14">
        <f>data!AA71</f>
        <v>838361.08</v>
      </c>
      <c r="G117" s="14">
        <f>data!AB71</f>
        <v>5113514.3000000007</v>
      </c>
      <c r="H117" s="14">
        <f>data!AC71</f>
        <v>1880127.2599999998</v>
      </c>
      <c r="I117" s="14">
        <f>data!AD71</f>
        <v>137855.78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858599</v>
      </c>
      <c r="D119" s="48">
        <f>+data!M690</f>
        <v>2562188</v>
      </c>
      <c r="E119" s="48">
        <f>+data!M691</f>
        <v>0</v>
      </c>
      <c r="F119" s="48">
        <f>+data!M692</f>
        <v>456435</v>
      </c>
      <c r="G119" s="48">
        <f>+data!M693</f>
        <v>2472529</v>
      </c>
      <c r="H119" s="48">
        <f>+data!M694</f>
        <v>864808</v>
      </c>
      <c r="I119" s="48">
        <f>+data!M695</f>
        <v>79793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20750862</v>
      </c>
      <c r="D120" s="14">
        <f>data!Y73</f>
        <v>17525426</v>
      </c>
      <c r="E120" s="14">
        <f>data!Z73</f>
        <v>0</v>
      </c>
      <c r="F120" s="14">
        <f>data!AA73</f>
        <v>3129995</v>
      </c>
      <c r="G120" s="14">
        <f>data!AB73</f>
        <v>36305260.650000006</v>
      </c>
      <c r="H120" s="14">
        <f>data!AC73</f>
        <v>13976234.000000002</v>
      </c>
      <c r="I120" s="14">
        <f>data!AD73</f>
        <v>1007409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54275650</v>
      </c>
      <c r="D121" s="14">
        <f>data!Y74</f>
        <v>32221512.539999999</v>
      </c>
      <c r="E121" s="14">
        <f>data!Z74</f>
        <v>0</v>
      </c>
      <c r="F121" s="14">
        <f>data!AA74</f>
        <v>11703888</v>
      </c>
      <c r="G121" s="14">
        <f>data!AB74</f>
        <v>24972973.34</v>
      </c>
      <c r="H121" s="14">
        <f>data!AC74</f>
        <v>1182072.3999999999</v>
      </c>
      <c r="I121" s="14">
        <f>data!AD74</f>
        <v>58165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75026512</v>
      </c>
      <c r="D122" s="14">
        <f>data!Y75</f>
        <v>49746938.539999999</v>
      </c>
      <c r="E122" s="14">
        <f>data!Z75</f>
        <v>0</v>
      </c>
      <c r="F122" s="14">
        <f>data!AA75</f>
        <v>14833883</v>
      </c>
      <c r="G122" s="14">
        <f>data!AB75</f>
        <v>61278233.99000001</v>
      </c>
      <c r="H122" s="14">
        <f>data!AC75</f>
        <v>15158306.400000002</v>
      </c>
      <c r="I122" s="14">
        <f>data!AD75</f>
        <v>1065574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572</v>
      </c>
      <c r="D124" s="14">
        <f>data!Y76</f>
        <v>10453</v>
      </c>
      <c r="E124" s="14">
        <f>data!Z76</f>
        <v>0</v>
      </c>
      <c r="F124" s="14">
        <f>data!AA76</f>
        <v>1001</v>
      </c>
      <c r="G124" s="14">
        <f>data!AB76</f>
        <v>3319</v>
      </c>
      <c r="H124" s="14">
        <f>data!AC76</f>
        <v>1127</v>
      </c>
      <c r="I124" s="14">
        <f>data!AD76</f>
        <v>414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218.2219292849401</v>
      </c>
      <c r="D126" s="14">
        <f>data!Y78</f>
        <v>3987.8913056214665</v>
      </c>
      <c r="E126" s="14">
        <f>data!Z78</f>
        <v>0</v>
      </c>
      <c r="F126" s="14">
        <f>data!AA78</f>
        <v>381.88837624864516</v>
      </c>
      <c r="G126" s="14">
        <f>data!AB78</f>
        <v>1266.2212994697836</v>
      </c>
      <c r="H126" s="14">
        <f>data!AC78</f>
        <v>429.95824179043268</v>
      </c>
      <c r="I126" s="14">
        <f>data!AD78</f>
        <v>157.94384392301609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5931.7574858191747</v>
      </c>
      <c r="D127" s="14">
        <f>data!Y79</f>
        <v>24346.333178880726</v>
      </c>
      <c r="E127" s="14">
        <f>data!Z79</f>
        <v>0</v>
      </c>
      <c r="F127" s="14">
        <f>data!AA79</f>
        <v>0</v>
      </c>
      <c r="G127" s="14">
        <f>data!AB79</f>
        <v>1166.8962659533768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0.17552999999999999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VALLEY HOSPITAL AND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13828</v>
      </c>
      <c r="D137" s="14">
        <f>data!AF59</f>
        <v>0</v>
      </c>
      <c r="E137" s="14">
        <f>data!AG59</f>
        <v>43023</v>
      </c>
      <c r="F137" s="14">
        <f>data!AH59</f>
        <v>0</v>
      </c>
      <c r="G137" s="14">
        <f>data!AI59</f>
        <v>2139</v>
      </c>
      <c r="H137" s="14">
        <f>data!AJ59</f>
        <v>4698</v>
      </c>
      <c r="I137" s="14">
        <f>data!AK59</f>
        <v>3388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5.68</v>
      </c>
      <c r="D138" s="26">
        <f>data!AF60</f>
        <v>0</v>
      </c>
      <c r="E138" s="26">
        <f>data!AG60</f>
        <v>53.59</v>
      </c>
      <c r="F138" s="26">
        <f>data!AH60</f>
        <v>0</v>
      </c>
      <c r="G138" s="26">
        <f>data!AI60</f>
        <v>24.26</v>
      </c>
      <c r="H138" s="26">
        <f>data!AJ60</f>
        <v>1.41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526404.82999999996</v>
      </c>
      <c r="D139" s="14">
        <f>data!AF61</f>
        <v>0</v>
      </c>
      <c r="E139" s="14">
        <f>data!AG61</f>
        <v>4613696</v>
      </c>
      <c r="F139" s="14">
        <f>data!AH61</f>
        <v>0</v>
      </c>
      <c r="G139" s="14">
        <f>data!AI61</f>
        <v>2031256.7600000002</v>
      </c>
      <c r="H139" s="14">
        <f>data!AJ61</f>
        <v>167135.88999999998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49753</v>
      </c>
      <c r="D140" s="14">
        <f>data!AF62</f>
        <v>0</v>
      </c>
      <c r="E140" s="14">
        <f>data!AG62</f>
        <v>415389</v>
      </c>
      <c r="F140" s="14">
        <f>data!AH62</f>
        <v>0</v>
      </c>
      <c r="G140" s="14">
        <f>data!AI62</f>
        <v>180661</v>
      </c>
      <c r="H140" s="14">
        <f>data!AJ62</f>
        <v>17782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1986512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1360.68</v>
      </c>
      <c r="D142" s="14">
        <f>data!AF64</f>
        <v>0</v>
      </c>
      <c r="E142" s="14">
        <f>data!AG64</f>
        <v>848499.08000000007</v>
      </c>
      <c r="F142" s="14">
        <f>data!AH64</f>
        <v>0</v>
      </c>
      <c r="G142" s="14">
        <f>data!AI64</f>
        <v>111920.77</v>
      </c>
      <c r="H142" s="14">
        <f>data!AJ64</f>
        <v>37582.129999999997</v>
      </c>
      <c r="I142" s="14">
        <f>data!AK64</f>
        <v>31.19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41024.639999999999</v>
      </c>
      <c r="F144" s="14">
        <f>data!AH66</f>
        <v>0</v>
      </c>
      <c r="G144" s="14">
        <f>data!AI66</f>
        <v>1966.5300000000002</v>
      </c>
      <c r="H144" s="14">
        <f>data!AJ66</f>
        <v>8915.9599999999991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41503</v>
      </c>
      <c r="F145" s="14">
        <f>data!AH67</f>
        <v>0</v>
      </c>
      <c r="G145" s="14">
        <f>data!AI67</f>
        <v>120424</v>
      </c>
      <c r="H145" s="14">
        <f>data!AJ67</f>
        <v>0</v>
      </c>
      <c r="I145" s="14">
        <f>data!AK67</f>
        <v>1698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1879.08</v>
      </c>
      <c r="D147" s="14">
        <f>data!AF69</f>
        <v>0</v>
      </c>
      <c r="E147" s="14">
        <f>data!AG69</f>
        <v>21024.17</v>
      </c>
      <c r="F147" s="14">
        <f>data!AH69</f>
        <v>0</v>
      </c>
      <c r="G147" s="14">
        <f>data!AI69</f>
        <v>788</v>
      </c>
      <c r="H147" s="14">
        <f>data!AJ69</f>
        <v>438.7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579397.59</v>
      </c>
      <c r="D149" s="14">
        <f>data!AF71</f>
        <v>0</v>
      </c>
      <c r="E149" s="14">
        <f>data!AG71</f>
        <v>7967647.8899999997</v>
      </c>
      <c r="F149" s="14">
        <f>data!AH71</f>
        <v>0</v>
      </c>
      <c r="G149" s="14">
        <f>data!AI71</f>
        <v>2447017.06</v>
      </c>
      <c r="H149" s="14">
        <f>data!AJ71</f>
        <v>231854.68</v>
      </c>
      <c r="I149" s="14">
        <f>data!AK71</f>
        <v>1729.19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267376</v>
      </c>
      <c r="D151" s="48">
        <f>+data!M697</f>
        <v>0</v>
      </c>
      <c r="E151" s="48">
        <f>+data!M698</f>
        <v>4775497</v>
      </c>
      <c r="F151" s="48">
        <f>+data!M699</f>
        <v>0</v>
      </c>
      <c r="G151" s="48">
        <f>+data!M700</f>
        <v>1289098</v>
      </c>
      <c r="H151" s="48">
        <f>+data!M701</f>
        <v>88782</v>
      </c>
      <c r="I151" s="48">
        <f>+data!M702</f>
        <v>8031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2913471.5300000003</v>
      </c>
      <c r="D152" s="14">
        <f>data!AF73</f>
        <v>0</v>
      </c>
      <c r="E152" s="14">
        <f>data!AG73</f>
        <v>17166013.400000002</v>
      </c>
      <c r="F152" s="14">
        <f>data!AH73</f>
        <v>0</v>
      </c>
      <c r="G152" s="14">
        <f>data!AI73</f>
        <v>21924</v>
      </c>
      <c r="H152" s="14">
        <f>data!AJ73</f>
        <v>0</v>
      </c>
      <c r="I152" s="14">
        <f>data!AK73</f>
        <v>1193553.72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340282.43999999994</v>
      </c>
      <c r="D153" s="14">
        <f>data!AF74</f>
        <v>0</v>
      </c>
      <c r="E153" s="14">
        <f>data!AG74</f>
        <v>82225409.629999995</v>
      </c>
      <c r="F153" s="14">
        <f>data!AH74</f>
        <v>0</v>
      </c>
      <c r="G153" s="14">
        <f>data!AI74</f>
        <v>19819627</v>
      </c>
      <c r="H153" s="14">
        <f>data!AJ74</f>
        <v>46400</v>
      </c>
      <c r="I153" s="14">
        <f>data!AK74</f>
        <v>60437.89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3253753.97</v>
      </c>
      <c r="D154" s="14">
        <f>data!AF75</f>
        <v>0</v>
      </c>
      <c r="E154" s="14">
        <f>data!AG75</f>
        <v>99391423.030000001</v>
      </c>
      <c r="F154" s="14">
        <f>data!AH75</f>
        <v>0</v>
      </c>
      <c r="G154" s="14">
        <f>data!AI75</f>
        <v>19841551</v>
      </c>
      <c r="H154" s="14">
        <f>data!AJ75</f>
        <v>46400</v>
      </c>
      <c r="I154" s="14">
        <f>data!AK75</f>
        <v>1253991.6099999999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524</v>
      </c>
      <c r="D156" s="14">
        <f>data!AF76</f>
        <v>0</v>
      </c>
      <c r="E156" s="14">
        <f>data!AG76</f>
        <v>10843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2057</v>
      </c>
      <c r="F157" s="14">
        <f>data!AH77</f>
        <v>0</v>
      </c>
      <c r="G157" s="14">
        <f>data!AI77</f>
        <v>502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199.90959955473534</v>
      </c>
      <c r="D158" s="14">
        <f>data!AF78</f>
        <v>0</v>
      </c>
      <c r="E158" s="14">
        <f>data!AG78</f>
        <v>4136.6789846793799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46035.291714780702</v>
      </c>
      <c r="F159" s="14">
        <f>data!AH79</f>
        <v>0</v>
      </c>
      <c r="G159" s="14">
        <f>data!AI79</f>
        <v>18083.275153459668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29.664570000000001</v>
      </c>
      <c r="F160" s="26">
        <f>data!AH80</f>
        <v>0</v>
      </c>
      <c r="G160" s="26">
        <f>data!AI80</f>
        <v>12.98922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VALLEY HOSPITAL AND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1086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379326.56999999995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33191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150000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1130.8200000000002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4608.46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5810.77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3490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69.55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1130.8200000000002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576496.35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4743</v>
      </c>
      <c r="D183" s="48">
        <f>+data!M704</f>
        <v>0</v>
      </c>
      <c r="E183" s="48">
        <f>+data!M705</f>
        <v>27109</v>
      </c>
      <c r="F183" s="48">
        <f>+data!M706</f>
        <v>0</v>
      </c>
      <c r="G183" s="48">
        <f>+data!M707</f>
        <v>0</v>
      </c>
      <c r="H183" s="48">
        <f>+data!M708</f>
        <v>247693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694865.1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2077267.9999999998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39269.75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2630167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734134.85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4707435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2.2818899999999998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VALLEY HOSPITAL AND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62617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25.43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1069114.8699999999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98502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829206.75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-893.90000000000009</v>
      </c>
      <c r="H208" s="14">
        <f>data!AX66</f>
        <v>0</v>
      </c>
      <c r="I208" s="14">
        <f>data!AY66</f>
        <v>64635.14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4480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1203.33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1372.8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-893.90000000000009</v>
      </c>
      <c r="H213" s="14">
        <f>data!AX71</f>
        <v>0</v>
      </c>
      <c r="I213" s="14">
        <f>data!AY71</f>
        <v>2068514.89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170914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762</v>
      </c>
      <c r="G220" s="14">
        <f>data!AW76</f>
        <v>0</v>
      </c>
      <c r="H220" s="14">
        <f>data!AX76</f>
        <v>0</v>
      </c>
      <c r="I220" s="85">
        <f>data!AY76</f>
        <v>5359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290.70823446700058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5641.344089608303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9.6541499999999996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VALLEY HOSPITAL AND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202634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5.87</v>
      </c>
      <c r="G234" s="26">
        <f>data!BD60</f>
        <v>5.07</v>
      </c>
      <c r="H234" s="26">
        <f>data!BE60</f>
        <v>10.44</v>
      </c>
      <c r="I234" s="26">
        <f>data!BF60</f>
        <v>24.98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215195.11000000004</v>
      </c>
      <c r="G235" s="14">
        <f>data!BD61</f>
        <v>258527.37</v>
      </c>
      <c r="H235" s="14">
        <f>data!BE61</f>
        <v>758344.76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20857</v>
      </c>
      <c r="G236" s="14">
        <f>data!BD62</f>
        <v>17187</v>
      </c>
      <c r="H236" s="14">
        <f>data!BE62</f>
        <v>73240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-123.51</v>
      </c>
      <c r="E238" s="14">
        <f>data!BB64</f>
        <v>0</v>
      </c>
      <c r="F238" s="14">
        <f>data!BC64</f>
        <v>0</v>
      </c>
      <c r="G238" s="14">
        <f>data!BD64</f>
        <v>-488624.88000000006</v>
      </c>
      <c r="H238" s="14">
        <f>data!BE64</f>
        <v>68964.789999999994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509063.35999999993</v>
      </c>
      <c r="E240" s="14">
        <f>data!BB66</f>
        <v>0</v>
      </c>
      <c r="F240" s="14">
        <f>data!BC66</f>
        <v>0</v>
      </c>
      <c r="G240" s="14">
        <f>data!BD66</f>
        <v>83520.510000000009</v>
      </c>
      <c r="H240" s="14">
        <f>data!BE66</f>
        <v>840083.0199999999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2386</v>
      </c>
      <c r="G241" s="14">
        <f>data!BD67</f>
        <v>7447</v>
      </c>
      <c r="H241" s="14">
        <f>data!BE67</f>
        <v>7112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55796.78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-8588.0499999999993</v>
      </c>
      <c r="H243" s="14">
        <f>data!BE69</f>
        <v>710060.26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508939.84999999992</v>
      </c>
      <c r="E245" s="14">
        <f>data!BB71</f>
        <v>0</v>
      </c>
      <c r="F245" s="14">
        <f>data!BC71</f>
        <v>238438.11000000004</v>
      </c>
      <c r="G245" s="14">
        <f>data!BD71</f>
        <v>-74734.270000000062</v>
      </c>
      <c r="H245" s="14">
        <f>data!BE71</f>
        <v>2457804.83</v>
      </c>
      <c r="I245" s="14">
        <f>data!BF71</f>
        <v>0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390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48771</v>
      </c>
      <c r="I252" s="85">
        <f>data!BF76</f>
        <v>2412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149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VALLEY HOSPITAL AND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1.04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20.2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43809.19999999999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928962.34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4013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77364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22875.099999999995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294399.36000000004</v>
      </c>
      <c r="G272" s="14">
        <f>data!BK66</f>
        <v>0</v>
      </c>
      <c r="H272" s="14">
        <f>data!BL66</f>
        <v>25508.3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1308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76.959999999999994</v>
      </c>
      <c r="G275" s="14">
        <f>data!BK69</f>
        <v>0</v>
      </c>
      <c r="H275" s="14">
        <f>data!BL69</f>
        <v>3251.99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47822.19999999999</v>
      </c>
      <c r="D277" s="14">
        <f>data!BH71</f>
        <v>0</v>
      </c>
      <c r="E277" s="14">
        <f>data!BI71</f>
        <v>0</v>
      </c>
      <c r="F277" s="14">
        <f>data!BJ71</f>
        <v>295784.32000000007</v>
      </c>
      <c r="G277" s="14">
        <f>data!BK71</f>
        <v>0</v>
      </c>
      <c r="H277" s="14">
        <f>data!BL71</f>
        <v>1057961.73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VALLEY HOSPITAL AND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8.5500000000000007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1308339.6299999999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177949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59478.96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3408624.13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410090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240494.66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5604976.3799999999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8421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1123</v>
      </c>
      <c r="H316" s="85">
        <f>data!BS76</f>
        <v>996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380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VALLEY HOSPITAL AND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3.33</v>
      </c>
      <c r="F330" s="26">
        <f>data!BX60</f>
        <v>11.59</v>
      </c>
      <c r="G330" s="26">
        <f>data!BY60</f>
        <v>8.69</v>
      </c>
      <c r="H330" s="26">
        <f>data!BZ60</f>
        <v>0.49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165713.82</v>
      </c>
      <c r="F331" s="86">
        <f>data!BX61</f>
        <v>1135961.4899999998</v>
      </c>
      <c r="G331" s="86">
        <f>data!BY61</f>
        <v>914623.65</v>
      </c>
      <c r="H331" s="86">
        <f>data!BZ61</f>
        <v>51553.54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16313</v>
      </c>
      <c r="F332" s="86">
        <f>data!BX62</f>
        <v>105976</v>
      </c>
      <c r="G332" s="86">
        <f>data!BY62</f>
        <v>69222</v>
      </c>
      <c r="H332" s="86">
        <f>data!BZ62</f>
        <v>35310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4875</v>
      </c>
      <c r="F333" s="86">
        <f>data!BX63</f>
        <v>-320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5298.4099999999989</v>
      </c>
      <c r="F334" s="86">
        <f>data!BX64</f>
        <v>5511.84</v>
      </c>
      <c r="G334" s="86">
        <f>data!BY64</f>
        <v>251.36</v>
      </c>
      <c r="H334" s="86">
        <f>data!BZ64</f>
        <v>48.96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25733.63</v>
      </c>
      <c r="F336" s="86">
        <f>data!BX66</f>
        <v>55405.36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171821.04000000004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12350.09</v>
      </c>
      <c r="F339" s="86">
        <f>data!BX69</f>
        <v>14801.72</v>
      </c>
      <c r="G339" s="86">
        <f>data!BY69</f>
        <v>0</v>
      </c>
      <c r="H339" s="86">
        <f>data!BZ69</f>
        <v>202.5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230283.95</v>
      </c>
      <c r="F341" s="14">
        <f>data!BX71</f>
        <v>1317336.4099999999</v>
      </c>
      <c r="G341" s="14">
        <f>data!BY71</f>
        <v>1155918.05</v>
      </c>
      <c r="H341" s="14">
        <f>data!BZ71</f>
        <v>87115.000000000015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2596</v>
      </c>
      <c r="E348" s="85">
        <f>data!BW76</f>
        <v>0</v>
      </c>
      <c r="F348" s="85">
        <f>data!BX76</f>
        <v>0</v>
      </c>
      <c r="G348" s="85">
        <f>data!BY76</f>
        <v>7261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990</v>
      </c>
      <c r="E350" s="85">
        <f>data!BW78</f>
        <v>0</v>
      </c>
      <c r="F350" s="85">
        <f>data!BX78</f>
        <v>0</v>
      </c>
      <c r="G350" s="85">
        <f>data!BY78</f>
        <v>2770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VALLEY HOSPITAL AND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71.819999999999993</v>
      </c>
      <c r="E362" s="217"/>
      <c r="F362" s="211"/>
      <c r="G362" s="211"/>
      <c r="H362" s="211"/>
      <c r="I362" s="87">
        <f>data!CE60</f>
        <v>616.61000000000013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4921667.28</v>
      </c>
      <c r="E363" s="218"/>
      <c r="F363" s="219"/>
      <c r="G363" s="219"/>
      <c r="H363" s="219"/>
      <c r="I363" s="86">
        <f>data!CE61</f>
        <v>48078760.760000005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8052176</v>
      </c>
      <c r="E364" s="218"/>
      <c r="F364" s="219"/>
      <c r="G364" s="219"/>
      <c r="H364" s="219"/>
      <c r="I364" s="86">
        <f>data!CE62</f>
        <v>12015795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413754.23000000004</v>
      </c>
      <c r="E365" s="218"/>
      <c r="F365" s="219"/>
      <c r="G365" s="219"/>
      <c r="H365" s="219"/>
      <c r="I365" s="86">
        <f>data!CE63</f>
        <v>4004050.02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449061.22999999992</v>
      </c>
      <c r="E366" s="218"/>
      <c r="F366" s="219"/>
      <c r="G366" s="219"/>
      <c r="H366" s="219"/>
      <c r="I366" s="86">
        <f>data!CE64</f>
        <v>26996468.020000003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4501004.17</v>
      </c>
      <c r="E368" s="218"/>
      <c r="F368" s="219"/>
      <c r="G368" s="219"/>
      <c r="H368" s="219"/>
      <c r="I368" s="86">
        <f>data!CE66</f>
        <v>12410036.899999999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2647549</v>
      </c>
      <c r="E369" s="218"/>
      <c r="F369" s="219"/>
      <c r="G369" s="219"/>
      <c r="H369" s="219"/>
      <c r="I369" s="86">
        <f>data!CE67</f>
        <v>4960418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27084.029999999995</v>
      </c>
      <c r="E370" s="218"/>
      <c r="F370" s="219"/>
      <c r="G370" s="219"/>
      <c r="H370" s="219"/>
      <c r="I370" s="86">
        <f>data!CE68</f>
        <v>787439.62000000011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5610622.5</v>
      </c>
      <c r="E371" s="86">
        <f>data!CD69</f>
        <v>3067282.3600000008</v>
      </c>
      <c r="F371" s="219"/>
      <c r="G371" s="219"/>
      <c r="H371" s="219"/>
      <c r="I371" s="86">
        <f>data!CE69</f>
        <v>9750040.1500000004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26622918.440000005</v>
      </c>
      <c r="E373" s="86">
        <f>data!CD71</f>
        <v>3067282.3600000008</v>
      </c>
      <c r="F373" s="219"/>
      <c r="G373" s="219"/>
      <c r="H373" s="219"/>
      <c r="I373" s="14">
        <f>data!CE71</f>
        <v>119003008.47000003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295844862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404042249.0399999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699887111.04000008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202634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62617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52093.718267568904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229963.47537703137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175.52999999999997</v>
      </c>
    </row>
  </sheetData>
  <customSheetViews>
    <customSheetView guid="{AF224140-1822-4D55-AA68-8E6ECE9F00FA}" scale="65" showGridLines="0">
      <selection activeCell="A386" sqref="A386"/>
      <rowBreaks count="12" manualBreakCount="12">
        <brk id="32" max="65535" man="1"/>
        <brk id="64" max="65535" man="1"/>
        <brk id="96" max="65535" man="1"/>
        <brk id="128" max="65535" man="1"/>
        <brk id="160" max="65535" man="1"/>
        <brk id="192" max="65535" man="1"/>
        <brk id="224" max="65535" man="1"/>
        <brk id="256" max="65535" man="1"/>
        <brk id="288" max="65535" man="1"/>
        <brk id="320" max="65535" man="1"/>
        <brk id="352" max="65535" man="1"/>
        <brk id="410" max="65535" man="1"/>
      </rowBreaks>
      <pageMargins left="0" right="0" top="0" bottom="0" header="0" footer="0"/>
      <printOptions horizontalCentered="1" verticalCentered="1"/>
      <pageSetup scale="83" fitToHeight="12" orientation="landscape" r:id="rId1"/>
      <headerFooter alignWithMargins="0"/>
    </customSheetView>
    <customSheetView guid="{29C7D28D-A8D9-464F-A1BE-6E19ABDAC2B2}" scale="65" showGridLines="0">
      <selection activeCell="A386" sqref="A386"/>
      <rowBreaks count="12" manualBreakCount="12">
        <brk id="32" max="65535" man="1"/>
        <brk id="64" max="65535" man="1"/>
        <brk id="96" max="65535" man="1"/>
        <brk id="128" max="65535" man="1"/>
        <brk id="160" max="65535" man="1"/>
        <brk id="192" max="65535" man="1"/>
        <brk id="224" max="65535" man="1"/>
        <brk id="256" max="65535" man="1"/>
        <brk id="288" max="65535" man="1"/>
        <brk id="320" max="65535" man="1"/>
        <brk id="352" max="65535" man="1"/>
        <brk id="410" max="65535" man="1"/>
      </rowBreaks>
      <pageMargins left="0" right="0" top="0" bottom="0" header="0" footer="0"/>
      <printOptions horizontalCentered="1" verticalCentered="1"/>
      <pageSetup scale="83" fitToHeight="12" orientation="landscape" r:id="rId2"/>
      <headerFooter alignWithMargins="0"/>
    </customSheetView>
    <customSheetView guid="{1565D254-C65C-4A11-B9EA-4BF10C869FB8}" scale="65" showGridLines="0">
      <selection activeCell="A386" sqref="A386"/>
      <rowBreaks count="12" manualBreakCount="12">
        <brk id="32" max="65535" man="1"/>
        <brk id="64" max="65535" man="1"/>
        <brk id="96" max="65535" man="1"/>
        <brk id="128" max="65535" man="1"/>
        <brk id="160" max="65535" man="1"/>
        <brk id="192" max="65535" man="1"/>
        <brk id="224" max="65535" man="1"/>
        <brk id="256" max="65535" man="1"/>
        <brk id="288" max="65535" man="1"/>
        <brk id="320" max="65535" man="1"/>
        <brk id="352" max="65535" man="1"/>
        <brk id="410" max="65535" man="1"/>
      </rowBreaks>
      <pageMargins left="0" right="0" top="0" bottom="0" header="0" footer="0"/>
      <printOptions horizontalCentered="1" verticalCentered="1"/>
      <pageSetup scale="83" fitToHeight="12" orientation="landscape" r:id="rId3"/>
      <headerFooter alignWithMargins="0"/>
    </customSheetView>
    <customSheetView guid="{A66A08DC-EE53-4B68-9567-69AEF466998B}" scale="65" showGridLines="0">
      <selection activeCell="A386" sqref="A386"/>
      <rowBreaks count="12" manualBreakCount="12">
        <brk id="32" max="65535" man="1"/>
        <brk id="64" max="65535" man="1"/>
        <brk id="96" max="65535" man="1"/>
        <brk id="128" max="65535" man="1"/>
        <brk id="160" max="65535" man="1"/>
        <brk id="192" max="65535" man="1"/>
        <brk id="224" max="65535" man="1"/>
        <brk id="256" max="65535" man="1"/>
        <brk id="288" max="65535" man="1"/>
        <brk id="320" max="65535" man="1"/>
        <brk id="352" max="65535" man="1"/>
        <brk id="410" max="65535" man="1"/>
      </rowBreaks>
      <pageMargins left="0" right="0" top="0" bottom="0" header="0" footer="0"/>
      <printOptions horizontalCentered="1" verticalCentered="1"/>
      <pageSetup scale="83" fitToHeight="12" orientation="landscape" r:id="rId4"/>
      <headerFooter alignWithMargins="0"/>
    </customSheetView>
  </customSheetViews>
  <phoneticPr fontId="0" type="noConversion"/>
  <printOptions horizontalCentered="1" verticalCentered="1"/>
  <pageMargins left="0" right="0" top="0" bottom="0" header="0" footer="0"/>
  <pageSetup scale="83" fitToHeight="12" orientation="landscape" r:id="rId5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12015794.450000001</v>
      </c>
      <c r="C47" s="184">
        <v>275325.88</v>
      </c>
      <c r="D47" s="184">
        <v>497595.98000000004</v>
      </c>
      <c r="E47" s="184">
        <v>54034.159999999989</v>
      </c>
      <c r="F47" s="184">
        <v>231276.53999999998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607900.61</v>
      </c>
      <c r="Q47" s="184">
        <v>0</v>
      </c>
      <c r="R47" s="184">
        <v>167713.60000000001</v>
      </c>
      <c r="S47" s="184">
        <v>20568.830000000002</v>
      </c>
      <c r="T47" s="184">
        <v>0</v>
      </c>
      <c r="U47" s="184">
        <v>128074.95000000001</v>
      </c>
      <c r="V47" s="184">
        <v>0</v>
      </c>
      <c r="W47" s="184">
        <v>20870.32</v>
      </c>
      <c r="X47" s="184">
        <v>49297.560000000005</v>
      </c>
      <c r="Y47" s="184">
        <v>233018.78000000003</v>
      </c>
      <c r="Z47" s="184">
        <v>0</v>
      </c>
      <c r="AA47" s="184">
        <v>22205.3</v>
      </c>
      <c r="AB47" s="184">
        <v>128779.57999999999</v>
      </c>
      <c r="AC47" s="184">
        <v>134246.37000000002</v>
      </c>
      <c r="AD47" s="184">
        <v>0</v>
      </c>
      <c r="AE47" s="184">
        <v>49753.33</v>
      </c>
      <c r="AF47" s="184">
        <v>0</v>
      </c>
      <c r="AG47" s="184">
        <v>415388.99</v>
      </c>
      <c r="AH47" s="184">
        <v>0</v>
      </c>
      <c r="AI47" s="184">
        <v>180661.12</v>
      </c>
      <c r="AJ47" s="184">
        <v>17782.22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33191.24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98502.29</v>
      </c>
      <c r="AZ47" s="184">
        <v>0</v>
      </c>
      <c r="BA47" s="184">
        <v>0</v>
      </c>
      <c r="BB47" s="184">
        <v>0</v>
      </c>
      <c r="BC47" s="184">
        <v>20857.18</v>
      </c>
      <c r="BD47" s="184">
        <v>17186.740000000002</v>
      </c>
      <c r="BE47" s="184">
        <v>73240.079999999987</v>
      </c>
      <c r="BF47" s="184">
        <v>0</v>
      </c>
      <c r="BG47" s="184">
        <v>4012.9</v>
      </c>
      <c r="BH47" s="184">
        <v>0</v>
      </c>
      <c r="BI47" s="184">
        <v>0</v>
      </c>
      <c r="BJ47" s="184">
        <v>0</v>
      </c>
      <c r="BK47" s="184">
        <v>0</v>
      </c>
      <c r="BL47" s="184">
        <v>77363.969999999987</v>
      </c>
      <c r="BM47" s="184">
        <v>0</v>
      </c>
      <c r="BN47" s="184">
        <v>177949.00000000003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16312.950000000003</v>
      </c>
      <c r="BX47" s="184">
        <v>105975.95999999998</v>
      </c>
      <c r="BY47" s="184">
        <v>69222.38</v>
      </c>
      <c r="BZ47" s="184">
        <v>35309.56</v>
      </c>
      <c r="CA47" s="184">
        <v>0</v>
      </c>
      <c r="CB47" s="184">
        <v>0</v>
      </c>
      <c r="CC47" s="184">
        <v>8052176.0800000001</v>
      </c>
      <c r="CD47" s="195"/>
      <c r="CE47" s="195">
        <f>SUM(C47:CC47)</f>
        <v>12015794.450000001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12015794.450000001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4960417.51</v>
      </c>
      <c r="C51" s="184">
        <v>143109.21999999997</v>
      </c>
      <c r="D51" s="184">
        <v>4245.6000000000004</v>
      </c>
      <c r="E51" s="184">
        <v>30624</v>
      </c>
      <c r="F51" s="184">
        <v>1437.45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73540.239999999991</v>
      </c>
      <c r="P51" s="184">
        <v>767350.5199999999</v>
      </c>
      <c r="Q51" s="184">
        <v>0</v>
      </c>
      <c r="R51" s="184">
        <v>79400.249999999985</v>
      </c>
      <c r="S51" s="184">
        <v>0</v>
      </c>
      <c r="T51" s="184">
        <v>0</v>
      </c>
      <c r="U51" s="184">
        <v>22610.879999999997</v>
      </c>
      <c r="V51" s="184">
        <v>0</v>
      </c>
      <c r="W51" s="184">
        <v>194425.97</v>
      </c>
      <c r="X51" s="184">
        <v>72527.669999999984</v>
      </c>
      <c r="Y51" s="184">
        <v>220854.56000000003</v>
      </c>
      <c r="Z51" s="184">
        <v>0</v>
      </c>
      <c r="AA51" s="184">
        <v>82741.389999999985</v>
      </c>
      <c r="AB51" s="184">
        <v>3903.69</v>
      </c>
      <c r="AC51" s="184">
        <v>16158.799999999997</v>
      </c>
      <c r="AD51" s="184">
        <v>0</v>
      </c>
      <c r="AE51" s="184">
        <v>0</v>
      </c>
      <c r="AF51" s="184">
        <v>0</v>
      </c>
      <c r="AG51" s="184">
        <v>41502.559999999998</v>
      </c>
      <c r="AH51" s="184">
        <v>0</v>
      </c>
      <c r="AI51" s="184">
        <v>120424.12000000001</v>
      </c>
      <c r="AJ51" s="184">
        <v>0</v>
      </c>
      <c r="AK51" s="184">
        <v>1698.24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3490.26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4480.17</v>
      </c>
      <c r="AZ51" s="184">
        <v>0</v>
      </c>
      <c r="BA51" s="184">
        <v>0</v>
      </c>
      <c r="BB51" s="184">
        <v>0</v>
      </c>
      <c r="BC51" s="184">
        <v>2386.2800000000002</v>
      </c>
      <c r="BD51" s="184">
        <v>7447.2000000000016</v>
      </c>
      <c r="BE51" s="184">
        <v>7111.73</v>
      </c>
      <c r="BF51" s="184">
        <v>0</v>
      </c>
      <c r="BG51" s="184">
        <v>0</v>
      </c>
      <c r="BH51" s="184">
        <v>0</v>
      </c>
      <c r="BI51" s="184">
        <v>0</v>
      </c>
      <c r="BJ51" s="184">
        <v>1307.9000000000001</v>
      </c>
      <c r="BK51" s="184">
        <v>0</v>
      </c>
      <c r="BL51" s="184">
        <v>0</v>
      </c>
      <c r="BM51" s="184">
        <v>0</v>
      </c>
      <c r="BN51" s="184">
        <v>410090.1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2647548.71</v>
      </c>
      <c r="CD51" s="195"/>
      <c r="CE51" s="195">
        <f>SUM(C51:CD51)</f>
        <v>4960417.51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4960417.51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2632</v>
      </c>
      <c r="D59" s="184">
        <v>14348</v>
      </c>
      <c r="E59" s="184"/>
      <c r="F59" s="184">
        <v>1352</v>
      </c>
      <c r="G59" s="184"/>
      <c r="H59" s="184"/>
      <c r="I59" s="184"/>
      <c r="J59" s="184"/>
      <c r="K59" s="184"/>
      <c r="L59" s="184"/>
      <c r="M59" s="184"/>
      <c r="N59" s="184"/>
      <c r="O59" s="184">
        <v>651</v>
      </c>
      <c r="P59" s="185">
        <v>654109</v>
      </c>
      <c r="Q59" s="185"/>
      <c r="R59" s="185">
        <v>1239013</v>
      </c>
      <c r="S59" s="248"/>
      <c r="T59" s="248"/>
      <c r="U59" s="224">
        <v>380545</v>
      </c>
      <c r="V59" s="185">
        <v>14331</v>
      </c>
      <c r="W59" s="185">
        <v>16152</v>
      </c>
      <c r="X59" s="185">
        <v>15497</v>
      </c>
      <c r="Y59" s="185">
        <v>48446</v>
      </c>
      <c r="Z59" s="185"/>
      <c r="AA59" s="185">
        <v>13930</v>
      </c>
      <c r="AB59" s="248"/>
      <c r="AC59" s="185">
        <v>32564</v>
      </c>
      <c r="AD59" s="185"/>
      <c r="AE59" s="185">
        <v>13828</v>
      </c>
      <c r="AF59" s="185"/>
      <c r="AG59" s="185">
        <v>43023</v>
      </c>
      <c r="AH59" s="185"/>
      <c r="AI59" s="185">
        <v>2139</v>
      </c>
      <c r="AJ59" s="185">
        <v>4698</v>
      </c>
      <c r="AK59" s="185">
        <v>3388</v>
      </c>
      <c r="AL59" s="185">
        <v>1086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62617</v>
      </c>
      <c r="AZ59" s="185"/>
      <c r="BA59" s="248"/>
      <c r="BB59" s="248"/>
      <c r="BC59" s="248"/>
      <c r="BD59" s="248"/>
      <c r="BE59" s="185">
        <v>202634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28.46</v>
      </c>
      <c r="D60" s="187">
        <v>68.569999999999993</v>
      </c>
      <c r="E60" s="187">
        <v>13.45</v>
      </c>
      <c r="F60" s="223">
        <v>23.55</v>
      </c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78.81</v>
      </c>
      <c r="Q60" s="221"/>
      <c r="R60" s="221">
        <v>16.02</v>
      </c>
      <c r="S60" s="221">
        <v>5.85</v>
      </c>
      <c r="T60" s="221"/>
      <c r="U60" s="221">
        <v>23.77</v>
      </c>
      <c r="V60" s="221"/>
      <c r="W60" s="221">
        <v>2.94</v>
      </c>
      <c r="X60" s="221">
        <v>7.57</v>
      </c>
      <c r="Y60" s="221">
        <v>29.94</v>
      </c>
      <c r="Z60" s="221"/>
      <c r="AA60" s="221">
        <v>3.09</v>
      </c>
      <c r="AB60" s="221">
        <v>15.17</v>
      </c>
      <c r="AC60" s="221">
        <v>16.98</v>
      </c>
      <c r="AD60" s="221"/>
      <c r="AE60" s="221">
        <v>5.68</v>
      </c>
      <c r="AF60" s="221"/>
      <c r="AG60" s="221">
        <v>53.59</v>
      </c>
      <c r="AH60" s="221"/>
      <c r="AI60" s="221">
        <v>24.26</v>
      </c>
      <c r="AJ60" s="221">
        <v>1.41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25.43</v>
      </c>
      <c r="AZ60" s="221"/>
      <c r="BA60" s="221"/>
      <c r="BB60" s="221"/>
      <c r="BC60" s="221">
        <v>5.87</v>
      </c>
      <c r="BD60" s="221">
        <v>5.07</v>
      </c>
      <c r="BE60" s="221">
        <v>10.44</v>
      </c>
      <c r="BF60" s="221">
        <v>24.98</v>
      </c>
      <c r="BG60" s="221">
        <v>1.04</v>
      </c>
      <c r="BH60" s="221"/>
      <c r="BI60" s="221"/>
      <c r="BJ60" s="221"/>
      <c r="BK60" s="221"/>
      <c r="BL60" s="221">
        <v>20.2</v>
      </c>
      <c r="BM60" s="221"/>
      <c r="BN60" s="221">
        <v>8.5500000000000007</v>
      </c>
      <c r="BO60" s="221"/>
      <c r="BP60" s="221"/>
      <c r="BQ60" s="221"/>
      <c r="BR60" s="221"/>
      <c r="BS60" s="221"/>
      <c r="BT60" s="221"/>
      <c r="BU60" s="221"/>
      <c r="BV60" s="221"/>
      <c r="BW60" s="221">
        <v>3.33</v>
      </c>
      <c r="BX60" s="221">
        <v>11.59</v>
      </c>
      <c r="BY60" s="221">
        <v>8.69</v>
      </c>
      <c r="BZ60" s="221">
        <v>0.49</v>
      </c>
      <c r="CA60" s="221"/>
      <c r="CB60" s="221"/>
      <c r="CC60" s="221">
        <v>71.819999999999993</v>
      </c>
      <c r="CD60" s="249" t="s">
        <v>221</v>
      </c>
      <c r="CE60" s="251">
        <f t="shared" ref="CE60:CE70" si="0">SUM(C60:CD60)</f>
        <v>616.61000000000013</v>
      </c>
    </row>
    <row r="61" spans="1:84" ht="12.6" customHeight="1" x14ac:dyDescent="0.25">
      <c r="A61" s="171" t="s">
        <v>235</v>
      </c>
      <c r="B61" s="175"/>
      <c r="C61" s="184">
        <v>2859328.6799999997</v>
      </c>
      <c r="D61" s="184">
        <v>5764012.5099999998</v>
      </c>
      <c r="E61" s="184">
        <v>614450.79999999993</v>
      </c>
      <c r="F61" s="184">
        <v>2628965.38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23880</v>
      </c>
      <c r="P61" s="184">
        <v>6826481.580000001</v>
      </c>
      <c r="Q61" s="184">
        <v>0</v>
      </c>
      <c r="R61" s="184">
        <v>1797188.0199999998</v>
      </c>
      <c r="S61" s="184">
        <v>233212.66</v>
      </c>
      <c r="T61" s="184">
        <v>0</v>
      </c>
      <c r="U61" s="184">
        <v>1418371.1099999999</v>
      </c>
      <c r="V61" s="184">
        <v>0</v>
      </c>
      <c r="W61" s="184">
        <v>236761.63999999996</v>
      </c>
      <c r="X61" s="184">
        <v>577959.36</v>
      </c>
      <c r="Y61" s="184">
        <v>2447601.5700000003</v>
      </c>
      <c r="Z61" s="184">
        <v>0</v>
      </c>
      <c r="AA61" s="184">
        <v>252542.64</v>
      </c>
      <c r="AB61" s="184">
        <v>1491031.51</v>
      </c>
      <c r="AC61" s="184">
        <v>1417340.1899999997</v>
      </c>
      <c r="AD61" s="184">
        <v>0</v>
      </c>
      <c r="AE61" s="184">
        <v>526404.82999999996</v>
      </c>
      <c r="AF61" s="184">
        <v>0</v>
      </c>
      <c r="AG61" s="184">
        <v>4613696</v>
      </c>
      <c r="AH61" s="184">
        <v>0</v>
      </c>
      <c r="AI61" s="184">
        <v>2031256.7600000002</v>
      </c>
      <c r="AJ61" s="184">
        <v>167135.88999999998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0</v>
      </c>
      <c r="AQ61" s="184">
        <v>379326.56999999995</v>
      </c>
      <c r="AR61" s="184">
        <v>0</v>
      </c>
      <c r="AS61" s="184">
        <v>0</v>
      </c>
      <c r="AT61" s="184">
        <v>0</v>
      </c>
      <c r="AU61" s="184">
        <v>0</v>
      </c>
      <c r="AV61" s="184">
        <v>0</v>
      </c>
      <c r="AW61" s="184">
        <v>0</v>
      </c>
      <c r="AX61" s="184">
        <v>0</v>
      </c>
      <c r="AY61" s="184">
        <v>1069114.8699999999</v>
      </c>
      <c r="AZ61" s="184">
        <v>0</v>
      </c>
      <c r="BA61" s="184">
        <v>0</v>
      </c>
      <c r="BB61" s="184">
        <v>0</v>
      </c>
      <c r="BC61" s="184">
        <v>215195.11000000004</v>
      </c>
      <c r="BD61" s="184">
        <v>258527.37</v>
      </c>
      <c r="BE61" s="184">
        <v>758344.76</v>
      </c>
      <c r="BF61" s="184">
        <v>0</v>
      </c>
      <c r="BG61" s="184">
        <v>43809.19999999999</v>
      </c>
      <c r="BH61" s="184">
        <v>0</v>
      </c>
      <c r="BI61" s="184">
        <v>0</v>
      </c>
      <c r="BJ61" s="184">
        <v>0</v>
      </c>
      <c r="BK61" s="184">
        <v>0</v>
      </c>
      <c r="BL61" s="184">
        <v>928962.34</v>
      </c>
      <c r="BM61" s="184">
        <v>0</v>
      </c>
      <c r="BN61" s="184">
        <v>1308339.6299999999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165713.82</v>
      </c>
      <c r="BX61" s="184">
        <v>1135961.4899999998</v>
      </c>
      <c r="BY61" s="184">
        <v>914623.65</v>
      </c>
      <c r="BZ61" s="184">
        <v>51553.54</v>
      </c>
      <c r="CA61" s="184">
        <v>0</v>
      </c>
      <c r="CB61" s="184">
        <v>0</v>
      </c>
      <c r="CC61" s="184">
        <v>4921667.28</v>
      </c>
      <c r="CD61" s="249" t="s">
        <v>221</v>
      </c>
      <c r="CE61" s="195">
        <f t="shared" si="0"/>
        <v>48078760.760000005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275326</v>
      </c>
      <c r="D62" s="195">
        <f t="shared" si="1"/>
        <v>497596</v>
      </c>
      <c r="E62" s="195">
        <f t="shared" si="1"/>
        <v>54034</v>
      </c>
      <c r="F62" s="195">
        <f t="shared" si="1"/>
        <v>231277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607901</v>
      </c>
      <c r="Q62" s="195">
        <f t="shared" si="1"/>
        <v>0</v>
      </c>
      <c r="R62" s="195">
        <f t="shared" si="1"/>
        <v>167714</v>
      </c>
      <c r="S62" s="195">
        <f t="shared" si="1"/>
        <v>20569</v>
      </c>
      <c r="T62" s="195">
        <f t="shared" si="1"/>
        <v>0</v>
      </c>
      <c r="U62" s="195">
        <f t="shared" si="1"/>
        <v>128075</v>
      </c>
      <c r="V62" s="195">
        <f t="shared" si="1"/>
        <v>0</v>
      </c>
      <c r="W62" s="195">
        <f t="shared" si="1"/>
        <v>20870</v>
      </c>
      <c r="X62" s="195">
        <f t="shared" si="1"/>
        <v>49298</v>
      </c>
      <c r="Y62" s="195">
        <f t="shared" si="1"/>
        <v>233019</v>
      </c>
      <c r="Z62" s="195">
        <f t="shared" si="1"/>
        <v>0</v>
      </c>
      <c r="AA62" s="195">
        <f t="shared" si="1"/>
        <v>22205</v>
      </c>
      <c r="AB62" s="195">
        <f t="shared" si="1"/>
        <v>128780</v>
      </c>
      <c r="AC62" s="195">
        <f t="shared" si="1"/>
        <v>134246</v>
      </c>
      <c r="AD62" s="195">
        <f t="shared" si="1"/>
        <v>0</v>
      </c>
      <c r="AE62" s="195">
        <f t="shared" si="1"/>
        <v>49753</v>
      </c>
      <c r="AF62" s="195">
        <f t="shared" si="1"/>
        <v>0</v>
      </c>
      <c r="AG62" s="195">
        <f t="shared" si="1"/>
        <v>415389</v>
      </c>
      <c r="AH62" s="195">
        <f t="shared" si="1"/>
        <v>0</v>
      </c>
      <c r="AI62" s="195">
        <f t="shared" si="1"/>
        <v>180661</v>
      </c>
      <c r="AJ62" s="195">
        <f t="shared" si="1"/>
        <v>17782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33191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98502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20857</v>
      </c>
      <c r="BD62" s="195">
        <f t="shared" si="1"/>
        <v>17187</v>
      </c>
      <c r="BE62" s="195">
        <f t="shared" si="1"/>
        <v>73240</v>
      </c>
      <c r="BF62" s="195">
        <f t="shared" si="1"/>
        <v>0</v>
      </c>
      <c r="BG62" s="195">
        <f t="shared" si="1"/>
        <v>4013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77364</v>
      </c>
      <c r="BM62" s="195">
        <f t="shared" si="1"/>
        <v>0</v>
      </c>
      <c r="BN62" s="195">
        <f t="shared" si="1"/>
        <v>177949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16313</v>
      </c>
      <c r="BX62" s="195">
        <f t="shared" si="2"/>
        <v>105976</v>
      </c>
      <c r="BY62" s="195">
        <f t="shared" si="2"/>
        <v>69222</v>
      </c>
      <c r="BZ62" s="195">
        <f t="shared" si="2"/>
        <v>35310</v>
      </c>
      <c r="CA62" s="195">
        <f t="shared" si="2"/>
        <v>0</v>
      </c>
      <c r="CB62" s="195">
        <f t="shared" si="2"/>
        <v>0</v>
      </c>
      <c r="CC62" s="195">
        <f t="shared" si="2"/>
        <v>8052176</v>
      </c>
      <c r="CD62" s="249" t="s">
        <v>221</v>
      </c>
      <c r="CE62" s="195">
        <f t="shared" si="0"/>
        <v>12015795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58000</v>
      </c>
      <c r="Q63" s="184">
        <v>0</v>
      </c>
      <c r="R63" s="184">
        <v>1344043.85</v>
      </c>
      <c r="S63" s="184">
        <v>0</v>
      </c>
      <c r="T63" s="184">
        <v>0</v>
      </c>
      <c r="U63" s="184">
        <v>16200</v>
      </c>
      <c r="V63" s="184">
        <v>9830</v>
      </c>
      <c r="W63" s="184">
        <v>8450</v>
      </c>
      <c r="X63" s="184">
        <v>2937.6</v>
      </c>
      <c r="Y63" s="184">
        <v>9767.34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1986512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150000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4875</v>
      </c>
      <c r="BX63" s="184">
        <v>-320</v>
      </c>
      <c r="BY63" s="184">
        <v>0</v>
      </c>
      <c r="BZ63" s="184">
        <v>0</v>
      </c>
      <c r="CA63" s="184">
        <v>0</v>
      </c>
      <c r="CB63" s="184">
        <v>0</v>
      </c>
      <c r="CC63" s="184">
        <v>413754.23000000004</v>
      </c>
      <c r="CD63" s="249" t="s">
        <v>221</v>
      </c>
      <c r="CE63" s="195">
        <f t="shared" si="0"/>
        <v>4004050.02</v>
      </c>
      <c r="CF63" s="252"/>
    </row>
    <row r="64" spans="1:84" ht="12.6" customHeight="1" x14ac:dyDescent="0.25">
      <c r="A64" s="171" t="s">
        <v>237</v>
      </c>
      <c r="B64" s="175"/>
      <c r="C64" s="184">
        <v>142270.01999999999</v>
      </c>
      <c r="D64" s="184">
        <v>784689.79999999993</v>
      </c>
      <c r="E64" s="184">
        <v>359449.87999999995</v>
      </c>
      <c r="F64" s="184">
        <v>116902.2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118206.28</v>
      </c>
      <c r="P64" s="184">
        <v>15559648.98</v>
      </c>
      <c r="Q64" s="184">
        <v>0</v>
      </c>
      <c r="R64" s="184">
        <v>338082.51</v>
      </c>
      <c r="S64" s="184">
        <v>314056.88</v>
      </c>
      <c r="T64" s="184">
        <v>0</v>
      </c>
      <c r="U64" s="184">
        <v>2099108.11</v>
      </c>
      <c r="V64" s="184">
        <v>775.5</v>
      </c>
      <c r="W64" s="184">
        <v>3658.5199999999995</v>
      </c>
      <c r="X64" s="184">
        <v>116298.03999999998</v>
      </c>
      <c r="Y64" s="184">
        <v>1213113.7000000002</v>
      </c>
      <c r="Z64" s="184">
        <v>0</v>
      </c>
      <c r="AA64" s="184">
        <v>433201.99</v>
      </c>
      <c r="AB64" s="184">
        <v>3244665.5300000003</v>
      </c>
      <c r="AC64" s="184">
        <v>195257.94</v>
      </c>
      <c r="AD64" s="184">
        <v>0</v>
      </c>
      <c r="AE64" s="184">
        <v>1360.68</v>
      </c>
      <c r="AF64" s="184">
        <v>0</v>
      </c>
      <c r="AG64" s="184">
        <v>848499.08000000007</v>
      </c>
      <c r="AH64" s="184">
        <v>0</v>
      </c>
      <c r="AI64" s="184">
        <v>111920.77</v>
      </c>
      <c r="AJ64" s="184">
        <v>37582.129999999997</v>
      </c>
      <c r="AK64" s="184">
        <v>31.19</v>
      </c>
      <c r="AL64" s="184">
        <v>1130.8200000000002</v>
      </c>
      <c r="AM64" s="184">
        <v>0</v>
      </c>
      <c r="AN64" s="184">
        <v>0</v>
      </c>
      <c r="AO64" s="184">
        <v>0</v>
      </c>
      <c r="AP64" s="184">
        <v>0</v>
      </c>
      <c r="AQ64" s="184">
        <v>4608.46</v>
      </c>
      <c r="AR64" s="184">
        <v>0</v>
      </c>
      <c r="AS64" s="184">
        <v>0</v>
      </c>
      <c r="AT64" s="184">
        <v>0</v>
      </c>
      <c r="AU64" s="184">
        <v>0</v>
      </c>
      <c r="AV64" s="184">
        <v>0</v>
      </c>
      <c r="AW64" s="184">
        <v>0</v>
      </c>
      <c r="AX64" s="184">
        <v>0</v>
      </c>
      <c r="AY64" s="184">
        <v>829206.75</v>
      </c>
      <c r="AZ64" s="184">
        <v>0</v>
      </c>
      <c r="BA64" s="184">
        <v>-123.51</v>
      </c>
      <c r="BB64" s="184">
        <v>0</v>
      </c>
      <c r="BC64" s="184">
        <v>0</v>
      </c>
      <c r="BD64" s="184">
        <v>-488624.88000000006</v>
      </c>
      <c r="BE64" s="184">
        <v>68964.789999999994</v>
      </c>
      <c r="BF64" s="184">
        <v>0</v>
      </c>
      <c r="BG64" s="184">
        <v>0</v>
      </c>
      <c r="BH64" s="184">
        <v>0</v>
      </c>
      <c r="BI64" s="184">
        <v>0</v>
      </c>
      <c r="BJ64" s="184">
        <v>0</v>
      </c>
      <c r="BK64" s="184">
        <v>0</v>
      </c>
      <c r="BL64" s="184">
        <v>22875.099999999995</v>
      </c>
      <c r="BM64" s="184">
        <v>0</v>
      </c>
      <c r="BN64" s="184">
        <v>59478.96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5298.4099999999989</v>
      </c>
      <c r="BX64" s="184">
        <v>5511.84</v>
      </c>
      <c r="BY64" s="184">
        <v>251.36</v>
      </c>
      <c r="BZ64" s="184">
        <v>48.96</v>
      </c>
      <c r="CA64" s="184">
        <v>0</v>
      </c>
      <c r="CB64" s="184">
        <v>0</v>
      </c>
      <c r="CC64" s="184">
        <v>449061.22999999992</v>
      </c>
      <c r="CD64" s="249" t="s">
        <v>221</v>
      </c>
      <c r="CE64" s="195">
        <f t="shared" si="0"/>
        <v>26996468.020000003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/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4"/>
      <c r="BD65" s="184"/>
      <c r="BE65" s="184"/>
      <c r="BF65" s="184"/>
      <c r="BG65" s="184"/>
      <c r="BH65" s="184"/>
      <c r="BI65" s="184"/>
      <c r="BJ65" s="184"/>
      <c r="BK65" s="184"/>
      <c r="BL65" s="184"/>
      <c r="BM65" s="184"/>
      <c r="BN65" s="184"/>
      <c r="BO65" s="184"/>
      <c r="BP65" s="184"/>
      <c r="BQ65" s="184"/>
      <c r="BR65" s="184"/>
      <c r="BS65" s="184"/>
      <c r="BT65" s="184"/>
      <c r="BU65" s="184"/>
      <c r="BV65" s="184"/>
      <c r="BW65" s="184"/>
      <c r="BX65" s="184"/>
      <c r="BY65" s="184"/>
      <c r="BZ65" s="184"/>
      <c r="CA65" s="184"/>
      <c r="CB65" s="184"/>
      <c r="CC65" s="184"/>
      <c r="CD65" s="249" t="s">
        <v>221</v>
      </c>
      <c r="CE65" s="195">
        <f t="shared" si="0"/>
        <v>0</v>
      </c>
      <c r="CF65" s="252"/>
    </row>
    <row r="66" spans="1:84" ht="12.6" customHeight="1" x14ac:dyDescent="0.25">
      <c r="A66" s="171" t="s">
        <v>239</v>
      </c>
      <c r="B66" s="175"/>
      <c r="C66" s="184">
        <v>22939.71</v>
      </c>
      <c r="D66" s="184">
        <v>8520.2099999999991</v>
      </c>
      <c r="E66" s="184">
        <v>806.03</v>
      </c>
      <c r="F66" s="184">
        <v>1662.02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48806.320000000007</v>
      </c>
      <c r="P66" s="184">
        <v>689702.7699999999</v>
      </c>
      <c r="Q66" s="184">
        <v>0</v>
      </c>
      <c r="R66" s="184">
        <v>17606.679999999997</v>
      </c>
      <c r="S66" s="184">
        <v>119741.56999999999</v>
      </c>
      <c r="T66" s="184">
        <v>0</v>
      </c>
      <c r="U66" s="184">
        <v>795197.03000000014</v>
      </c>
      <c r="V66" s="184">
        <v>1492.5799999999995</v>
      </c>
      <c r="W66" s="184">
        <v>125290.05</v>
      </c>
      <c r="X66" s="184">
        <v>149366.47999999998</v>
      </c>
      <c r="Y66" s="184">
        <v>226496.83000000002</v>
      </c>
      <c r="Z66" s="184">
        <v>0</v>
      </c>
      <c r="AA66" s="184">
        <v>38544.44999999999</v>
      </c>
      <c r="AB66" s="184">
        <v>156741.86000000002</v>
      </c>
      <c r="AC66" s="184">
        <v>4465.55</v>
      </c>
      <c r="AD66" s="184">
        <v>137855.78</v>
      </c>
      <c r="AE66" s="184">
        <v>0</v>
      </c>
      <c r="AF66" s="184">
        <v>0</v>
      </c>
      <c r="AG66" s="184">
        <v>41024.639999999999</v>
      </c>
      <c r="AH66" s="184">
        <v>0</v>
      </c>
      <c r="AI66" s="184">
        <v>1966.5300000000002</v>
      </c>
      <c r="AJ66" s="184">
        <v>8915.9599999999991</v>
      </c>
      <c r="AK66" s="184">
        <v>0</v>
      </c>
      <c r="AL66" s="184">
        <v>0</v>
      </c>
      <c r="AM66" s="184">
        <v>0</v>
      </c>
      <c r="AN66" s="184">
        <v>0</v>
      </c>
      <c r="AO66" s="184">
        <v>0</v>
      </c>
      <c r="AP66" s="184">
        <v>0</v>
      </c>
      <c r="AQ66" s="184">
        <v>5810.77</v>
      </c>
      <c r="AR66" s="184">
        <v>0</v>
      </c>
      <c r="AS66" s="184">
        <v>0</v>
      </c>
      <c r="AT66" s="184">
        <v>0</v>
      </c>
      <c r="AU66" s="184">
        <v>0</v>
      </c>
      <c r="AV66" s="184">
        <v>0</v>
      </c>
      <c r="AW66" s="184">
        <v>-893.90000000000009</v>
      </c>
      <c r="AX66" s="184">
        <v>0</v>
      </c>
      <c r="AY66" s="184">
        <v>64635.14</v>
      </c>
      <c r="AZ66" s="184">
        <v>0</v>
      </c>
      <c r="BA66" s="184">
        <v>509063.35999999993</v>
      </c>
      <c r="BB66" s="184">
        <v>0</v>
      </c>
      <c r="BC66" s="184">
        <v>0</v>
      </c>
      <c r="BD66" s="184">
        <v>83520.510000000009</v>
      </c>
      <c r="BE66" s="184">
        <v>840083.0199999999</v>
      </c>
      <c r="BF66" s="184">
        <v>0</v>
      </c>
      <c r="BG66" s="184">
        <v>0</v>
      </c>
      <c r="BH66" s="184">
        <v>0</v>
      </c>
      <c r="BI66" s="184">
        <v>0</v>
      </c>
      <c r="BJ66" s="184">
        <v>294399.36000000004</v>
      </c>
      <c r="BK66" s="184">
        <v>0</v>
      </c>
      <c r="BL66" s="184">
        <v>25508.3</v>
      </c>
      <c r="BM66" s="184">
        <v>0</v>
      </c>
      <c r="BN66" s="184">
        <v>3408624.13</v>
      </c>
      <c r="BO66" s="184">
        <v>0</v>
      </c>
      <c r="BP66" s="184">
        <v>0</v>
      </c>
      <c r="BQ66" s="184">
        <v>0</v>
      </c>
      <c r="BR66" s="184">
        <v>0</v>
      </c>
      <c r="BS66" s="184">
        <v>0</v>
      </c>
      <c r="BT66" s="184">
        <v>0</v>
      </c>
      <c r="BU66" s="184">
        <v>0</v>
      </c>
      <c r="BV66" s="184">
        <v>0</v>
      </c>
      <c r="BW66" s="184">
        <v>25733.63</v>
      </c>
      <c r="BX66" s="184">
        <v>55405.36</v>
      </c>
      <c r="BY66" s="184">
        <v>0</v>
      </c>
      <c r="BZ66" s="184">
        <v>0</v>
      </c>
      <c r="CA66" s="184">
        <v>0</v>
      </c>
      <c r="CB66" s="184">
        <v>0</v>
      </c>
      <c r="CC66" s="184">
        <v>4501004.17</v>
      </c>
      <c r="CD66" s="249" t="s">
        <v>221</v>
      </c>
      <c r="CE66" s="195">
        <f t="shared" si="0"/>
        <v>12410036.899999999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143109</v>
      </c>
      <c r="D67" s="195">
        <f>ROUND(D51+D52,0)</f>
        <v>4246</v>
      </c>
      <c r="E67" s="195">
        <f t="shared" ref="E67:BP67" si="3">ROUND(E51+E52,0)</f>
        <v>30624</v>
      </c>
      <c r="F67" s="195">
        <f t="shared" si="3"/>
        <v>1437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73540</v>
      </c>
      <c r="P67" s="195">
        <f t="shared" si="3"/>
        <v>767351</v>
      </c>
      <c r="Q67" s="195">
        <f t="shared" si="3"/>
        <v>0</v>
      </c>
      <c r="R67" s="195">
        <f t="shared" si="3"/>
        <v>79400</v>
      </c>
      <c r="S67" s="195">
        <f t="shared" si="3"/>
        <v>0</v>
      </c>
      <c r="T67" s="195">
        <f t="shared" si="3"/>
        <v>0</v>
      </c>
      <c r="U67" s="195">
        <f t="shared" si="3"/>
        <v>22611</v>
      </c>
      <c r="V67" s="195">
        <f t="shared" si="3"/>
        <v>0</v>
      </c>
      <c r="W67" s="195">
        <f t="shared" si="3"/>
        <v>194426</v>
      </c>
      <c r="X67" s="195">
        <f t="shared" si="3"/>
        <v>72528</v>
      </c>
      <c r="Y67" s="195">
        <f t="shared" si="3"/>
        <v>220855</v>
      </c>
      <c r="Z67" s="195">
        <f t="shared" si="3"/>
        <v>0</v>
      </c>
      <c r="AA67" s="195">
        <f t="shared" si="3"/>
        <v>82741</v>
      </c>
      <c r="AB67" s="195">
        <f t="shared" si="3"/>
        <v>3904</v>
      </c>
      <c r="AC67" s="195">
        <f t="shared" si="3"/>
        <v>16159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41503</v>
      </c>
      <c r="AH67" s="195">
        <f t="shared" si="3"/>
        <v>0</v>
      </c>
      <c r="AI67" s="195">
        <f t="shared" si="3"/>
        <v>120424</v>
      </c>
      <c r="AJ67" s="195">
        <f t="shared" si="3"/>
        <v>0</v>
      </c>
      <c r="AK67" s="195">
        <f t="shared" si="3"/>
        <v>1698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3490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4480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2386</v>
      </c>
      <c r="BD67" s="195">
        <f t="shared" si="3"/>
        <v>7447</v>
      </c>
      <c r="BE67" s="195">
        <f t="shared" si="3"/>
        <v>7112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1308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410090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2647549</v>
      </c>
      <c r="CD67" s="249" t="s">
        <v>221</v>
      </c>
      <c r="CE67" s="195">
        <f t="shared" si="0"/>
        <v>4960418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1990.8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30580.020000000004</v>
      </c>
      <c r="Q68" s="184">
        <v>0</v>
      </c>
      <c r="R68" s="184">
        <v>0</v>
      </c>
      <c r="S68" s="184">
        <v>223955.91</v>
      </c>
      <c r="T68" s="184">
        <v>0</v>
      </c>
      <c r="U68" s="184">
        <v>69381.919999999998</v>
      </c>
      <c r="V68" s="184">
        <v>0</v>
      </c>
      <c r="W68" s="184">
        <v>0</v>
      </c>
      <c r="X68" s="184">
        <v>0</v>
      </c>
      <c r="Y68" s="184">
        <v>9792</v>
      </c>
      <c r="Z68" s="184">
        <v>0</v>
      </c>
      <c r="AA68" s="184">
        <v>0</v>
      </c>
      <c r="AB68" s="184">
        <v>84770.710000000021</v>
      </c>
      <c r="AC68" s="184">
        <v>111063.08000000002</v>
      </c>
      <c r="AD68" s="184">
        <v>0</v>
      </c>
      <c r="AE68" s="184">
        <v>0</v>
      </c>
      <c r="AF68" s="184">
        <v>0</v>
      </c>
      <c r="AG68" s="184">
        <v>0</v>
      </c>
      <c r="AH68" s="184">
        <v>0</v>
      </c>
      <c r="AI68" s="184">
        <v>0</v>
      </c>
      <c r="AJ68" s="184">
        <v>0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1203.33</v>
      </c>
      <c r="AZ68" s="184">
        <v>0</v>
      </c>
      <c r="BA68" s="184">
        <v>0</v>
      </c>
      <c r="BB68" s="184">
        <v>0</v>
      </c>
      <c r="BC68" s="184">
        <v>0</v>
      </c>
      <c r="BD68" s="184">
        <v>55796.78</v>
      </c>
      <c r="BE68" s="184">
        <v>0</v>
      </c>
      <c r="BF68" s="184">
        <v>0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0</v>
      </c>
      <c r="BM68" s="184">
        <v>0</v>
      </c>
      <c r="BN68" s="184">
        <v>0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171821.04000000004</v>
      </c>
      <c r="BZ68" s="184">
        <v>0</v>
      </c>
      <c r="CA68" s="184">
        <v>0</v>
      </c>
      <c r="CB68" s="184">
        <v>0</v>
      </c>
      <c r="CC68" s="184">
        <v>27084.029999999995</v>
      </c>
      <c r="CD68" s="249" t="s">
        <v>221</v>
      </c>
      <c r="CE68" s="195">
        <f t="shared" si="0"/>
        <v>787439.62000000011</v>
      </c>
      <c r="CF68" s="252"/>
    </row>
    <row r="69" spans="1:84" ht="12.6" customHeight="1" x14ac:dyDescent="0.25">
      <c r="A69" s="171" t="s">
        <v>241</v>
      </c>
      <c r="B69" s="175"/>
      <c r="C69" s="184">
        <v>9498.4699999999993</v>
      </c>
      <c r="D69" s="184">
        <v>12770</v>
      </c>
      <c r="E69" s="184">
        <v>0</v>
      </c>
      <c r="F69" s="184">
        <v>1669.96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3278.04</v>
      </c>
      <c r="P69" s="184">
        <v>14641.41</v>
      </c>
      <c r="Q69" s="184">
        <v>0</v>
      </c>
      <c r="R69" s="184">
        <v>11403.84</v>
      </c>
      <c r="S69" s="184">
        <v>777.45</v>
      </c>
      <c r="T69" s="184">
        <v>0</v>
      </c>
      <c r="U69" s="184">
        <v>5433.67</v>
      </c>
      <c r="V69" s="184">
        <v>0</v>
      </c>
      <c r="W69" s="184">
        <v>0</v>
      </c>
      <c r="X69" s="184">
        <v>0</v>
      </c>
      <c r="Y69" s="184">
        <v>97.83</v>
      </c>
      <c r="Z69" s="184">
        <v>0</v>
      </c>
      <c r="AA69" s="184">
        <v>9126</v>
      </c>
      <c r="AB69" s="184">
        <v>3620.69</v>
      </c>
      <c r="AC69" s="184">
        <v>1595.5</v>
      </c>
      <c r="AD69" s="184">
        <v>0</v>
      </c>
      <c r="AE69" s="184">
        <v>1879.08</v>
      </c>
      <c r="AF69" s="184">
        <v>0</v>
      </c>
      <c r="AG69" s="184">
        <v>21024.17</v>
      </c>
      <c r="AH69" s="184">
        <v>0</v>
      </c>
      <c r="AI69" s="184">
        <v>788</v>
      </c>
      <c r="AJ69" s="184">
        <v>438.7</v>
      </c>
      <c r="AK69" s="184">
        <v>0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69.55</v>
      </c>
      <c r="AR69" s="184">
        <v>0</v>
      </c>
      <c r="AS69" s="184">
        <v>0</v>
      </c>
      <c r="AT69" s="184">
        <v>0</v>
      </c>
      <c r="AU69" s="184">
        <v>0</v>
      </c>
      <c r="AV69" s="184">
        <v>0</v>
      </c>
      <c r="AW69" s="184">
        <v>0</v>
      </c>
      <c r="AX69" s="184">
        <v>0</v>
      </c>
      <c r="AY69" s="184">
        <v>1372.8</v>
      </c>
      <c r="AZ69" s="184">
        <v>0</v>
      </c>
      <c r="BA69" s="184">
        <v>0</v>
      </c>
      <c r="BB69" s="184">
        <v>0</v>
      </c>
      <c r="BC69" s="184">
        <v>0</v>
      </c>
      <c r="BD69" s="184">
        <v>-8588.0499999999993</v>
      </c>
      <c r="BE69" s="184">
        <v>710060.26</v>
      </c>
      <c r="BF69" s="184">
        <v>0</v>
      </c>
      <c r="BG69" s="184">
        <v>0</v>
      </c>
      <c r="BH69" s="184">
        <v>0</v>
      </c>
      <c r="BI69" s="184">
        <v>0</v>
      </c>
      <c r="BJ69" s="184">
        <v>76.959999999999994</v>
      </c>
      <c r="BK69" s="184">
        <v>0</v>
      </c>
      <c r="BL69" s="184">
        <v>3251.99</v>
      </c>
      <c r="BM69" s="184">
        <v>0</v>
      </c>
      <c r="BN69" s="184">
        <v>240494.66</v>
      </c>
      <c r="BO69" s="184">
        <v>0</v>
      </c>
      <c r="BP69" s="184">
        <v>0</v>
      </c>
      <c r="BQ69" s="184">
        <v>0</v>
      </c>
      <c r="BR69" s="184">
        <v>0</v>
      </c>
      <c r="BS69" s="184">
        <v>0</v>
      </c>
      <c r="BT69" s="184">
        <v>0</v>
      </c>
      <c r="BU69" s="184">
        <v>0</v>
      </c>
      <c r="BV69" s="184">
        <v>0</v>
      </c>
      <c r="BW69" s="184">
        <v>12350.09</v>
      </c>
      <c r="BX69" s="184">
        <v>14801.72</v>
      </c>
      <c r="BY69" s="184">
        <v>0</v>
      </c>
      <c r="BZ69" s="184">
        <v>202.5</v>
      </c>
      <c r="CA69" s="184">
        <v>0</v>
      </c>
      <c r="CB69" s="184">
        <v>0</v>
      </c>
      <c r="CC69" s="184">
        <v>5610622.5</v>
      </c>
      <c r="CD69" s="188">
        <v>3067282.3600000008</v>
      </c>
      <c r="CE69" s="195">
        <f t="shared" si="0"/>
        <v>9750040.1500000004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3452471.88</v>
      </c>
      <c r="D71" s="195">
        <f t="shared" ref="D71:AI71" si="5">SUM(D61:D69)-D70</f>
        <v>7073825.3199999994</v>
      </c>
      <c r="E71" s="195">
        <f t="shared" si="5"/>
        <v>1059364.71</v>
      </c>
      <c r="F71" s="195">
        <f t="shared" si="5"/>
        <v>2981913.56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267710.63999999996</v>
      </c>
      <c r="P71" s="195">
        <f t="shared" si="5"/>
        <v>24554306.760000002</v>
      </c>
      <c r="Q71" s="195">
        <f t="shared" si="5"/>
        <v>0</v>
      </c>
      <c r="R71" s="195">
        <f t="shared" si="5"/>
        <v>3755438.9</v>
      </c>
      <c r="S71" s="195">
        <f t="shared" si="5"/>
        <v>912313.47</v>
      </c>
      <c r="T71" s="195">
        <f t="shared" si="5"/>
        <v>0</v>
      </c>
      <c r="U71" s="195">
        <f t="shared" si="5"/>
        <v>4554377.84</v>
      </c>
      <c r="V71" s="195">
        <f t="shared" si="5"/>
        <v>12098.08</v>
      </c>
      <c r="W71" s="195">
        <f t="shared" si="5"/>
        <v>589456.21</v>
      </c>
      <c r="X71" s="195">
        <f t="shared" si="5"/>
        <v>968387.48</v>
      </c>
      <c r="Y71" s="195">
        <f t="shared" si="5"/>
        <v>4360743.2700000005</v>
      </c>
      <c r="Z71" s="195">
        <f t="shared" si="5"/>
        <v>0</v>
      </c>
      <c r="AA71" s="195">
        <f t="shared" si="5"/>
        <v>838361.08</v>
      </c>
      <c r="AB71" s="195">
        <f t="shared" si="5"/>
        <v>5113514.3000000007</v>
      </c>
      <c r="AC71" s="195">
        <f t="shared" si="5"/>
        <v>1880127.2599999998</v>
      </c>
      <c r="AD71" s="195">
        <f t="shared" si="5"/>
        <v>137855.78</v>
      </c>
      <c r="AE71" s="195">
        <f t="shared" si="5"/>
        <v>579397.59</v>
      </c>
      <c r="AF71" s="195">
        <f t="shared" si="5"/>
        <v>0</v>
      </c>
      <c r="AG71" s="195">
        <f t="shared" si="5"/>
        <v>7967647.8899999997</v>
      </c>
      <c r="AH71" s="195">
        <f t="shared" si="5"/>
        <v>0</v>
      </c>
      <c r="AI71" s="195">
        <f t="shared" si="5"/>
        <v>2447017.06</v>
      </c>
      <c r="AJ71" s="195">
        <f t="shared" ref="AJ71:BO71" si="6">SUM(AJ61:AJ69)-AJ70</f>
        <v>231854.68</v>
      </c>
      <c r="AK71" s="195">
        <f t="shared" si="6"/>
        <v>1729.19</v>
      </c>
      <c r="AL71" s="195">
        <f t="shared" si="6"/>
        <v>1130.8200000000002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576496.35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-893.90000000000009</v>
      </c>
      <c r="AX71" s="195">
        <f t="shared" si="6"/>
        <v>0</v>
      </c>
      <c r="AY71" s="195">
        <f t="shared" si="6"/>
        <v>2068514.89</v>
      </c>
      <c r="AZ71" s="195">
        <f t="shared" si="6"/>
        <v>0</v>
      </c>
      <c r="BA71" s="195">
        <f t="shared" si="6"/>
        <v>508939.84999999992</v>
      </c>
      <c r="BB71" s="195">
        <f t="shared" si="6"/>
        <v>0</v>
      </c>
      <c r="BC71" s="195">
        <f t="shared" si="6"/>
        <v>238438.11000000004</v>
      </c>
      <c r="BD71" s="195">
        <f t="shared" si="6"/>
        <v>-74734.270000000062</v>
      </c>
      <c r="BE71" s="195">
        <f t="shared" si="6"/>
        <v>2457804.83</v>
      </c>
      <c r="BF71" s="195">
        <f t="shared" si="6"/>
        <v>0</v>
      </c>
      <c r="BG71" s="195">
        <f t="shared" si="6"/>
        <v>47822.19999999999</v>
      </c>
      <c r="BH71" s="195">
        <f t="shared" si="6"/>
        <v>0</v>
      </c>
      <c r="BI71" s="195">
        <f t="shared" si="6"/>
        <v>0</v>
      </c>
      <c r="BJ71" s="195">
        <f t="shared" si="6"/>
        <v>295784.32000000007</v>
      </c>
      <c r="BK71" s="195">
        <f t="shared" si="6"/>
        <v>0</v>
      </c>
      <c r="BL71" s="195">
        <f t="shared" si="6"/>
        <v>1057961.73</v>
      </c>
      <c r="BM71" s="195">
        <f t="shared" si="6"/>
        <v>0</v>
      </c>
      <c r="BN71" s="195">
        <f t="shared" si="6"/>
        <v>5604976.3799999999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230283.95</v>
      </c>
      <c r="BX71" s="195">
        <f t="shared" si="7"/>
        <v>1317336.4099999999</v>
      </c>
      <c r="BY71" s="195">
        <f t="shared" si="7"/>
        <v>1155918.05</v>
      </c>
      <c r="BZ71" s="195">
        <f t="shared" si="7"/>
        <v>87115.000000000015</v>
      </c>
      <c r="CA71" s="195">
        <f t="shared" si="7"/>
        <v>0</v>
      </c>
      <c r="CB71" s="195">
        <f t="shared" si="7"/>
        <v>0</v>
      </c>
      <c r="CC71" s="195">
        <f t="shared" si="7"/>
        <v>26622918.440000005</v>
      </c>
      <c r="CD71" s="245">
        <f>CD69-CD70</f>
        <v>3067282.3600000008</v>
      </c>
      <c r="CE71" s="195">
        <f>SUM(CE61:CE69)-CE70</f>
        <v>119003008.47000003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10755655.4</v>
      </c>
      <c r="D73" s="184">
        <v>27302281</v>
      </c>
      <c r="E73" s="184">
        <v>25439.859999999986</v>
      </c>
      <c r="F73" s="184">
        <v>8141563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3439659</v>
      </c>
      <c r="P73" s="184">
        <v>94978417</v>
      </c>
      <c r="Q73" s="184">
        <v>0</v>
      </c>
      <c r="R73" s="184">
        <v>6648159</v>
      </c>
      <c r="S73" s="184">
        <v>0</v>
      </c>
      <c r="T73" s="184">
        <v>0</v>
      </c>
      <c r="U73" s="184">
        <v>24585163.340000004</v>
      </c>
      <c r="V73" s="184">
        <v>538592</v>
      </c>
      <c r="W73" s="184">
        <v>2667650</v>
      </c>
      <c r="X73" s="184">
        <v>20750862</v>
      </c>
      <c r="Y73" s="184">
        <v>17525426</v>
      </c>
      <c r="Z73" s="184">
        <v>0</v>
      </c>
      <c r="AA73" s="184">
        <v>3129995</v>
      </c>
      <c r="AB73" s="184">
        <v>36305260.650000006</v>
      </c>
      <c r="AC73" s="184">
        <v>13976234.000000002</v>
      </c>
      <c r="AD73" s="184">
        <v>1007409</v>
      </c>
      <c r="AE73" s="184">
        <v>2913471.5300000003</v>
      </c>
      <c r="AF73" s="184">
        <v>0</v>
      </c>
      <c r="AG73" s="184">
        <v>17166013.400000002</v>
      </c>
      <c r="AH73" s="184">
        <v>0</v>
      </c>
      <c r="AI73" s="184">
        <v>21924</v>
      </c>
      <c r="AJ73" s="184">
        <v>0</v>
      </c>
      <c r="AK73" s="184">
        <v>1193553.72</v>
      </c>
      <c r="AL73" s="184">
        <v>694865.1</v>
      </c>
      <c r="AM73" s="184">
        <v>0</v>
      </c>
      <c r="AN73" s="184">
        <v>0</v>
      </c>
      <c r="AO73" s="184">
        <v>0</v>
      </c>
      <c r="AP73" s="184">
        <v>0</v>
      </c>
      <c r="AQ73" s="184">
        <v>2077267.9999999998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295844862</v>
      </c>
      <c r="CF73" s="252"/>
    </row>
    <row r="74" spans="1:84" ht="12.6" customHeight="1" x14ac:dyDescent="0.25">
      <c r="A74" s="171" t="s">
        <v>246</v>
      </c>
      <c r="B74" s="175"/>
      <c r="C74" s="184">
        <v>4137485.88</v>
      </c>
      <c r="D74" s="184">
        <v>5992874.9999999991</v>
      </c>
      <c r="E74" s="184">
        <v>-534</v>
      </c>
      <c r="F74" s="184">
        <v>534385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328876.99999999994</v>
      </c>
      <c r="P74" s="184">
        <v>117026791</v>
      </c>
      <c r="Q74" s="184">
        <v>0</v>
      </c>
      <c r="R74" s="184">
        <v>14824387</v>
      </c>
      <c r="S74" s="184">
        <v>0</v>
      </c>
      <c r="T74" s="184">
        <v>0</v>
      </c>
      <c r="U74" s="184">
        <v>23465384.039999999</v>
      </c>
      <c r="V74" s="184">
        <v>1520530.1300000001</v>
      </c>
      <c r="W74" s="184">
        <v>6636213.0000000009</v>
      </c>
      <c r="X74" s="184">
        <v>54275650</v>
      </c>
      <c r="Y74" s="184">
        <v>32221512.539999999</v>
      </c>
      <c r="Z74" s="184">
        <v>0</v>
      </c>
      <c r="AA74" s="184">
        <v>11703888</v>
      </c>
      <c r="AB74" s="184">
        <v>24972973.34</v>
      </c>
      <c r="AC74" s="184">
        <v>1182072.3999999999</v>
      </c>
      <c r="AD74" s="184">
        <v>58165</v>
      </c>
      <c r="AE74" s="184">
        <v>340282.43999999994</v>
      </c>
      <c r="AF74" s="184">
        <v>0</v>
      </c>
      <c r="AG74" s="184">
        <v>82225409.629999995</v>
      </c>
      <c r="AH74" s="184">
        <v>0</v>
      </c>
      <c r="AI74" s="184">
        <v>19819627</v>
      </c>
      <c r="AJ74" s="184">
        <v>46400</v>
      </c>
      <c r="AK74" s="184">
        <v>60437.89</v>
      </c>
      <c r="AL74" s="184">
        <v>39269.75</v>
      </c>
      <c r="AM74" s="184">
        <v>0</v>
      </c>
      <c r="AN74" s="184">
        <v>0</v>
      </c>
      <c r="AO74" s="184">
        <v>0</v>
      </c>
      <c r="AP74" s="184">
        <v>0</v>
      </c>
      <c r="AQ74" s="184">
        <v>2630167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404042249.0399999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14893141.280000001</v>
      </c>
      <c r="D75" s="195">
        <f t="shared" si="9"/>
        <v>33295156</v>
      </c>
      <c r="E75" s="195">
        <f t="shared" si="9"/>
        <v>24905.859999999986</v>
      </c>
      <c r="F75" s="195">
        <f t="shared" si="9"/>
        <v>8675948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3768536</v>
      </c>
      <c r="P75" s="195">
        <f t="shared" si="9"/>
        <v>212005208</v>
      </c>
      <c r="Q75" s="195">
        <f t="shared" si="9"/>
        <v>0</v>
      </c>
      <c r="R75" s="195">
        <f t="shared" si="9"/>
        <v>21472546</v>
      </c>
      <c r="S75" s="195">
        <f t="shared" si="9"/>
        <v>0</v>
      </c>
      <c r="T75" s="195">
        <f t="shared" si="9"/>
        <v>0</v>
      </c>
      <c r="U75" s="195">
        <f t="shared" si="9"/>
        <v>48050547.380000003</v>
      </c>
      <c r="V75" s="195">
        <f t="shared" si="9"/>
        <v>2059122.1300000001</v>
      </c>
      <c r="W75" s="195">
        <f t="shared" si="9"/>
        <v>9303863</v>
      </c>
      <c r="X75" s="195">
        <f t="shared" si="9"/>
        <v>75026512</v>
      </c>
      <c r="Y75" s="195">
        <f t="shared" si="9"/>
        <v>49746938.539999999</v>
      </c>
      <c r="Z75" s="195">
        <f t="shared" si="9"/>
        <v>0</v>
      </c>
      <c r="AA75" s="195">
        <f t="shared" si="9"/>
        <v>14833883</v>
      </c>
      <c r="AB75" s="195">
        <f t="shared" si="9"/>
        <v>61278233.99000001</v>
      </c>
      <c r="AC75" s="195">
        <f t="shared" si="9"/>
        <v>15158306.400000002</v>
      </c>
      <c r="AD75" s="195">
        <f t="shared" si="9"/>
        <v>1065574</v>
      </c>
      <c r="AE75" s="195">
        <f t="shared" si="9"/>
        <v>3253753.97</v>
      </c>
      <c r="AF75" s="195">
        <f t="shared" si="9"/>
        <v>0</v>
      </c>
      <c r="AG75" s="195">
        <f t="shared" si="9"/>
        <v>99391423.030000001</v>
      </c>
      <c r="AH75" s="195">
        <f t="shared" si="9"/>
        <v>0</v>
      </c>
      <c r="AI75" s="195">
        <f t="shared" si="9"/>
        <v>19841551</v>
      </c>
      <c r="AJ75" s="195">
        <f t="shared" si="9"/>
        <v>46400</v>
      </c>
      <c r="AK75" s="195">
        <f t="shared" si="9"/>
        <v>1253991.6099999999</v>
      </c>
      <c r="AL75" s="195">
        <f t="shared" si="9"/>
        <v>734134.85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4707435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699887111.04000008</v>
      </c>
      <c r="CF75" s="252"/>
    </row>
    <row r="76" spans="1:84" ht="12.6" customHeight="1" x14ac:dyDescent="0.25">
      <c r="A76" s="171" t="s">
        <v>248</v>
      </c>
      <c r="B76" s="175"/>
      <c r="C76" s="184">
        <v>4165</v>
      </c>
      <c r="D76" s="184">
        <v>7160</v>
      </c>
      <c r="E76" s="185">
        <v>39558</v>
      </c>
      <c r="F76" s="185"/>
      <c r="G76" s="184"/>
      <c r="H76" s="184"/>
      <c r="I76" s="185"/>
      <c r="J76" s="185">
        <v>960</v>
      </c>
      <c r="K76" s="185"/>
      <c r="L76" s="185"/>
      <c r="M76" s="185"/>
      <c r="N76" s="185"/>
      <c r="O76" s="185">
        <v>711</v>
      </c>
      <c r="P76" s="185">
        <v>28824</v>
      </c>
      <c r="Q76" s="185">
        <v>2616</v>
      </c>
      <c r="R76" s="185">
        <v>662</v>
      </c>
      <c r="S76" s="185">
        <v>4690</v>
      </c>
      <c r="T76" s="185"/>
      <c r="U76" s="185">
        <v>3779</v>
      </c>
      <c r="V76" s="185">
        <v>1616</v>
      </c>
      <c r="W76" s="185">
        <v>1549</v>
      </c>
      <c r="X76" s="185">
        <v>572</v>
      </c>
      <c r="Y76" s="185">
        <v>10453</v>
      </c>
      <c r="Z76" s="185"/>
      <c r="AA76" s="185">
        <v>1001</v>
      </c>
      <c r="AB76" s="185">
        <v>3319</v>
      </c>
      <c r="AC76" s="185">
        <v>1127</v>
      </c>
      <c r="AD76" s="185">
        <v>414</v>
      </c>
      <c r="AE76" s="185">
        <v>524</v>
      </c>
      <c r="AF76" s="185"/>
      <c r="AG76" s="185">
        <v>10843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762</v>
      </c>
      <c r="AW76" s="185"/>
      <c r="AX76" s="185"/>
      <c r="AY76" s="185">
        <v>5359</v>
      </c>
      <c r="AZ76" s="185"/>
      <c r="BA76" s="185">
        <v>390</v>
      </c>
      <c r="BB76" s="185"/>
      <c r="BC76" s="185"/>
      <c r="BD76" s="185"/>
      <c r="BE76" s="185">
        <v>48771</v>
      </c>
      <c r="BF76" s="185">
        <v>2412</v>
      </c>
      <c r="BG76" s="185"/>
      <c r="BH76" s="185"/>
      <c r="BI76" s="185"/>
      <c r="BJ76" s="185"/>
      <c r="BK76" s="185"/>
      <c r="BL76" s="185"/>
      <c r="BM76" s="185"/>
      <c r="BN76" s="185">
        <v>8421</v>
      </c>
      <c r="BO76" s="185"/>
      <c r="BP76" s="185"/>
      <c r="BQ76" s="185"/>
      <c r="BR76" s="185">
        <v>1123</v>
      </c>
      <c r="BS76" s="185">
        <v>996</v>
      </c>
      <c r="BT76" s="185"/>
      <c r="BU76" s="185"/>
      <c r="BV76" s="185">
        <v>2596</v>
      </c>
      <c r="BW76" s="185"/>
      <c r="BX76" s="185"/>
      <c r="BY76" s="185">
        <v>7261</v>
      </c>
      <c r="BZ76" s="185"/>
      <c r="CA76" s="185"/>
      <c r="CB76" s="185"/>
      <c r="CC76" s="185"/>
      <c r="CD76" s="249" t="s">
        <v>221</v>
      </c>
      <c r="CE76" s="195">
        <f t="shared" si="8"/>
        <v>202634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3873</v>
      </c>
      <c r="D77" s="184">
        <v>41899</v>
      </c>
      <c r="E77" s="184"/>
      <c r="F77" s="184">
        <v>3975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10006</v>
      </c>
      <c r="Q77" s="184"/>
      <c r="R77" s="184">
        <v>305</v>
      </c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2057</v>
      </c>
      <c r="AH77" s="184"/>
      <c r="AI77" s="184">
        <v>502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62617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1588.9761109646424</v>
      </c>
      <c r="D78" s="184">
        <v>2731.5891847555436</v>
      </c>
      <c r="E78" s="184">
        <v>15091.648738905002</v>
      </c>
      <c r="F78" s="184">
        <v>0</v>
      </c>
      <c r="G78" s="184">
        <v>0</v>
      </c>
      <c r="H78" s="184">
        <v>0</v>
      </c>
      <c r="I78" s="184">
        <v>0</v>
      </c>
      <c r="J78" s="184">
        <v>366.24659460409526</v>
      </c>
      <c r="K78" s="184">
        <v>0</v>
      </c>
      <c r="L78" s="184">
        <v>0</v>
      </c>
      <c r="M78" s="184">
        <v>0</v>
      </c>
      <c r="N78" s="184">
        <v>0</v>
      </c>
      <c r="O78" s="184">
        <v>271.25138412865806</v>
      </c>
      <c r="P78" s="184">
        <v>10996.554002987961</v>
      </c>
      <c r="Q78" s="184">
        <v>998.02197029615957</v>
      </c>
      <c r="R78" s="184">
        <v>252.55754752907401</v>
      </c>
      <c r="S78" s="184">
        <v>1789.2672173887572</v>
      </c>
      <c r="T78" s="184">
        <v>0</v>
      </c>
      <c r="U78" s="184">
        <v>1441.7144593842459</v>
      </c>
      <c r="V78" s="184">
        <v>616.51510091689363</v>
      </c>
      <c r="W78" s="184">
        <v>590.95414066848286</v>
      </c>
      <c r="X78" s="184">
        <v>218.2219292849401</v>
      </c>
      <c r="Y78" s="184">
        <v>3987.8913056214665</v>
      </c>
      <c r="Z78" s="184">
        <v>0</v>
      </c>
      <c r="AA78" s="184">
        <v>381.88837624864516</v>
      </c>
      <c r="AB78" s="184">
        <v>1266.2212994697836</v>
      </c>
      <c r="AC78" s="184">
        <v>429.95824179043268</v>
      </c>
      <c r="AD78" s="184">
        <v>157.94384392301609</v>
      </c>
      <c r="AE78" s="184">
        <v>199.90959955473534</v>
      </c>
      <c r="AF78" s="184">
        <v>0</v>
      </c>
      <c r="AG78" s="184">
        <v>4136.6789846793799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290.70823446700058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149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0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380</v>
      </c>
      <c r="BT78" s="184">
        <v>0</v>
      </c>
      <c r="BU78" s="184">
        <v>0</v>
      </c>
      <c r="BV78" s="184">
        <v>990</v>
      </c>
      <c r="BW78" s="184">
        <v>0</v>
      </c>
      <c r="BX78" s="184">
        <v>0</v>
      </c>
      <c r="BY78" s="184">
        <v>2770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52093.718267568904</v>
      </c>
      <c r="CF78" s="195"/>
    </row>
    <row r="79" spans="1:84" ht="12.6" customHeight="1" x14ac:dyDescent="0.25">
      <c r="A79" s="171" t="s">
        <v>251</v>
      </c>
      <c r="B79" s="175"/>
      <c r="C79" s="225">
        <v>8537</v>
      </c>
      <c r="D79" s="225">
        <v>48554.330155103642</v>
      </c>
      <c r="E79" s="184"/>
      <c r="F79" s="184">
        <v>20364.203860295765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37359</v>
      </c>
      <c r="Q79" s="184"/>
      <c r="R79" s="184">
        <v>7429.2988677523281</v>
      </c>
      <c r="S79" s="184"/>
      <c r="T79" s="184"/>
      <c r="U79" s="184">
        <v>51.849259112176007</v>
      </c>
      <c r="V79" s="184"/>
      <c r="W79" s="184">
        <v>6462.895346265539</v>
      </c>
      <c r="X79" s="184">
        <v>5931.7574858191747</v>
      </c>
      <c r="Y79" s="184">
        <v>24346.333178880726</v>
      </c>
      <c r="Z79" s="184"/>
      <c r="AA79" s="184"/>
      <c r="AB79" s="184">
        <v>1166.8962659533768</v>
      </c>
      <c r="AC79" s="184"/>
      <c r="AD79" s="184"/>
      <c r="AE79" s="184"/>
      <c r="AF79" s="184"/>
      <c r="AG79" s="184">
        <v>46035.291714780702</v>
      </c>
      <c r="AH79" s="184"/>
      <c r="AI79" s="184">
        <v>18083.275153459668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5641.344089608303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229963.47537703137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21.239129999999999</v>
      </c>
      <c r="D80" s="187"/>
      <c r="E80" s="187">
        <v>48.621810000000004</v>
      </c>
      <c r="F80" s="187"/>
      <c r="G80" s="187"/>
      <c r="H80" s="187"/>
      <c r="I80" s="187"/>
      <c r="J80" s="187">
        <v>18.43065</v>
      </c>
      <c r="K80" s="187"/>
      <c r="L80" s="187"/>
      <c r="M80" s="187"/>
      <c r="N80" s="187"/>
      <c r="O80" s="187"/>
      <c r="P80" s="187">
        <v>21.414660000000001</v>
      </c>
      <c r="Q80" s="187">
        <v>10.18074</v>
      </c>
      <c r="R80" s="187">
        <v>0.87765000000000004</v>
      </c>
      <c r="S80" s="187"/>
      <c r="T80" s="187"/>
      <c r="U80" s="187"/>
      <c r="V80" s="187"/>
      <c r="W80" s="187"/>
      <c r="X80" s="187"/>
      <c r="Y80" s="187">
        <v>0.17552999999999999</v>
      </c>
      <c r="Z80" s="187"/>
      <c r="AA80" s="187"/>
      <c r="AB80" s="187"/>
      <c r="AC80" s="187"/>
      <c r="AD80" s="187"/>
      <c r="AE80" s="187"/>
      <c r="AF80" s="187"/>
      <c r="AG80" s="187">
        <v>29.664570000000001</v>
      </c>
      <c r="AH80" s="187"/>
      <c r="AI80" s="187">
        <v>12.98922</v>
      </c>
      <c r="AJ80" s="187"/>
      <c r="AK80" s="187"/>
      <c r="AL80" s="187"/>
      <c r="AM80" s="187"/>
      <c r="AN80" s="187">
        <v>2.2818899999999998</v>
      </c>
      <c r="AO80" s="187"/>
      <c r="AP80" s="187"/>
      <c r="AQ80" s="187"/>
      <c r="AR80" s="187"/>
      <c r="AS80" s="187"/>
      <c r="AT80" s="187"/>
      <c r="AU80" s="187"/>
      <c r="AV80" s="187">
        <v>9.6541499999999996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175.52999999999997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30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30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30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5635</v>
      </c>
      <c r="D111" s="174">
        <v>21765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651</v>
      </c>
      <c r="D114" s="174">
        <v>995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16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44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14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19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113</v>
      </c>
    </row>
    <row r="128" spans="1:5" ht="12.6" customHeight="1" x14ac:dyDescent="0.25">
      <c r="A128" s="173" t="s">
        <v>292</v>
      </c>
      <c r="B128" s="172" t="s">
        <v>256</v>
      </c>
      <c r="C128" s="189">
        <v>123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2881</v>
      </c>
      <c r="C138" s="189">
        <v>1168</v>
      </c>
      <c r="D138" s="174">
        <v>1586</v>
      </c>
      <c r="E138" s="175">
        <f>SUM(B138:D138)</f>
        <v>5635</v>
      </c>
    </row>
    <row r="139" spans="1:6" ht="12.6" customHeight="1" x14ac:dyDescent="0.25">
      <c r="A139" s="173" t="s">
        <v>215</v>
      </c>
      <c r="B139" s="174">
        <v>11794</v>
      </c>
      <c r="C139" s="189">
        <v>4303</v>
      </c>
      <c r="D139" s="174">
        <v>5668</v>
      </c>
      <c r="E139" s="175">
        <f>SUM(B139:D139)</f>
        <v>21765</v>
      </c>
    </row>
    <row r="140" spans="1:6" ht="12.6" customHeight="1" x14ac:dyDescent="0.25">
      <c r="A140" s="173" t="s">
        <v>298</v>
      </c>
      <c r="B140" s="174">
        <v>15990</v>
      </c>
      <c r="C140" s="174">
        <v>18542</v>
      </c>
      <c r="D140" s="174">
        <v>20522</v>
      </c>
      <c r="E140" s="175">
        <f>SUM(B140:D140)</f>
        <v>55054</v>
      </c>
    </row>
    <row r="141" spans="1:6" ht="12.6" customHeight="1" x14ac:dyDescent="0.25">
      <c r="A141" s="173" t="s">
        <v>245</v>
      </c>
      <c r="B141" s="174">
        <v>117340001.38565001</v>
      </c>
      <c r="C141" s="189">
        <v>5560769.6025461843</v>
      </c>
      <c r="D141" s="174">
        <v>172915643.04180378</v>
      </c>
      <c r="E141" s="175">
        <f>SUM(B141:D141)</f>
        <v>295816414.02999997</v>
      </c>
      <c r="F141" s="199"/>
    </row>
    <row r="142" spans="1:6" ht="12.6" customHeight="1" x14ac:dyDescent="0.25">
      <c r="A142" s="173" t="s">
        <v>246</v>
      </c>
      <c r="B142" s="174">
        <v>89789560.537192389</v>
      </c>
      <c r="C142" s="189">
        <v>4589583.1947066961</v>
      </c>
      <c r="D142" s="174">
        <v>309675553.30810082</v>
      </c>
      <c r="E142" s="175">
        <f>SUM(B142:D142)</f>
        <v>404054697.0399999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3483885.2699999996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15936.820000000009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7002138.0899999999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852385.94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634840.28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26608.05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12015794.449999999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787439.62000000011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787439.62000000011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1019357.3600000001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1019357.3600000001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8752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-198663.50000000012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-189911.50000000012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3067282.3600000008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3067282.3600000008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8979210</v>
      </c>
      <c r="C195" s="189">
        <v>0</v>
      </c>
      <c r="D195" s="174">
        <v>0</v>
      </c>
      <c r="E195" s="175">
        <f t="shared" ref="E195:E203" si="10">SUM(B195:C195)-D195</f>
        <v>8979210</v>
      </c>
    </row>
    <row r="196" spans="1:8" ht="12.6" customHeight="1" x14ac:dyDescent="0.25">
      <c r="A196" s="173" t="s">
        <v>333</v>
      </c>
      <c r="B196" s="174">
        <v>766764</v>
      </c>
      <c r="C196" s="189">
        <v>0</v>
      </c>
      <c r="D196" s="174">
        <v>0</v>
      </c>
      <c r="E196" s="175">
        <f t="shared" si="10"/>
        <v>766764</v>
      </c>
    </row>
    <row r="197" spans="1:8" ht="12.6" customHeight="1" x14ac:dyDescent="0.25">
      <c r="A197" s="173" t="s">
        <v>334</v>
      </c>
      <c r="B197" s="174">
        <v>31013046.300000001</v>
      </c>
      <c r="C197" s="189">
        <v>1169674.0900000001</v>
      </c>
      <c r="D197" s="174">
        <v>0</v>
      </c>
      <c r="E197" s="175">
        <f t="shared" si="10"/>
        <v>32182720.390000001</v>
      </c>
    </row>
    <row r="198" spans="1:8" ht="12.6" customHeight="1" x14ac:dyDescent="0.25">
      <c r="A198" s="173" t="s">
        <v>335</v>
      </c>
      <c r="B198" s="174">
        <v>986580</v>
      </c>
      <c r="C198" s="189">
        <v>57583.49</v>
      </c>
      <c r="D198" s="174">
        <v>0</v>
      </c>
      <c r="E198" s="175">
        <f t="shared" si="10"/>
        <v>1044163.49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10797512.459999993</v>
      </c>
      <c r="C200" s="189">
        <v>3411695.13</v>
      </c>
      <c r="D200" s="174">
        <v>438737.28</v>
      </c>
      <c r="E200" s="175">
        <f t="shared" si="10"/>
        <v>13770470.309999993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135000</v>
      </c>
      <c r="C202" s="189">
        <v>0</v>
      </c>
      <c r="D202" s="174">
        <v>0</v>
      </c>
      <c r="E202" s="175">
        <f t="shared" si="10"/>
        <v>135000</v>
      </c>
    </row>
    <row r="203" spans="1:8" ht="12.6" customHeight="1" x14ac:dyDescent="0.2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52678112.75999999</v>
      </c>
      <c r="C204" s="191">
        <f>SUM(C195:C203)</f>
        <v>4638952.71</v>
      </c>
      <c r="D204" s="175">
        <f>SUM(D195:D203)</f>
        <v>438737.28</v>
      </c>
      <c r="E204" s="175">
        <f>SUM(E195:E203)</f>
        <v>56878328.189999998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54768.869999999995</v>
      </c>
      <c r="C209" s="189">
        <v>109537.70999999999</v>
      </c>
      <c r="D209" s="174">
        <v>0</v>
      </c>
      <c r="E209" s="175">
        <f t="shared" ref="E209:E216" si="11">SUM(B209:C209)-D209</f>
        <v>164306.57999999999</v>
      </c>
      <c r="H209" s="259"/>
    </row>
    <row r="210" spans="1:8" ht="12.6" customHeight="1" x14ac:dyDescent="0.25">
      <c r="A210" s="173" t="s">
        <v>334</v>
      </c>
      <c r="B210" s="174">
        <v>775193.52999999933</v>
      </c>
      <c r="C210" s="189">
        <v>1575569.6900000002</v>
      </c>
      <c r="D210" s="174">
        <v>0</v>
      </c>
      <c r="E210" s="175">
        <f t="shared" si="11"/>
        <v>2350763.2199999997</v>
      </c>
      <c r="H210" s="259"/>
    </row>
    <row r="211" spans="1:8" ht="12.6" customHeight="1" x14ac:dyDescent="0.25">
      <c r="A211" s="173" t="s">
        <v>335</v>
      </c>
      <c r="B211" s="174">
        <v>41107.5</v>
      </c>
      <c r="C211" s="189">
        <v>85895.61</v>
      </c>
      <c r="D211" s="174">
        <v>0</v>
      </c>
      <c r="E211" s="175">
        <f t="shared" si="11"/>
        <v>127003.11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1170793.1099999994</v>
      </c>
      <c r="C213" s="189">
        <v>2807006.7300000004</v>
      </c>
      <c r="D213" s="174">
        <v>92059.349999999991</v>
      </c>
      <c r="E213" s="175">
        <f t="shared" si="11"/>
        <v>3885740.4899999998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9315.4899999999907</v>
      </c>
      <c r="C215" s="189">
        <v>18630.95</v>
      </c>
      <c r="D215" s="174">
        <v>0</v>
      </c>
      <c r="E215" s="175">
        <f t="shared" si="11"/>
        <v>27946.439999999991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2051178.4999999988</v>
      </c>
      <c r="C217" s="191">
        <f>SUM(C208:C216)</f>
        <v>4596640.6900000004</v>
      </c>
      <c r="D217" s="175">
        <f>SUM(D208:D216)</f>
        <v>92059.349999999991</v>
      </c>
      <c r="E217" s="175">
        <f>SUM(E208:E216)</f>
        <v>6555759.8399999999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08" t="s">
        <v>1255</v>
      </c>
      <c r="C220" s="308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5706270.2500000009</v>
      </c>
      <c r="D221" s="172">
        <f>C221</f>
        <v>5706270.2500000009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166365592.62153047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7855147.7856802195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9505158.6496296413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404122.06196344621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371989578.13119632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556119599.25000012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2561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2622615.4652816295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3582222.1047183699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6204837.5699999994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3244406.399999998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3244406.399999998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571275113.47000015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5728.28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99987079.530000001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80427546.25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154013.63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2876433.9299999997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106415.6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22702124.720000003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8979210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766764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32182720.390000001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1044163.49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13770470.310000001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135000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56878328.190000005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6555759.8399999999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50322568.350000009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81694.38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81694.38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68985724.879999995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3609999.92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72595724.799999997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145702112.25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1524172.43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959554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126720489.8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417292.39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129621508.61999999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405787.73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405787.73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405787.73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15674815.899999972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145702112.24999997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145702112.25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295816414.02999997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404054697.0399999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699871111.06999993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5706270.2500000009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559364005.6500001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6204837.5699999994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571275113.47000015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128595997.59999979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968464.11999999988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968464.11999999988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129564461.71999979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48078760.760000005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12015794.450000001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4004050.02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26996468.020000003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/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12410036.899999999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4960417.51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787439.62000000011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/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/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3067282.3600000008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6682757.79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119003007.43000002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10561454.289999768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-3035909.7199999997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7525544.5699997684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7525544.5699997684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VALLEY HOSPITAL AND MEDICAL CENTER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5635</v>
      </c>
      <c r="C414" s="194">
        <f>E138</f>
        <v>5635</v>
      </c>
      <c r="D414" s="179"/>
    </row>
    <row r="415" spans="1:5" ht="12.6" customHeight="1" x14ac:dyDescent="0.25">
      <c r="A415" s="179" t="s">
        <v>464</v>
      </c>
      <c r="B415" s="179">
        <f>D111</f>
        <v>21765</v>
      </c>
      <c r="C415" s="179">
        <f>E139</f>
        <v>21765</v>
      </c>
      <c r="D415" s="194">
        <f>SUM(C59:H59)+N59</f>
        <v>18332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651</v>
      </c>
    </row>
    <row r="424" spans="1:7" ht="12.6" customHeight="1" x14ac:dyDescent="0.25">
      <c r="A424" s="179" t="s">
        <v>1244</v>
      </c>
      <c r="B424" s="179">
        <f>D114</f>
        <v>995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48078760.760000005</v>
      </c>
      <c r="C427" s="179">
        <f t="shared" ref="C427:C434" si="13">CE61</f>
        <v>48078760.760000005</v>
      </c>
      <c r="D427" s="179"/>
    </row>
    <row r="428" spans="1:7" ht="12.6" customHeight="1" x14ac:dyDescent="0.25">
      <c r="A428" s="179" t="s">
        <v>3</v>
      </c>
      <c r="B428" s="179">
        <f t="shared" si="12"/>
        <v>12015794.450000001</v>
      </c>
      <c r="C428" s="179">
        <f t="shared" si="13"/>
        <v>12015795</v>
      </c>
      <c r="D428" s="179">
        <f>D173</f>
        <v>12015794.449999999</v>
      </c>
    </row>
    <row r="429" spans="1:7" ht="12.6" customHeight="1" x14ac:dyDescent="0.25">
      <c r="A429" s="179" t="s">
        <v>236</v>
      </c>
      <c r="B429" s="179">
        <f t="shared" si="12"/>
        <v>4004050.02</v>
      </c>
      <c r="C429" s="179">
        <f t="shared" si="13"/>
        <v>4004050.02</v>
      </c>
      <c r="D429" s="179"/>
    </row>
    <row r="430" spans="1:7" ht="12.6" customHeight="1" x14ac:dyDescent="0.25">
      <c r="A430" s="179" t="s">
        <v>237</v>
      </c>
      <c r="B430" s="179">
        <f t="shared" si="12"/>
        <v>26996468.020000003</v>
      </c>
      <c r="C430" s="179">
        <f t="shared" si="13"/>
        <v>26996468.020000003</v>
      </c>
      <c r="D430" s="179"/>
    </row>
    <row r="431" spans="1:7" ht="12.6" customHeight="1" x14ac:dyDescent="0.25">
      <c r="A431" s="179" t="s">
        <v>444</v>
      </c>
      <c r="B431" s="179">
        <f t="shared" si="12"/>
        <v>0</v>
      </c>
      <c r="C431" s="179">
        <f t="shared" si="13"/>
        <v>0</v>
      </c>
      <c r="D431" s="179"/>
    </row>
    <row r="432" spans="1:7" ht="12.6" customHeight="1" x14ac:dyDescent="0.25">
      <c r="A432" s="179" t="s">
        <v>445</v>
      </c>
      <c r="B432" s="179">
        <f t="shared" si="12"/>
        <v>12410036.899999999</v>
      </c>
      <c r="C432" s="179">
        <f t="shared" si="13"/>
        <v>12410036.899999999</v>
      </c>
      <c r="D432" s="179"/>
    </row>
    <row r="433" spans="1:7" ht="12.6" customHeight="1" x14ac:dyDescent="0.25">
      <c r="A433" s="179" t="s">
        <v>6</v>
      </c>
      <c r="B433" s="179">
        <f t="shared" si="12"/>
        <v>4960417.51</v>
      </c>
      <c r="C433" s="179">
        <f t="shared" si="13"/>
        <v>4960418</v>
      </c>
      <c r="D433" s="179">
        <f>C217</f>
        <v>4596640.6900000004</v>
      </c>
    </row>
    <row r="434" spans="1:7" ht="12.6" customHeight="1" x14ac:dyDescent="0.25">
      <c r="A434" s="179" t="s">
        <v>474</v>
      </c>
      <c r="B434" s="179">
        <f t="shared" si="12"/>
        <v>787439.62000000011</v>
      </c>
      <c r="C434" s="179">
        <f t="shared" si="13"/>
        <v>787439.62000000011</v>
      </c>
      <c r="D434" s="179">
        <f>D177</f>
        <v>787439.62000000011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1019357.3600000001</v>
      </c>
    </row>
    <row r="436" spans="1:7" ht="12.6" customHeight="1" x14ac:dyDescent="0.25">
      <c r="A436" s="179" t="s">
        <v>475</v>
      </c>
      <c r="B436" s="179">
        <f t="shared" si="12"/>
        <v>0</v>
      </c>
      <c r="C436" s="179"/>
      <c r="D436" s="179">
        <f>D186</f>
        <v>-189911.50000000012</v>
      </c>
    </row>
    <row r="437" spans="1:7" ht="12.6" customHeight="1" x14ac:dyDescent="0.25">
      <c r="A437" s="194" t="s">
        <v>449</v>
      </c>
      <c r="B437" s="194">
        <f t="shared" si="12"/>
        <v>3067282.3600000008</v>
      </c>
      <c r="C437" s="194"/>
      <c r="D437" s="194">
        <f>D190</f>
        <v>3067282.3600000008</v>
      </c>
    </row>
    <row r="438" spans="1:7" ht="12.6" customHeight="1" x14ac:dyDescent="0.25">
      <c r="A438" s="194" t="s">
        <v>476</v>
      </c>
      <c r="B438" s="194">
        <f>C386+C387+C388</f>
        <v>3067282.3600000008</v>
      </c>
      <c r="C438" s="194">
        <f>CD69</f>
        <v>3067282.3600000008</v>
      </c>
      <c r="D438" s="194">
        <f>D181+D186+D190</f>
        <v>3896728.2200000007</v>
      </c>
    </row>
    <row r="439" spans="1:7" ht="12.6" customHeight="1" x14ac:dyDescent="0.25">
      <c r="A439" s="179" t="s">
        <v>451</v>
      </c>
      <c r="B439" s="194">
        <f>C389</f>
        <v>6682757.79</v>
      </c>
      <c r="C439" s="194">
        <f>SUM(C69:CC69)</f>
        <v>6682757.79</v>
      </c>
      <c r="D439" s="179"/>
    </row>
    <row r="440" spans="1:7" ht="12.6" customHeight="1" x14ac:dyDescent="0.25">
      <c r="A440" s="179" t="s">
        <v>477</v>
      </c>
      <c r="B440" s="194">
        <f>B438+B439</f>
        <v>9750040.1500000004</v>
      </c>
      <c r="C440" s="194">
        <f>CE69</f>
        <v>9750040.1500000004</v>
      </c>
      <c r="D440" s="179"/>
    </row>
    <row r="441" spans="1:7" ht="12.6" customHeight="1" x14ac:dyDescent="0.25">
      <c r="A441" s="179" t="s">
        <v>478</v>
      </c>
      <c r="B441" s="179">
        <f>D390</f>
        <v>119003007.43000002</v>
      </c>
      <c r="C441" s="179">
        <f>SUM(C427:C437)+C440</f>
        <v>119003008.47000003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5706270.2500000009</v>
      </c>
      <c r="C444" s="179">
        <f>C363</f>
        <v>5706270.2500000009</v>
      </c>
      <c r="D444" s="179"/>
    </row>
    <row r="445" spans="1:7" ht="12.6" customHeight="1" x14ac:dyDescent="0.25">
      <c r="A445" s="179" t="s">
        <v>343</v>
      </c>
      <c r="B445" s="179">
        <f>D229</f>
        <v>556119599.25000012</v>
      </c>
      <c r="C445" s="179">
        <f>C364</f>
        <v>559364005.6500001</v>
      </c>
      <c r="D445" s="179"/>
    </row>
    <row r="446" spans="1:7" ht="12.6" customHeight="1" x14ac:dyDescent="0.25">
      <c r="A446" s="179" t="s">
        <v>351</v>
      </c>
      <c r="B446" s="179">
        <f>D236</f>
        <v>6204837.5699999994</v>
      </c>
      <c r="C446" s="179">
        <f>C365</f>
        <v>6204837.5699999994</v>
      </c>
      <c r="D446" s="179"/>
    </row>
    <row r="447" spans="1:7" ht="12.6" customHeight="1" x14ac:dyDescent="0.25">
      <c r="A447" s="179" t="s">
        <v>356</v>
      </c>
      <c r="B447" s="179">
        <f>D240</f>
        <v>3244406.399999998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571275113.47000015</v>
      </c>
      <c r="C448" s="179">
        <f>D367</f>
        <v>571275113.47000015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2561</v>
      </c>
    </row>
    <row r="454" spans="1:7" ht="12.6" customHeight="1" x14ac:dyDescent="0.25">
      <c r="A454" s="179" t="s">
        <v>168</v>
      </c>
      <c r="B454" s="179">
        <f>C233</f>
        <v>2622615.4652816295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3582222.1047183699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968464.11999999988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295816414.02999997</v>
      </c>
      <c r="C463" s="194">
        <f>CE73</f>
        <v>295844862</v>
      </c>
      <c r="D463" s="194">
        <f>E141+E147+E153</f>
        <v>295816414.02999997</v>
      </c>
    </row>
    <row r="464" spans="1:7" ht="12.6" customHeight="1" x14ac:dyDescent="0.25">
      <c r="A464" s="179" t="s">
        <v>246</v>
      </c>
      <c r="B464" s="194">
        <f>C360</f>
        <v>404054697.0399999</v>
      </c>
      <c r="C464" s="194">
        <f>CE74</f>
        <v>404042249.0399999</v>
      </c>
      <c r="D464" s="194">
        <f>E142+E148+E154</f>
        <v>404054697.0399999</v>
      </c>
    </row>
    <row r="465" spans="1:7" ht="12.6" customHeight="1" x14ac:dyDescent="0.25">
      <c r="A465" s="179" t="s">
        <v>247</v>
      </c>
      <c r="B465" s="194">
        <f>D361</f>
        <v>699871111.06999993</v>
      </c>
      <c r="C465" s="194">
        <f>CE75</f>
        <v>699887111.04000008</v>
      </c>
      <c r="D465" s="194">
        <f>D463+D464</f>
        <v>699871111.06999993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8979210</v>
      </c>
      <c r="C468" s="179">
        <f>E195</f>
        <v>8979210</v>
      </c>
      <c r="D468" s="179"/>
    </row>
    <row r="469" spans="1:7" ht="12.6" customHeight="1" x14ac:dyDescent="0.25">
      <c r="A469" s="179" t="s">
        <v>333</v>
      </c>
      <c r="B469" s="179">
        <f t="shared" si="14"/>
        <v>766764</v>
      </c>
      <c r="C469" s="179">
        <f>E196</f>
        <v>766764</v>
      </c>
      <c r="D469" s="179"/>
    </row>
    <row r="470" spans="1:7" ht="12.6" customHeight="1" x14ac:dyDescent="0.25">
      <c r="A470" s="179" t="s">
        <v>334</v>
      </c>
      <c r="B470" s="179">
        <f t="shared" si="14"/>
        <v>32182720.390000001</v>
      </c>
      <c r="C470" s="179">
        <f>E197</f>
        <v>32182720.390000001</v>
      </c>
      <c r="D470" s="179"/>
    </row>
    <row r="471" spans="1:7" ht="12.6" customHeight="1" x14ac:dyDescent="0.25">
      <c r="A471" s="179" t="s">
        <v>494</v>
      </c>
      <c r="B471" s="179">
        <f t="shared" si="14"/>
        <v>1044163.49</v>
      </c>
      <c r="C471" s="179">
        <f>E198</f>
        <v>1044163.49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13770470.310000001</v>
      </c>
      <c r="C473" s="179">
        <f>SUM(E200:E201)</f>
        <v>13770470.309999993</v>
      </c>
      <c r="D473" s="179"/>
    </row>
    <row r="474" spans="1:7" ht="12.6" customHeight="1" x14ac:dyDescent="0.25">
      <c r="A474" s="179" t="s">
        <v>339</v>
      </c>
      <c r="B474" s="179">
        <f t="shared" si="14"/>
        <v>135000</v>
      </c>
      <c r="C474" s="179">
        <f>E202</f>
        <v>135000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56878328.190000005</v>
      </c>
      <c r="C476" s="179">
        <f>E204</f>
        <v>56878328.189999998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6555759.8399999999</v>
      </c>
      <c r="C478" s="179">
        <f>E217</f>
        <v>6555759.8399999999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145702112.25</v>
      </c>
    </row>
    <row r="482" spans="1:12" ht="12.6" customHeight="1" x14ac:dyDescent="0.25">
      <c r="A482" s="180" t="s">
        <v>499</v>
      </c>
      <c r="C482" s="180">
        <f>D339</f>
        <v>145702112.24999997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180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3589659.04</v>
      </c>
      <c r="C496" s="240">
        <f>C71</f>
        <v>3452471.88</v>
      </c>
      <c r="D496" s="240">
        <f>'Prior Year'!C59</f>
        <v>2842</v>
      </c>
      <c r="E496" s="180">
        <f>C59</f>
        <v>2632</v>
      </c>
      <c r="F496" s="263">
        <f t="shared" ref="F496:G511" si="15">IF(B496=0,"",IF(D496=0,"",B496/D496))</f>
        <v>1263.0749612948628</v>
      </c>
      <c r="G496" s="264">
        <f t="shared" si="15"/>
        <v>1311.7294376899695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164195</v>
      </c>
      <c r="C497" s="240">
        <f>D71</f>
        <v>7073825.3199999994</v>
      </c>
      <c r="D497" s="240">
        <f>'Prior Year'!D59</f>
        <v>0</v>
      </c>
      <c r="E497" s="180">
        <f>D59</f>
        <v>14348</v>
      </c>
      <c r="F497" s="263" t="str">
        <f t="shared" si="15"/>
        <v/>
      </c>
      <c r="G497" s="263">
        <f t="shared" si="15"/>
        <v>493.01821299135764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12989936</v>
      </c>
      <c r="C498" s="240">
        <f>E71</f>
        <v>1059364.71</v>
      </c>
      <c r="D498" s="240">
        <f>'Prior Year'!E59</f>
        <v>17744</v>
      </c>
      <c r="E498" s="180">
        <f>E59</f>
        <v>0</v>
      </c>
      <c r="F498" s="263">
        <f t="shared" si="15"/>
        <v>732.07484220018034</v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2981913.56</v>
      </c>
      <c r="D499" s="240">
        <f>'Prior Year'!F59</f>
        <v>0</v>
      </c>
      <c r="E499" s="180">
        <f>F59</f>
        <v>1352</v>
      </c>
      <c r="F499" s="263" t="str">
        <f t="shared" si="15"/>
        <v/>
      </c>
      <c r="G499" s="263">
        <f t="shared" si="15"/>
        <v>2205.5573668639054</v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22015</v>
      </c>
      <c r="C503" s="240">
        <f>J71</f>
        <v>0</v>
      </c>
      <c r="D503" s="240">
        <f>'Prior Year'!J59</f>
        <v>195</v>
      </c>
      <c r="E503" s="180">
        <f>J59</f>
        <v>0</v>
      </c>
      <c r="F503" s="263">
        <f t="shared" si="15"/>
        <v>112.8974358974359</v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3549696</v>
      </c>
      <c r="C508" s="240">
        <f>O71</f>
        <v>267710.63999999996</v>
      </c>
      <c r="D508" s="240">
        <f>'Prior Year'!O59</f>
        <v>708</v>
      </c>
      <c r="E508" s="180">
        <f>O59</f>
        <v>651</v>
      </c>
      <c r="F508" s="263">
        <f t="shared" si="15"/>
        <v>5013.6949152542375</v>
      </c>
      <c r="G508" s="263">
        <f t="shared" si="15"/>
        <v>411.22986175115199</v>
      </c>
      <c r="H508" s="265">
        <f t="shared" si="16"/>
        <v>-0.91797868264780547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19197410</v>
      </c>
      <c r="C509" s="240">
        <f>P71</f>
        <v>24554306.760000002</v>
      </c>
      <c r="D509" s="240">
        <f>'Prior Year'!P59</f>
        <v>510247</v>
      </c>
      <c r="E509" s="180">
        <f>P59</f>
        <v>654109</v>
      </c>
      <c r="F509" s="263">
        <f t="shared" si="15"/>
        <v>37.623758689419049</v>
      </c>
      <c r="G509" s="263">
        <f t="shared" si="15"/>
        <v>37.5385551337774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2033427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1086352</v>
      </c>
      <c r="C511" s="240">
        <f>R71</f>
        <v>3755438.9</v>
      </c>
      <c r="D511" s="240">
        <f>'Prior Year'!R59</f>
        <v>480437</v>
      </c>
      <c r="E511" s="180">
        <f>R59</f>
        <v>1239013</v>
      </c>
      <c r="F511" s="263">
        <f t="shared" si="15"/>
        <v>2.2611747221800154</v>
      </c>
      <c r="G511" s="263">
        <f t="shared" si="15"/>
        <v>3.0309923301853976</v>
      </c>
      <c r="H511" s="265">
        <f t="shared" si="16"/>
        <v>0.34045029800403714</v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1428707</v>
      </c>
      <c r="C512" s="240">
        <f>S71</f>
        <v>912313.47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3936621</v>
      </c>
      <c r="C514" s="240">
        <f>U71</f>
        <v>4554377.84</v>
      </c>
      <c r="D514" s="240">
        <f>'Prior Year'!U59</f>
        <v>346146</v>
      </c>
      <c r="E514" s="180">
        <f>U59</f>
        <v>380545</v>
      </c>
      <c r="F514" s="263">
        <f t="shared" si="17"/>
        <v>11.372718448284827</v>
      </c>
      <c r="G514" s="263">
        <f t="shared" si="17"/>
        <v>11.968040152938547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967205</v>
      </c>
      <c r="C515" s="240">
        <f>V71</f>
        <v>12098.08</v>
      </c>
      <c r="D515" s="240">
        <f>'Prior Year'!V59</f>
        <v>15198</v>
      </c>
      <c r="E515" s="180">
        <f>V59</f>
        <v>14331</v>
      </c>
      <c r="F515" s="263">
        <f t="shared" si="17"/>
        <v>63.640281616002106</v>
      </c>
      <c r="G515" s="263">
        <f t="shared" si="17"/>
        <v>0.84418951922405971</v>
      </c>
      <c r="H515" s="265">
        <f t="shared" si="16"/>
        <v>-0.9867349814019083</v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478049</v>
      </c>
      <c r="C516" s="240">
        <f>W71</f>
        <v>589456.21</v>
      </c>
      <c r="D516" s="240">
        <f>'Prior Year'!W59</f>
        <v>1739</v>
      </c>
      <c r="E516" s="180">
        <f>W59</f>
        <v>16152</v>
      </c>
      <c r="F516" s="263">
        <f t="shared" si="17"/>
        <v>274.89879240943071</v>
      </c>
      <c r="G516" s="263">
        <f t="shared" si="17"/>
        <v>36.494317112431894</v>
      </c>
      <c r="H516" s="265">
        <f t="shared" si="16"/>
        <v>-0.86724453464285234</v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784626</v>
      </c>
      <c r="C517" s="240">
        <f>X71</f>
        <v>968387.48</v>
      </c>
      <c r="D517" s="240">
        <f>'Prior Year'!X59</f>
        <v>15131</v>
      </c>
      <c r="E517" s="180">
        <f>X59</f>
        <v>15497</v>
      </c>
      <c r="F517" s="263">
        <f t="shared" si="17"/>
        <v>51.855528385433878</v>
      </c>
      <c r="G517" s="263">
        <f t="shared" si="17"/>
        <v>62.48870620120023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3865681</v>
      </c>
      <c r="C518" s="240">
        <f>Y71</f>
        <v>4360743.2700000005</v>
      </c>
      <c r="D518" s="240">
        <f>'Prior Year'!Y59</f>
        <v>27215</v>
      </c>
      <c r="E518" s="180">
        <f>Y59</f>
        <v>48446</v>
      </c>
      <c r="F518" s="263">
        <f t="shared" si="17"/>
        <v>142.04229285320596</v>
      </c>
      <c r="G518" s="263">
        <f t="shared" si="17"/>
        <v>90.012452421252533</v>
      </c>
      <c r="H518" s="265">
        <f t="shared" si="16"/>
        <v>-0.36629822982176041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787875</v>
      </c>
      <c r="C520" s="240">
        <f>AA71</f>
        <v>838361.08</v>
      </c>
      <c r="D520" s="240">
        <f>'Prior Year'!AA59</f>
        <v>1371</v>
      </c>
      <c r="E520" s="180">
        <f>AA59</f>
        <v>13930</v>
      </c>
      <c r="F520" s="263">
        <f t="shared" si="17"/>
        <v>574.67177242888408</v>
      </c>
      <c r="G520" s="263">
        <f t="shared" si="17"/>
        <v>60.18385355348169</v>
      </c>
      <c r="H520" s="265">
        <f t="shared" si="16"/>
        <v>-0.89527264702925802</v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4817345</v>
      </c>
      <c r="C521" s="240">
        <f>AB71</f>
        <v>5113514.3000000007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1796297</v>
      </c>
      <c r="C522" s="240">
        <f>AC71</f>
        <v>1880127.2599999998</v>
      </c>
      <c r="D522" s="240">
        <f>'Prior Year'!AC59</f>
        <v>102032</v>
      </c>
      <c r="E522" s="180">
        <f>AC59</f>
        <v>32564</v>
      </c>
      <c r="F522" s="263">
        <f t="shared" si="17"/>
        <v>17.60523169201819</v>
      </c>
      <c r="G522" s="263">
        <f t="shared" si="17"/>
        <v>57.736373295663917</v>
      </c>
      <c r="H522" s="265">
        <f t="shared" si="16"/>
        <v>2.2795009066447145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174869</v>
      </c>
      <c r="C523" s="240">
        <f>AD71</f>
        <v>137855.78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657680</v>
      </c>
      <c r="C524" s="240">
        <f>AE71</f>
        <v>579397.59</v>
      </c>
      <c r="D524" s="240">
        <f>'Prior Year'!AE59</f>
        <v>11264</v>
      </c>
      <c r="E524" s="180">
        <f>AE59</f>
        <v>13828</v>
      </c>
      <c r="F524" s="263">
        <f t="shared" si="17"/>
        <v>58.387784090909093</v>
      </c>
      <c r="G524" s="263">
        <f t="shared" si="17"/>
        <v>41.900317471796356</v>
      </c>
      <c r="H524" s="265">
        <f t="shared" si="16"/>
        <v>-0.28237870088445116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8271417</v>
      </c>
      <c r="C526" s="240">
        <f>AG71</f>
        <v>7967647.8899999997</v>
      </c>
      <c r="D526" s="240">
        <f>'Prior Year'!AG59</f>
        <v>43236</v>
      </c>
      <c r="E526" s="180">
        <f>AG59</f>
        <v>43023</v>
      </c>
      <c r="F526" s="263">
        <f t="shared" si="17"/>
        <v>191.30856230918678</v>
      </c>
      <c r="G526" s="263">
        <f t="shared" si="17"/>
        <v>185.19507914371383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3029775</v>
      </c>
      <c r="C528" s="240">
        <f>AI71</f>
        <v>2447017.06</v>
      </c>
      <c r="D528" s="240">
        <f>'Prior Year'!AI59</f>
        <v>3862</v>
      </c>
      <c r="E528" s="180">
        <f>AI59</f>
        <v>2139</v>
      </c>
      <c r="F528" s="263">
        <f t="shared" ref="F528:G540" si="18">IF(B528=0,"",IF(D528=0,"",B528/D528))</f>
        <v>784.5093215950285</v>
      </c>
      <c r="G528" s="263">
        <f t="shared" si="18"/>
        <v>1144.0004955586724</v>
      </c>
      <c r="H528" s="265">
        <f t="shared" si="16"/>
        <v>0.45823696936161684</v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231854.68</v>
      </c>
      <c r="D529" s="240">
        <f>'Prior Year'!AJ59</f>
        <v>0</v>
      </c>
      <c r="E529" s="180">
        <f>AJ59</f>
        <v>4698</v>
      </c>
      <c r="F529" s="263" t="str">
        <f t="shared" si="18"/>
        <v/>
      </c>
      <c r="G529" s="263">
        <f t="shared" si="18"/>
        <v>49.351783737760748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300</v>
      </c>
      <c r="C530" s="240">
        <f>AK71</f>
        <v>1729.19</v>
      </c>
      <c r="D530" s="240">
        <f>'Prior Year'!AK59</f>
        <v>3105</v>
      </c>
      <c r="E530" s="180">
        <f>AK59</f>
        <v>3388</v>
      </c>
      <c r="F530" s="263">
        <f t="shared" si="18"/>
        <v>9.6618357487922704E-2</v>
      </c>
      <c r="G530" s="263">
        <f t="shared" si="18"/>
        <v>0.51038665879574974</v>
      </c>
      <c r="H530" s="265">
        <f t="shared" si="16"/>
        <v>4.2825019185360098</v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-177.44</v>
      </c>
      <c r="C531" s="240">
        <f>AL71</f>
        <v>1130.8200000000002</v>
      </c>
      <c r="D531" s="240">
        <f>'Prior Year'!AL59</f>
        <v>931</v>
      </c>
      <c r="E531" s="180">
        <f>AL59</f>
        <v>1086</v>
      </c>
      <c r="F531" s="263">
        <f t="shared" si="18"/>
        <v>-0.19059076262083779</v>
      </c>
      <c r="G531" s="263">
        <f t="shared" si="18"/>
        <v>1.0412707182320444</v>
      </c>
      <c r="H531" s="265">
        <f t="shared" si="16"/>
        <v>-6.4633850240872039</v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4158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576496.35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-893.90000000000009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1744467.38</v>
      </c>
      <c r="C544" s="240">
        <f>AY71</f>
        <v>2068514.89</v>
      </c>
      <c r="D544" s="240">
        <f>'Prior Year'!AY59</f>
        <v>378514</v>
      </c>
      <c r="E544" s="180">
        <f>AY59</f>
        <v>62617</v>
      </c>
      <c r="F544" s="263">
        <f t="shared" ref="F544:G550" si="19">IF(B544=0,"",IF(D544=0,"",B544/D544))</f>
        <v>4.6087261765747103</v>
      </c>
      <c r="G544" s="263">
        <f t="shared" si="19"/>
        <v>33.034397847229982</v>
      </c>
      <c r="H544" s="265">
        <f t="shared" si="16"/>
        <v>6.1677935684566432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503526</v>
      </c>
      <c r="C546" s="240">
        <f>BA71</f>
        <v>508939.84999999992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238438.11000000004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574053</v>
      </c>
      <c r="C549" s="240">
        <f>BD71</f>
        <v>-74734.270000000062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3341502</v>
      </c>
      <c r="C550" s="240">
        <f>BE71</f>
        <v>2457804.83</v>
      </c>
      <c r="D550" s="240">
        <f>'Prior Year'!BE59</f>
        <v>201872</v>
      </c>
      <c r="E550" s="180">
        <f>BE59</f>
        <v>202634</v>
      </c>
      <c r="F550" s="263">
        <f t="shared" si="19"/>
        <v>16.552577871126257</v>
      </c>
      <c r="G550" s="263">
        <f t="shared" si="19"/>
        <v>12.129281512480631</v>
      </c>
      <c r="H550" s="265">
        <f t="shared" si="16"/>
        <v>-0.26722703817400373</v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1255901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38405</v>
      </c>
      <c r="C552" s="240">
        <f>BG71</f>
        <v>47822.19999999999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2862053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885962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211351</v>
      </c>
      <c r="C555" s="240">
        <f>BJ71</f>
        <v>295784.32000000007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2079359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1293580</v>
      </c>
      <c r="C557" s="240">
        <f>BL71</f>
        <v>1057961.73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-2992066</v>
      </c>
      <c r="C559" s="240">
        <f>BN71</f>
        <v>5604976.3799999999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329152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330042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41528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60005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1731351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255270</v>
      </c>
      <c r="C568" s="240">
        <f>BW71</f>
        <v>230283.95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1317336.4099999999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2489962</v>
      </c>
      <c r="C570" s="240">
        <f>BY71</f>
        <v>1155918.05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87115.000000000015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951642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5717043</v>
      </c>
      <c r="C574" s="240">
        <f>CC71</f>
        <v>26622918.440000005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2725857</v>
      </c>
      <c r="C575" s="240">
        <f>CD71</f>
        <v>3067282.3600000008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153863</v>
      </c>
      <c r="E612" s="180">
        <f>SUM(C624:D647)+SUM(C668:D713)</f>
        <v>86129116.306819692</v>
      </c>
      <c r="F612" s="180">
        <f>CE64-(AX64+BD64+BE64+BG64+BJ64+BN64+BP64+BQ64+CB64+CC64+CD64)</f>
        <v>26907587.920000002</v>
      </c>
      <c r="G612" s="180">
        <f>CE77-(AX77+AY77+BD77+BE77+BG77+BJ77+BN77+BP77+BQ77+CB77+CC77+CD77)</f>
        <v>62617</v>
      </c>
      <c r="H612" s="197">
        <f>CE60-(AX60+AY60+AZ60+BD60+BE60+BG60+BJ60+BN60+BO60+BP60+BQ60+BR60+CB60+CC60+CD60)</f>
        <v>494.2600000000001</v>
      </c>
      <c r="I612" s="180">
        <f>CE78-(AX78+AY78+AZ78+BD78+BE78+BF78+BG78+BJ78+BN78+BO78+BP78+BQ78+BR78+CB78+CC78+CD78)</f>
        <v>52093.718267568904</v>
      </c>
      <c r="J612" s="180">
        <f>CE79-(AX79+AY79+AZ79+BA79+BD79+BE79+BF79+BG79+BJ79+BN79+BO79+BP79+BQ79+BR79+CB79+CC79+CD79)</f>
        <v>229963.47537703137</v>
      </c>
      <c r="K612" s="180">
        <f>CE75-(AW75+AX75+AY75+AZ75+BA75+BB75+BC75+BD75+BE75+BF75+BG75+BH75+BI75+BJ75+BK75+BL75+BM75+BN75+BO75+BP75+BQ75+BR75+BS75+BT75+BU75+BV75+BW75+BX75+CB75+CC75+CD75)</f>
        <v>699887111.04000008</v>
      </c>
      <c r="L612" s="197">
        <f>CE80-(AW80+AX80+AY80+AZ80+BA80+BB80+BC80+BD80+BE80+BF80+BG80+BH80+BI80+BJ80+BK80+BL80+BM80+BN80+BO80+BP80+BQ80+BR80+BS80+BT80+BU80+BV80+BW80+BX80+BY80+BZ80+CA80+CB80+CC80+CD80)</f>
        <v>175.52999999999997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2457804.83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3067282.3600000008</v>
      </c>
      <c r="D615" s="266">
        <f>SUM(C614:C615)</f>
        <v>5525087.1900000013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295784.32000000007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47822.19999999999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5604976.3799999999</v>
      </c>
      <c r="D619" s="180">
        <f>(D615/D612)*BN76</f>
        <v>302390.82318029681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26622918.440000005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32873892.163180303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-74734.270000000062</v>
      </c>
      <c r="D624" s="180">
        <f>(D615/D612)*BD76</f>
        <v>0</v>
      </c>
      <c r="E624" s="180">
        <f>(E623/E612)*SUM(C624:D624)</f>
        <v>-28524.689886774948</v>
      </c>
      <c r="F624" s="180">
        <f>SUM(C624:E624)</f>
        <v>-103258.959886775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2068514.89</v>
      </c>
      <c r="D625" s="180">
        <f>(D615/D612)*AY76</f>
        <v>192437.05277558611</v>
      </c>
      <c r="E625" s="180">
        <f>(E623/E612)*SUM(C625:D625)</f>
        <v>862963.57770772208</v>
      </c>
      <c r="F625" s="180">
        <f>(F624/F612)*AY64</f>
        <v>-3182.114531806501</v>
      </c>
      <c r="G625" s="180">
        <f>SUM(C625:F625)</f>
        <v>3120733.4059515018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40325.958250976524</v>
      </c>
      <c r="E626" s="180">
        <f>(E623/E612)*SUM(C626:D626)</f>
        <v>15391.673103867046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55717.631354843572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86612.832859621893</v>
      </c>
      <c r="E629" s="180">
        <f>(E623/E612)*SUM(C629:D629)</f>
        <v>33058.51783306084</v>
      </c>
      <c r="F629" s="180">
        <f>(F624/F612)*BF64</f>
        <v>0</v>
      </c>
      <c r="G629" s="180">
        <f>(G625/G612)*BF77</f>
        <v>0</v>
      </c>
      <c r="H629" s="180">
        <f>(H628/H612)*BF60</f>
        <v>2815.9803165216526</v>
      </c>
      <c r="I629" s="180">
        <f>SUM(C629:H629)</f>
        <v>122487.33100920438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508939.84999999992</v>
      </c>
      <c r="D630" s="180">
        <f>(D615/D612)*BA76</f>
        <v>14004.562527053289</v>
      </c>
      <c r="E630" s="180">
        <f>(E623/E612)*SUM(C630:D630)</f>
        <v>199598.21906811814</v>
      </c>
      <c r="F630" s="180">
        <f>(F624/F612)*BA64</f>
        <v>0.4739746339781013</v>
      </c>
      <c r="G630" s="180">
        <f>(G625/G612)*BA77</f>
        <v>0</v>
      </c>
      <c r="H630" s="180">
        <f>(H628/H612)*BA60</f>
        <v>0</v>
      </c>
      <c r="I630" s="180">
        <f>(I629/I612)*BA78</f>
        <v>350.34190162105256</v>
      </c>
      <c r="J630" s="180">
        <f>SUM(C630:I630)</f>
        <v>722893.44747142633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-893.90000000000009</v>
      </c>
      <c r="D631" s="180">
        <f>(D615/D612)*AW76</f>
        <v>0</v>
      </c>
      <c r="E631" s="180">
        <f>(E623/E612)*SUM(C631:D631)</f>
        <v>-341.18511212845334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238438.11000000004</v>
      </c>
      <c r="D633" s="180">
        <f>(D615/D612)*BC76</f>
        <v>0</v>
      </c>
      <c r="E633" s="180">
        <f>(E623/E612)*SUM(C633:D633)</f>
        <v>91007.420624282924</v>
      </c>
      <c r="F633" s="180">
        <f>(F624/F612)*BC64</f>
        <v>0</v>
      </c>
      <c r="G633" s="180">
        <f>(G625/G612)*BC77</f>
        <v>0</v>
      </c>
      <c r="H633" s="180">
        <f>(H628/H612)*BC60</f>
        <v>661.72155556373502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1057961.73</v>
      </c>
      <c r="D637" s="180">
        <f>(D615/D612)*BL76</f>
        <v>0</v>
      </c>
      <c r="E637" s="180">
        <f>(E623/E612)*SUM(C637:D637)</f>
        <v>403804.44286571478</v>
      </c>
      <c r="F637" s="180">
        <f>(F624/F612)*BL64</f>
        <v>-87.78412395524623</v>
      </c>
      <c r="G637" s="180">
        <f>(G625/G612)*BL77</f>
        <v>0</v>
      </c>
      <c r="H637" s="180">
        <f>(H628/H612)*BL60</f>
        <v>2277.1338027917286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35765.498146013015</v>
      </c>
      <c r="E639" s="180">
        <f>(E623/E612)*SUM(C639:D639)</f>
        <v>13651.029751960443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893.4894135302012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93220.113641616263</v>
      </c>
      <c r="E642" s="180">
        <f>(E623/E612)*SUM(C642:D642)</f>
        <v>35580.394815350715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2327.7750510392084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230283.95</v>
      </c>
      <c r="D643" s="180">
        <f>(D615/D612)*BW76</f>
        <v>0</v>
      </c>
      <c r="E643" s="180">
        <f>(E623/E612)*SUM(C643:D643)</f>
        <v>87895.128428384764</v>
      </c>
      <c r="F643" s="180">
        <f>(F624/F612)*BW64</f>
        <v>-20.332863253306705</v>
      </c>
      <c r="G643" s="180">
        <f>(G625/G612)*BW77</f>
        <v>0</v>
      </c>
      <c r="H643" s="180">
        <f>(H628/H612)*BW60</f>
        <v>375.38888927210184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1317336.4099999999</v>
      </c>
      <c r="D644" s="180">
        <f>(D615/D612)*BX76</f>
        <v>0</v>
      </c>
      <c r="E644" s="180">
        <f>(E623/E612)*SUM(C644:D644)</f>
        <v>502802.96538398491</v>
      </c>
      <c r="F644" s="180">
        <f>(F624/F612)*BX64</f>
        <v>-21.15190953401229</v>
      </c>
      <c r="G644" s="180">
        <f>(G625/G612)*BX77</f>
        <v>0</v>
      </c>
      <c r="H644" s="180">
        <f>(H628/H612)*BX60</f>
        <v>1306.5337017007987</v>
      </c>
      <c r="I644" s="180">
        <f>(I629/I612)*BX78</f>
        <v>0</v>
      </c>
      <c r="J644" s="180">
        <f>(J630/J612)*BX79</f>
        <v>0</v>
      </c>
      <c r="K644" s="180">
        <f>SUM(C631:J644)</f>
        <v>4114224.882062335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1155918.05</v>
      </c>
      <c r="D645" s="180">
        <f>(D615/D612)*BY76</f>
        <v>260736.22694598447</v>
      </c>
      <c r="E645" s="180">
        <f>(E623/E612)*SUM(C645:D645)</f>
        <v>540710.75995868514</v>
      </c>
      <c r="F645" s="180">
        <f>(F624/F612)*BY64</f>
        <v>-0.96460419396595853</v>
      </c>
      <c r="G645" s="180">
        <f>(G625/G612)*BY77</f>
        <v>0</v>
      </c>
      <c r="H645" s="180">
        <f>(H628/H612)*BY60</f>
        <v>979.61845278515455</v>
      </c>
      <c r="I645" s="180">
        <f>(I629/I612)*BY78</f>
        <v>6513.0675670490982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87115.000000000015</v>
      </c>
      <c r="D646" s="180">
        <f>(D615/D612)*BZ76</f>
        <v>0</v>
      </c>
      <c r="E646" s="180">
        <f>(E623/E612)*SUM(C646:D646)</f>
        <v>33250.185751281148</v>
      </c>
      <c r="F646" s="180">
        <f>(F624/F612)*BZ64</f>
        <v>-0.18788598558471248</v>
      </c>
      <c r="G646" s="180">
        <f>(G625/G612)*BZ77</f>
        <v>0</v>
      </c>
      <c r="H646" s="180">
        <f>(H628/H612)*BZ60</f>
        <v>55.237404127126091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2085276.9935897326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44685468.350000001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3452471.88</v>
      </c>
      <c r="D668" s="180">
        <f>(D615/D612)*C76</f>
        <v>149561.54596199217</v>
      </c>
      <c r="E668" s="180">
        <f>(E623/E612)*SUM(C668:D668)</f>
        <v>1374829.5987552067</v>
      </c>
      <c r="F668" s="180">
        <f>(F624/F612)*C64</f>
        <v>-545.96697154527681</v>
      </c>
      <c r="G668" s="180">
        <f>(G625/G612)*C77</f>
        <v>193024.26627353858</v>
      </c>
      <c r="H668" s="180">
        <f>(H628/H612)*C60</f>
        <v>3208.2786152204258</v>
      </c>
      <c r="I668" s="180">
        <f>(I629/I612)*C78</f>
        <v>3736.1403513139426</v>
      </c>
      <c r="J668" s="180">
        <f>(J630/J612)*C79</f>
        <v>26836.180619315674</v>
      </c>
      <c r="K668" s="180">
        <f>(K644/K612)*C75</f>
        <v>87548.022330623789</v>
      </c>
      <c r="L668" s="180">
        <f>(L647/L612)*C80</f>
        <v>252318.51622435768</v>
      </c>
      <c r="M668" s="180">
        <f t="shared" ref="M668:M713" si="20">ROUND(SUM(D668:L668),0)</f>
        <v>2090517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7073825.3199999994</v>
      </c>
      <c r="D669" s="180">
        <f>(D615/D612)*D76</f>
        <v>257109.40434282451</v>
      </c>
      <c r="E669" s="180">
        <f>(E623/E612)*SUM(C669:D669)</f>
        <v>2798082.3200931628</v>
      </c>
      <c r="F669" s="180">
        <f>(F624/F612)*D64</f>
        <v>-3011.278930785762</v>
      </c>
      <c r="G669" s="180">
        <f>(G625/G612)*D77</f>
        <v>2088180.6694022703</v>
      </c>
      <c r="H669" s="180">
        <f>(H628/H612)*D60</f>
        <v>7729.8546959123178</v>
      </c>
      <c r="I669" s="180">
        <f>(I629/I612)*D78</f>
        <v>6422.752680770187</v>
      </c>
      <c r="J669" s="180">
        <f>(J630/J612)*D79</f>
        <v>152631.22571070012</v>
      </c>
      <c r="K669" s="180">
        <f>(K644/K612)*D75</f>
        <v>195722.64884803421</v>
      </c>
      <c r="L669" s="180">
        <f>(L647/L612)*D80</f>
        <v>0</v>
      </c>
      <c r="M669" s="180">
        <f t="shared" si="20"/>
        <v>5502868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1059364.71</v>
      </c>
      <c r="D670" s="180">
        <f>(D615/D612)*E76</f>
        <v>1420493.5498594206</v>
      </c>
      <c r="E670" s="180">
        <f>(E623/E612)*SUM(C670:D670)</f>
        <v>946516.07389283751</v>
      </c>
      <c r="F670" s="180">
        <f>(F624/F612)*E64</f>
        <v>-1379.4034920773411</v>
      </c>
      <c r="G670" s="180">
        <f>(G625/G612)*E77</f>
        <v>0</v>
      </c>
      <c r="H670" s="180">
        <f>(H628/H612)*E60</f>
        <v>1516.2103785915224</v>
      </c>
      <c r="I670" s="180">
        <f>(I629/I612)*E78</f>
        <v>35484.811528757971</v>
      </c>
      <c r="J670" s="180">
        <f>(J630/J612)*E79</f>
        <v>0</v>
      </c>
      <c r="K670" s="180">
        <f>(K644/K612)*E75</f>
        <v>146.40690949272917</v>
      </c>
      <c r="L670" s="180">
        <f>(L647/L612)*E80</f>
        <v>577621.72722435603</v>
      </c>
      <c r="M670" s="180">
        <f t="shared" si="20"/>
        <v>2980399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2981913.56</v>
      </c>
      <c r="D671" s="180">
        <f>(D615/D612)*F76</f>
        <v>0</v>
      </c>
      <c r="E671" s="180">
        <f>(E623/E612)*SUM(C671:D671)</f>
        <v>1138141.3047611092</v>
      </c>
      <c r="F671" s="180">
        <f>(F624/F612)*F64</f>
        <v>-448.6169334971645</v>
      </c>
      <c r="G671" s="180">
        <f>(G625/G612)*F77</f>
        <v>198107.78684154814</v>
      </c>
      <c r="H671" s="180">
        <f>(H628/H612)*F60</f>
        <v>2654.7772799873869</v>
      </c>
      <c r="I671" s="180">
        <f>(I629/I612)*F78</f>
        <v>0</v>
      </c>
      <c r="J671" s="180">
        <f>(J630/J612)*F79</f>
        <v>64015.163753480454</v>
      </c>
      <c r="K671" s="180">
        <f>(K644/K612)*F75</f>
        <v>51000.797948740787</v>
      </c>
      <c r="L671" s="180">
        <f>(L647/L612)*F80</f>
        <v>0</v>
      </c>
      <c r="M671" s="180">
        <f t="shared" si="20"/>
        <v>1453471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34472.769297361941</v>
      </c>
      <c r="E675" s="180">
        <f>(E623/E612)*SUM(C675:D675)</f>
        <v>13157.619038034161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861.15119742170111</v>
      </c>
      <c r="J675" s="180">
        <f>(J630/J612)*J79</f>
        <v>0</v>
      </c>
      <c r="K675" s="180">
        <f>(K644/K612)*J75</f>
        <v>0</v>
      </c>
      <c r="L675" s="180">
        <f>(L647/L612)*J80</f>
        <v>218954.08432692196</v>
      </c>
      <c r="M675" s="180">
        <f t="shared" si="20"/>
        <v>267446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267710.63999999996</v>
      </c>
      <c r="D680" s="180">
        <f>(D615/D612)*O76</f>
        <v>25531.39476085869</v>
      </c>
      <c r="E680" s="180">
        <f>(E623/E612)*SUM(C680:D680)</f>
        <v>111925.06601483315</v>
      </c>
      <c r="F680" s="180">
        <f>(F624/F612)*O64</f>
        <v>-453.62139338444621</v>
      </c>
      <c r="G680" s="180">
        <f>(G625/G612)*O77</f>
        <v>0</v>
      </c>
      <c r="H680" s="180">
        <f>(H628/H612)*O60</f>
        <v>0</v>
      </c>
      <c r="I680" s="180">
        <f>(I629/I612)*O78</f>
        <v>637.79010559044741</v>
      </c>
      <c r="J680" s="180">
        <f>(J630/J612)*O79</f>
        <v>0</v>
      </c>
      <c r="K680" s="180">
        <f>(K644/K612)*O75</f>
        <v>22153.007728787197</v>
      </c>
      <c r="L680" s="180">
        <f>(L647/L612)*O80</f>
        <v>0</v>
      </c>
      <c r="M680" s="180">
        <f t="shared" si="20"/>
        <v>159794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24554306.760000002</v>
      </c>
      <c r="D681" s="180">
        <f>(D615/D612)*P76</f>
        <v>1035044.8981532924</v>
      </c>
      <c r="E681" s="180">
        <f>(E623/E612)*SUM(C681:D681)</f>
        <v>9766982.6767887399</v>
      </c>
      <c r="F681" s="180">
        <f>(F624/F612)*P64</f>
        <v>-59710.783986100214</v>
      </c>
      <c r="G681" s="180">
        <f>(G625/G612)*P77</f>
        <v>498683.40003434732</v>
      </c>
      <c r="H681" s="180">
        <f>(H628/H612)*P60</f>
        <v>8884.2037127730764</v>
      </c>
      <c r="I681" s="180">
        <f>(I629/I612)*P79</f>
        <v>87841.765789670491</v>
      </c>
      <c r="J681" s="180" t="e">
        <f>(J630/J612)*#REF!</f>
        <v>#REF!</v>
      </c>
      <c r="K681" s="180">
        <f>(K644/K612)*P75</f>
        <v>1246253.9859953937</v>
      </c>
      <c r="L681" s="180">
        <f>(L647/L612)*P80</f>
        <v>254403.79321794742</v>
      </c>
      <c r="M681" s="180" t="e">
        <f t="shared" si="20"/>
        <v>#REF!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93938.296335311301</v>
      </c>
      <c r="E682" s="180">
        <f>(E623/E612)*SUM(C682:D682)</f>
        <v>35854.511878643098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2346.6370129741354</v>
      </c>
      <c r="J682" s="180">
        <f>(J630/J612)*Q79</f>
        <v>0</v>
      </c>
      <c r="K682" s="180">
        <f>(K644/K612)*Q75</f>
        <v>0</v>
      </c>
      <c r="L682" s="180">
        <f>(L647/L612)*Q80</f>
        <v>120946.06562820451</v>
      </c>
      <c r="M682" s="180">
        <f t="shared" si="20"/>
        <v>253086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3755438.9</v>
      </c>
      <c r="D683" s="180">
        <f>(D615/D612)*R76</f>
        <v>23771.847161305843</v>
      </c>
      <c r="E683" s="180">
        <f>(E623/E612)*SUM(C683:D683)</f>
        <v>1442454.9082976687</v>
      </c>
      <c r="F683" s="180">
        <f>(F624/F612)*R64</f>
        <v>-1297.405343143452</v>
      </c>
      <c r="G683" s="180">
        <f>(G625/G612)*R77</f>
        <v>15200.72326708734</v>
      </c>
      <c r="H683" s="180">
        <f>(H628/H612)*R60</f>
        <v>1805.9249267684897</v>
      </c>
      <c r="I683" s="180">
        <f>(I629/I612)*R78</f>
        <v>593.83551322204801</v>
      </c>
      <c r="J683" s="180">
        <f>(J630/J612)*R79</f>
        <v>23354.106394503797</v>
      </c>
      <c r="K683" s="180">
        <f>(K644/K612)*R75</f>
        <v>126224.47483445524</v>
      </c>
      <c r="L683" s="180">
        <f>(L647/L612)*R80</f>
        <v>10426.384967948665</v>
      </c>
      <c r="M683" s="180">
        <f t="shared" si="20"/>
        <v>1642535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912313.47</v>
      </c>
      <c r="D684" s="180">
        <f>(D615/D612)*S76</f>
        <v>168413.841671487</v>
      </c>
      <c r="E684" s="180">
        <f>(E623/E612)*SUM(C684:D684)</f>
        <v>412493.64471743844</v>
      </c>
      <c r="F684" s="180">
        <f>(F624/F612)*S64</f>
        <v>-1205.2060136531818</v>
      </c>
      <c r="G684" s="180">
        <f>(G625/G612)*S77</f>
        <v>0</v>
      </c>
      <c r="H684" s="180">
        <f>(H628/H612)*S60</f>
        <v>659.46696764017884</v>
      </c>
      <c r="I684" s="180">
        <f>(I629/I612)*S78</f>
        <v>4207.0824124039355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584569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4554377.84</v>
      </c>
      <c r="D686" s="180">
        <f>(D615/D612)*U76</f>
        <v>135700.61997367791</v>
      </c>
      <c r="E686" s="180">
        <f>(E623/E612)*SUM(C686:D686)</f>
        <v>1790116.2828698545</v>
      </c>
      <c r="F686" s="180">
        <f>(F624/F612)*U64</f>
        <v>-8055.4125019651356</v>
      </c>
      <c r="G686" s="180">
        <f>(G625/G612)*U77</f>
        <v>0</v>
      </c>
      <c r="H686" s="180">
        <f>(H628/H612)*U60</f>
        <v>2679.5777471465044</v>
      </c>
      <c r="I686" s="180">
        <f>(I629/I612)*U78</f>
        <v>3389.885807350634</v>
      </c>
      <c r="J686" s="180">
        <f>(J630/J612)*U79</f>
        <v>162.98888163430414</v>
      </c>
      <c r="K686" s="180">
        <f>(K644/K612)*U75</f>
        <v>282460.92049580935</v>
      </c>
      <c r="L686" s="180">
        <f>(L647/L612)*U80</f>
        <v>0</v>
      </c>
      <c r="M686" s="180">
        <f t="shared" si="20"/>
        <v>2206455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12098.08</v>
      </c>
      <c r="D687" s="180">
        <f>(D615/D612)*V76</f>
        <v>58029.161650559276</v>
      </c>
      <c r="E687" s="180">
        <f>(E623/E612)*SUM(C687:D687)</f>
        <v>26766.272296459567</v>
      </c>
      <c r="F687" s="180">
        <f>(F624/F612)*V64</f>
        <v>-2.9760127005911872</v>
      </c>
      <c r="G687" s="180">
        <f>(G625/G612)*V77</f>
        <v>0</v>
      </c>
      <c r="H687" s="180">
        <f>(H628/H612)*V60</f>
        <v>0</v>
      </c>
      <c r="I687" s="180">
        <f>(I629/I612)*V78</f>
        <v>1449.6045156598634</v>
      </c>
      <c r="J687" s="180">
        <f>(J630/J612)*V79</f>
        <v>0</v>
      </c>
      <c r="K687" s="180">
        <f>(K644/K612)*V75</f>
        <v>12104.368502889918</v>
      </c>
      <c r="L687" s="180">
        <f>(L647/L612)*V80</f>
        <v>0</v>
      </c>
      <c r="M687" s="180">
        <f t="shared" si="20"/>
        <v>98346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589456.21</v>
      </c>
      <c r="D688" s="180">
        <f>(D615/D612)*W76</f>
        <v>55623.249626680888</v>
      </c>
      <c r="E688" s="180">
        <f>(E623/E612)*SUM(C688:D688)</f>
        <v>246214.90968172185</v>
      </c>
      <c r="F688" s="180">
        <f>(F624/F612)*W64</f>
        <v>-14.039718872168754</v>
      </c>
      <c r="G688" s="180">
        <f>(G625/G612)*W77</f>
        <v>0</v>
      </c>
      <c r="H688" s="180">
        <f>(H628/H612)*W60</f>
        <v>331.42442476275653</v>
      </c>
      <c r="I688" s="180">
        <f>(I629/I612)*W78</f>
        <v>1389.5033383398072</v>
      </c>
      <c r="J688" s="180">
        <f>(J630/J612)*W79</f>
        <v>20316.203213789002</v>
      </c>
      <c r="K688" s="180">
        <f>(K644/K612)*W75</f>
        <v>54691.941100357602</v>
      </c>
      <c r="L688" s="180">
        <f>(L647/L612)*W80</f>
        <v>0</v>
      </c>
      <c r="M688" s="180">
        <f t="shared" si="20"/>
        <v>378553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968387.48</v>
      </c>
      <c r="D689" s="180">
        <f>(D615/D612)*X76</f>
        <v>20540.025039678159</v>
      </c>
      <c r="E689" s="180">
        <f>(E623/E612)*SUM(C689:D689)</f>
        <v>377455.35484268283</v>
      </c>
      <c r="F689" s="180">
        <f>(F624/F612)*X64</f>
        <v>-446.29844499530867</v>
      </c>
      <c r="G689" s="180">
        <f>(G625/G612)*X77</f>
        <v>0</v>
      </c>
      <c r="H689" s="180">
        <f>(H628/H612)*X60</f>
        <v>853.36152906600933</v>
      </c>
      <c r="I689" s="180">
        <f>(I629/I612)*X78</f>
        <v>513.1025884637636</v>
      </c>
      <c r="J689" s="180">
        <f>(J630/J612)*X79</f>
        <v>18646.563813918379</v>
      </c>
      <c r="K689" s="180">
        <f>(K644/K612)*X75</f>
        <v>441036.75809384475</v>
      </c>
      <c r="L689" s="180">
        <f>(L647/L612)*X80</f>
        <v>0</v>
      </c>
      <c r="M689" s="180">
        <f t="shared" si="20"/>
        <v>858599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4360743.2700000005</v>
      </c>
      <c r="D690" s="180">
        <f>(D615/D612)*Y76</f>
        <v>375358.1848597129</v>
      </c>
      <c r="E690" s="180">
        <f>(E623/E612)*SUM(C690:D690)</f>
        <v>1807682.4095850119</v>
      </c>
      <c r="F690" s="180">
        <f>(F624/F612)*Y64</f>
        <v>-4655.3730218712672</v>
      </c>
      <c r="G690" s="180">
        <f>(G625/G612)*Y77</f>
        <v>0</v>
      </c>
      <c r="H690" s="180">
        <f>(H628/H612)*Y60</f>
        <v>3375.1181215635825</v>
      </c>
      <c r="I690" s="180">
        <f>(I629/I612)*Y78</f>
        <v>9376.6806944260843</v>
      </c>
      <c r="J690" s="180">
        <f>(J630/J612)*Y79</f>
        <v>76533.043763205002</v>
      </c>
      <c r="K690" s="180">
        <f>(K644/K612)*Y75</f>
        <v>292433.00686529774</v>
      </c>
      <c r="L690" s="180">
        <f>(L647/L612)*Y80</f>
        <v>2085.2769935897327</v>
      </c>
      <c r="M690" s="180">
        <f t="shared" si="20"/>
        <v>2562188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838361.08</v>
      </c>
      <c r="D692" s="180">
        <f>(D615/D612)*AA76</f>
        <v>35945.043819436774</v>
      </c>
      <c r="E692" s="180">
        <f>(E623/E612)*SUM(C692:D692)</f>
        <v>333706.49165446684</v>
      </c>
      <c r="F692" s="180">
        <f>(F624/F612)*AA64</f>
        <v>-1662.430205237107</v>
      </c>
      <c r="G692" s="180">
        <f>(G625/G612)*AA77</f>
        <v>0</v>
      </c>
      <c r="H692" s="180">
        <f>(H628/H612)*AA60</f>
        <v>348.33383418942782</v>
      </c>
      <c r="I692" s="180">
        <f>(I629/I612)*AA78</f>
        <v>897.92952981158624</v>
      </c>
      <c r="J692" s="180">
        <f>(J630/J612)*AA79</f>
        <v>0</v>
      </c>
      <c r="K692" s="180">
        <f>(K644/K612)*AA75</f>
        <v>87199.677738762475</v>
      </c>
      <c r="L692" s="180">
        <f>(L647/L612)*AA80</f>
        <v>0</v>
      </c>
      <c r="M692" s="180">
        <f t="shared" si="20"/>
        <v>456435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5113514.3000000007</v>
      </c>
      <c r="D693" s="180">
        <f>(D615/D612)*AB76</f>
        <v>119182.41801869197</v>
      </c>
      <c r="E693" s="180">
        <f>(E623/E612)*SUM(C693:D693)</f>
        <v>1997223.6452303361</v>
      </c>
      <c r="F693" s="180">
        <f>(F624/F612)*AB64</f>
        <v>-12451.535559575032</v>
      </c>
      <c r="G693" s="180">
        <f>(G625/G612)*AB77</f>
        <v>0</v>
      </c>
      <c r="H693" s="180">
        <f>(H628/H612)*AB60</f>
        <v>1710.1049400173526</v>
      </c>
      <c r="I693" s="180">
        <f>(I629/I612)*AB78</f>
        <v>2977.2508585860687</v>
      </c>
      <c r="J693" s="180">
        <f>(J630/J612)*AB79</f>
        <v>3668.1549674510761</v>
      </c>
      <c r="K693" s="180">
        <f>(K644/K612)*AB75</f>
        <v>360218.71389497153</v>
      </c>
      <c r="L693" s="180">
        <f>(L647/L612)*AB80</f>
        <v>0</v>
      </c>
      <c r="M693" s="180">
        <f t="shared" si="20"/>
        <v>2472529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1880127.2599999998</v>
      </c>
      <c r="D694" s="180">
        <f>(D615/D612)*AC76</f>
        <v>40469.594789715535</v>
      </c>
      <c r="E694" s="180">
        <f>(E623/E612)*SUM(C694:D694)</f>
        <v>733056.32985231432</v>
      </c>
      <c r="F694" s="180">
        <f>(F624/F612)*AC64</f>
        <v>-749.31026348326498</v>
      </c>
      <c r="G694" s="180">
        <f>(G625/G612)*AC77</f>
        <v>0</v>
      </c>
      <c r="H694" s="180">
        <f>(H628/H612)*AC60</f>
        <v>1914.1451470991858</v>
      </c>
      <c r="I694" s="180">
        <f>(I629/I612)*AC78</f>
        <v>1010.9556244731846</v>
      </c>
      <c r="J694" s="180">
        <f>(J630/J612)*AC79</f>
        <v>0</v>
      </c>
      <c r="K694" s="180">
        <f>(K644/K612)*AC75</f>
        <v>89106.772188065734</v>
      </c>
      <c r="L694" s="180">
        <f>(L647/L612)*AC80</f>
        <v>0</v>
      </c>
      <c r="M694" s="180">
        <f t="shared" si="20"/>
        <v>864808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137855.78</v>
      </c>
      <c r="D695" s="180">
        <f>(D615/D612)*AD76</f>
        <v>14866.381759487338</v>
      </c>
      <c r="E695" s="180">
        <f>(E623/E612)*SUM(C695:D695)</f>
        <v>58291.227077313422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371.37145388810859</v>
      </c>
      <c r="J695" s="180">
        <f>(J630/J612)*AD79</f>
        <v>0</v>
      </c>
      <c r="K695" s="180">
        <f>(K644/K612)*AD75</f>
        <v>6263.8831253289572</v>
      </c>
      <c r="L695" s="180">
        <f>(L647/L612)*AD80</f>
        <v>0</v>
      </c>
      <c r="M695" s="180">
        <f t="shared" si="20"/>
        <v>79793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579397.59</v>
      </c>
      <c r="D696" s="180">
        <f>(D615/D612)*AE76</f>
        <v>18816.386574810062</v>
      </c>
      <c r="E696" s="180">
        <f>(E623/E612)*SUM(C696:D696)</f>
        <v>228327.22080152645</v>
      </c>
      <c r="F696" s="180">
        <f>(F624/F612)*AE64</f>
        <v>-5.2216646827084681</v>
      </c>
      <c r="G696" s="180">
        <f>(G625/G612)*AE77</f>
        <v>0</v>
      </c>
      <c r="H696" s="180">
        <f>(H628/H612)*AE60</f>
        <v>640.30297028995142</v>
      </c>
      <c r="I696" s="180">
        <f>(I629/I612)*AE78</f>
        <v>470.04502859267853</v>
      </c>
      <c r="J696" s="180">
        <f>(J630/J612)*AE79</f>
        <v>0</v>
      </c>
      <c r="K696" s="180">
        <f>(K644/K612)*AE75</f>
        <v>19126.906800142555</v>
      </c>
      <c r="L696" s="180">
        <f>(L647/L612)*AE80</f>
        <v>0</v>
      </c>
      <c r="M696" s="180">
        <f t="shared" si="20"/>
        <v>267376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7967647.8899999997</v>
      </c>
      <c r="D698" s="180">
        <f>(D615/D612)*AG76</f>
        <v>389362.74738676619</v>
      </c>
      <c r="E698" s="180">
        <f>(E623/E612)*SUM(C698:D698)</f>
        <v>3189716.5358266933</v>
      </c>
      <c r="F698" s="180">
        <f>(F624/F612)*AG64</f>
        <v>-3256.1496305866385</v>
      </c>
      <c r="G698" s="180">
        <f>(G625/G612)*AG77</f>
        <v>102517.66478819233</v>
      </c>
      <c r="H698" s="180">
        <f>(H628/H612)*AG60</f>
        <v>6041.16834116875</v>
      </c>
      <c r="I698" s="180">
        <f>(I629/I612)*AG78</f>
        <v>9726.52336837865</v>
      </c>
      <c r="J698" s="180">
        <f>(J630/J612)*AG79</f>
        <v>144712.59263450175</v>
      </c>
      <c r="K698" s="180">
        <f>(K644/K612)*AG75</f>
        <v>584263.74660046969</v>
      </c>
      <c r="L698" s="180">
        <f>(L647/L612)*AG80</f>
        <v>352411.81191666488</v>
      </c>
      <c r="M698" s="180">
        <f t="shared" si="20"/>
        <v>4775497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2447017.06</v>
      </c>
      <c r="D700" s="180">
        <f>(D615/D612)*AI76</f>
        <v>0</v>
      </c>
      <c r="E700" s="180">
        <f>(E623/E612)*SUM(C700:D700)</f>
        <v>933981.19476041861</v>
      </c>
      <c r="F700" s="180">
        <f>(F624/F612)*AI64</f>
        <v>-429.50049384905884</v>
      </c>
      <c r="G700" s="180">
        <f>(G625/G612)*AI77</f>
        <v>25018.895344517525</v>
      </c>
      <c r="H700" s="180">
        <f>(H628/H612)*AI60</f>
        <v>2734.8151512736308</v>
      </c>
      <c r="I700" s="180">
        <f>(I629/I612)*AI78</f>
        <v>0</v>
      </c>
      <c r="J700" s="180">
        <f>(J630/J612)*AI79</f>
        <v>56845.03200269732</v>
      </c>
      <c r="K700" s="180">
        <f>(K644/K612)*AI75</f>
        <v>116636.81404506294</v>
      </c>
      <c r="L700" s="180">
        <f>(L647/L612)*AI80</f>
        <v>154310.49752564024</v>
      </c>
      <c r="M700" s="180">
        <f t="shared" si="20"/>
        <v>1289098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231854.68</v>
      </c>
      <c r="D701" s="180">
        <f>(D615/D612)*AJ76</f>
        <v>0</v>
      </c>
      <c r="E701" s="180">
        <f>(E623/E612)*SUM(C701:D701)</f>
        <v>88494.647044755184</v>
      </c>
      <c r="F701" s="180">
        <f>(F624/F612)*AJ64</f>
        <v>-144.22294802742627</v>
      </c>
      <c r="G701" s="180">
        <f>(G625/G612)*AJ77</f>
        <v>0</v>
      </c>
      <c r="H701" s="180">
        <f>(H628/H612)*AJ60</f>
        <v>158.94844861070976</v>
      </c>
      <c r="I701" s="180">
        <f>(I629/I612)*AJ78</f>
        <v>0</v>
      </c>
      <c r="J701" s="180">
        <f>(J630/J612)*AJ79</f>
        <v>0</v>
      </c>
      <c r="K701" s="180">
        <f>(K644/K612)*AJ75</f>
        <v>272.75832275868555</v>
      </c>
      <c r="L701" s="180">
        <f>(L647/L612)*AJ80</f>
        <v>0</v>
      </c>
      <c r="M701" s="180">
        <f t="shared" si="20"/>
        <v>88782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1729.19</v>
      </c>
      <c r="D702" s="180">
        <f>(D615/D612)*AK76</f>
        <v>0</v>
      </c>
      <c r="E702" s="180">
        <f>(E623/E612)*SUM(C702:D702)</f>
        <v>659.9998702778837</v>
      </c>
      <c r="F702" s="180">
        <f>(F624/F612)*AK64</f>
        <v>-0.11969288991803886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7371.4794891608562</v>
      </c>
      <c r="L702" s="180">
        <f>(L647/L612)*AK80</f>
        <v>0</v>
      </c>
      <c r="M702" s="180">
        <f t="shared" si="20"/>
        <v>8031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1130.8200000000002</v>
      </c>
      <c r="D703" s="180">
        <f>(D615/D612)*AL76</f>
        <v>0</v>
      </c>
      <c r="E703" s="180">
        <f>(E623/E612)*SUM(C703:D703)</f>
        <v>431.6130982180307</v>
      </c>
      <c r="F703" s="180">
        <f>(F624/F612)*AL64</f>
        <v>-4.3395676106802412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4315.5472061357586</v>
      </c>
      <c r="L703" s="180">
        <f>(L647/L612)*AL80</f>
        <v>0</v>
      </c>
      <c r="M703" s="180">
        <f t="shared" si="20"/>
        <v>4743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27108.600916666524</v>
      </c>
      <c r="M705" s="180">
        <f t="shared" si="20"/>
        <v>27109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576496.35</v>
      </c>
      <c r="D708" s="180">
        <f>(D615/D612)*AQ76</f>
        <v>0</v>
      </c>
      <c r="E708" s="180">
        <f>(E623/E612)*SUM(C708:D708)</f>
        <v>220038.00404563604</v>
      </c>
      <c r="F708" s="180">
        <f>(F624/F612)*AQ64</f>
        <v>-17.685152147216588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27672.242997748555</v>
      </c>
      <c r="L708" s="180">
        <f>(L647/L612)*AQ80</f>
        <v>0</v>
      </c>
      <c r="M708" s="180">
        <f t="shared" si="20"/>
        <v>247693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27362.760629781045</v>
      </c>
      <c r="E713" s="180">
        <f>(E623/E612)*SUM(C713:D713)</f>
        <v>10443.860111439617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683.53876295347516</v>
      </c>
      <c r="J713" s="180">
        <f>(J630/J612)*AV79</f>
        <v>17733.645182668075</v>
      </c>
      <c r="K713" s="180">
        <f>(K644/K612)*AV75</f>
        <v>0</v>
      </c>
      <c r="L713" s="180">
        <f>(L647/L612)*AV80</f>
        <v>114690.2346474353</v>
      </c>
      <c r="M713" s="180">
        <f t="shared" si="20"/>
        <v>170914</v>
      </c>
      <c r="N713" s="199" t="s">
        <v>741</v>
      </c>
    </row>
    <row r="715" spans="1:15" ht="12.6" customHeight="1" x14ac:dyDescent="0.25">
      <c r="C715" s="180">
        <f>SUM(C614:C647)+SUM(C668:C713)</f>
        <v>119003008.47</v>
      </c>
      <c r="D715" s="180">
        <f>SUM(D616:D647)+SUM(D668:D713)</f>
        <v>5525087.1900000013</v>
      </c>
      <c r="E715" s="180">
        <f>SUM(E624:E647)+SUM(E668:E713)</f>
        <v>32873892.163180303</v>
      </c>
      <c r="F715" s="180">
        <f>SUM(F625:F648)+SUM(F668:F713)</f>
        <v>-103258.959886775</v>
      </c>
      <c r="G715" s="180">
        <f>SUM(G626:G647)+SUM(G668:G713)</f>
        <v>3120733.4059515018</v>
      </c>
      <c r="H715" s="180">
        <f>SUM(H629:H647)+SUM(H668:H713)</f>
        <v>55717.631354843557</v>
      </c>
      <c r="I715" s="180">
        <f>SUM(I630:I647)+SUM(I668:I713)</f>
        <v>184473.03209628831</v>
      </c>
      <c r="J715" s="180" t="e">
        <f>SUM(J631:J647)+SUM(J668:J713)</f>
        <v>#REF!</v>
      </c>
      <c r="K715" s="180">
        <f>SUM(K668:K713)</f>
        <v>4114224.8820623346</v>
      </c>
      <c r="L715" s="180">
        <f>SUM(L668:L713)</f>
        <v>2085276.9935897333</v>
      </c>
      <c r="M715" s="180" t="e">
        <f>SUM(M668:M713)</f>
        <v>#REF!</v>
      </c>
      <c r="N715" s="198" t="s">
        <v>742</v>
      </c>
    </row>
    <row r="716" spans="1:15" ht="12.6" customHeight="1" x14ac:dyDescent="0.25">
      <c r="C716" s="180">
        <f>CE71</f>
        <v>119003008.47000003</v>
      </c>
      <c r="D716" s="180">
        <f>D615</f>
        <v>5525087.1900000013</v>
      </c>
      <c r="E716" s="180">
        <f>E623</f>
        <v>32873892.163180303</v>
      </c>
      <c r="F716" s="180">
        <f>F624</f>
        <v>-103258.959886775</v>
      </c>
      <c r="G716" s="180">
        <f>G625</f>
        <v>3120733.4059515018</v>
      </c>
      <c r="H716" s="180">
        <f>H628</f>
        <v>55717.631354843572</v>
      </c>
      <c r="I716" s="180">
        <f>I629</f>
        <v>122487.33100920438</v>
      </c>
      <c r="J716" s="180">
        <f>J630</f>
        <v>722893.44747142633</v>
      </c>
      <c r="K716" s="180">
        <f>K644</f>
        <v>4114224.882062335</v>
      </c>
      <c r="L716" s="180">
        <f>L647</f>
        <v>2085276.9935897326</v>
      </c>
      <c r="M716" s="180">
        <f>C648</f>
        <v>44685468.350000001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customSheetViews>
    <customSheetView guid="{AF224140-1822-4D55-AA68-8E6ECE9F00FA}" scale="75" showGridLines="0" fitToPage="1" printArea="1" topLeftCell="A103">
      <selection activeCell="B142" sqref="B142"/>
      <pageMargins left="0.25" right="0.25" top="0.5" bottom="0.5" header="0.5" footer="0.5"/>
      <printOptions horizontalCentered="1"/>
      <pageSetup scale="95" orientation="portrait" r:id="rId1"/>
      <headerFooter alignWithMargins="0"/>
    </customSheetView>
    <customSheetView guid="{29C7D28D-A8D9-464F-A1BE-6E19ABDAC2B2}" scale="75" showGridLines="0" fitToPage="1" topLeftCell="A196">
      <selection activeCell="H215" sqref="H215"/>
      <pageMargins left="0.25" right="0.25" top="0.5" bottom="0.5" header="0.5" footer="0.5"/>
      <printOptions horizontalCentered="1"/>
      <pageSetup scale="95" orientation="portrait" r:id="rId2"/>
      <headerFooter alignWithMargins="0"/>
    </customSheetView>
    <customSheetView guid="{1565D254-C65C-4A11-B9EA-4BF10C869FB8}" scale="75" showGridLines="0" fitToPage="1" topLeftCell="A142">
      <pageMargins left="0.25" right="0.25" top="0.5" bottom="0.5" header="0.5" footer="0.5"/>
      <printOptions horizontalCentered="1"/>
      <pageSetup scale="95" orientation="portrait" r:id="rId3"/>
      <headerFooter alignWithMargins="0"/>
    </customSheetView>
    <customSheetView guid="{A66A08DC-EE53-4B68-9567-69AEF466998B}" scale="75" showGridLines="0" fitToPage="1" printArea="1">
      <pageMargins left="0.25" right="0.25" top="0.5" bottom="0.5" header="0.5" footer="0.5"/>
      <printOptions horizontalCentered="1"/>
      <pageSetup scale="95" orientation="portrait" r:id="rId4"/>
      <headerFooter alignWithMargins="0"/>
    </customSheetView>
  </customSheetViews>
  <mergeCells count="1">
    <mergeCell ref="B220:C220"/>
  </mergeCells>
  <phoneticPr fontId="0" type="noConversion"/>
  <hyperlinks>
    <hyperlink ref="F16" r:id="rId5"/>
    <hyperlink ref="C17" r:id="rId6"/>
  </hyperlinks>
  <printOptions horizontalCentered="1" gridLinesSet="0"/>
  <pageMargins left="0.25" right="0.25" top="0.5" bottom="0.5" header="0.5" footer="0.5"/>
  <pageSetup scale="95" orientation="portrait" r:id="rId7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94" transitionEvaluation="1" transitionEntry="1" codeName="Sheet10">
    <pageSetUpPr autoPageBreaks="0" fitToPage="1"/>
  </sheetPr>
  <dimension ref="A1:CG817"/>
  <sheetViews>
    <sheetView showGridLines="0" topLeftCell="A94" zoomScale="75" workbookViewId="0">
      <selection activeCell="C128" sqref="C128:C12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1268</v>
      </c>
      <c r="C16" s="236"/>
      <c r="E16" s="287" t="s">
        <v>1259</v>
      </c>
    </row>
    <row r="17" spans="1:6" ht="12.75" customHeight="1" x14ac:dyDescent="0.25">
      <c r="A17" s="180" t="s">
        <v>1230</v>
      </c>
      <c r="C17" s="287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88" t="s">
        <v>1234</v>
      </c>
      <c r="B20" s="288"/>
      <c r="C20" s="289"/>
      <c r="D20" s="288"/>
      <c r="E20" s="288"/>
      <c r="F20" s="288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>
        <v>0</v>
      </c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12090859</v>
      </c>
      <c r="C48" s="245">
        <f>ROUND(((B48/CE61)*C61),0)</f>
        <v>692116</v>
      </c>
      <c r="D48" s="245">
        <f>ROUND(((B48/CE61)*D61),0)</f>
        <v>0</v>
      </c>
      <c r="E48" s="195">
        <f>ROUND(((B48/CE61)*E61),0)</f>
        <v>2410098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699978</v>
      </c>
      <c r="P48" s="195">
        <f>ROUND(((B48/CE61)*P61),0)</f>
        <v>1232535</v>
      </c>
      <c r="Q48" s="195">
        <f>ROUND(((B48/CE61)*Q61),0)</f>
        <v>398788</v>
      </c>
      <c r="R48" s="195">
        <f>ROUND(((B48/CE61)*R61),0)</f>
        <v>30994</v>
      </c>
      <c r="S48" s="195">
        <f>ROUND(((B48/CE61)*S61),0)</f>
        <v>162023</v>
      </c>
      <c r="T48" s="195">
        <f>ROUND(((B48/CE61)*T61),0)</f>
        <v>0</v>
      </c>
      <c r="U48" s="195">
        <f>ROUND(((B48/CE61)*U61),0)</f>
        <v>355946</v>
      </c>
      <c r="V48" s="195">
        <f>ROUND(((B48/CE61)*V61),0)</f>
        <v>183648</v>
      </c>
      <c r="W48" s="195">
        <f>ROUND(((B48/CE61)*W61),0)</f>
        <v>64274</v>
      </c>
      <c r="X48" s="195">
        <f>ROUND(((B48/CE61)*X61),0)</f>
        <v>122995</v>
      </c>
      <c r="Y48" s="195">
        <f>ROUND(((B48/CE61)*Y61),0)</f>
        <v>554182</v>
      </c>
      <c r="Z48" s="195">
        <f>ROUND(((B48/CE61)*Z61),0)</f>
        <v>0</v>
      </c>
      <c r="AA48" s="195">
        <f>ROUND(((B48/CE61)*AA61),0)</f>
        <v>70855</v>
      </c>
      <c r="AB48" s="195">
        <f>ROUND(((B48/CE61)*AB61),0)</f>
        <v>358654</v>
      </c>
      <c r="AC48" s="195">
        <f>ROUND(((B48/CE61)*AC61),0)</f>
        <v>332203</v>
      </c>
      <c r="AD48" s="195">
        <f>ROUND(((B48/CE61)*AD61),0)</f>
        <v>0</v>
      </c>
      <c r="AE48" s="195">
        <f>ROUND(((B48/CE61)*AE61),0)</f>
        <v>137795</v>
      </c>
      <c r="AF48" s="195">
        <f>ROUND(((B48/CE61)*AF61),0)</f>
        <v>0</v>
      </c>
      <c r="AG48" s="195">
        <f>ROUND(((B48/CE61)*AG61),0)</f>
        <v>1204099</v>
      </c>
      <c r="AH48" s="195">
        <f>ROUND(((B48/CE61)*AH61),0)</f>
        <v>0</v>
      </c>
      <c r="AI48" s="195">
        <f>ROUND(((B48/CE61)*AI61),0)</f>
        <v>398496</v>
      </c>
      <c r="AJ48" s="195">
        <f>ROUND(((B48/CE61)*AJ61),0)</f>
        <v>0</v>
      </c>
      <c r="AK48" s="195">
        <f>ROUND(((B48/CE61)*AK61),0)</f>
        <v>36</v>
      </c>
      <c r="AL48" s="195">
        <f>ROUND(((B48/CE61)*AL61),0)</f>
        <v>-38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280766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27765</v>
      </c>
      <c r="BE48" s="195">
        <f>ROUND(((B48/CE61)*BE61),0)</f>
        <v>192938</v>
      </c>
      <c r="BF48" s="195">
        <f>ROUND(((B48/CE61)*BF61),0)</f>
        <v>233858</v>
      </c>
      <c r="BG48" s="195">
        <f>ROUND(((B48/CE61)*BG61),0)</f>
        <v>8251</v>
      </c>
      <c r="BH48" s="195">
        <f>ROUND(((B48/CE61)*BH61),0)</f>
        <v>147776</v>
      </c>
      <c r="BI48" s="195">
        <f>ROUND(((B48/CE61)*BI61),0)</f>
        <v>59347</v>
      </c>
      <c r="BJ48" s="195">
        <f>ROUND(((B48/CE61)*BJ61),0)</f>
        <v>24339</v>
      </c>
      <c r="BK48" s="195">
        <f>ROUND(((B48/CE61)*BK61),0)</f>
        <v>121686</v>
      </c>
      <c r="BL48" s="195">
        <f>ROUND(((B48/CE61)*BL61),0)</f>
        <v>245837</v>
      </c>
      <c r="BM48" s="195">
        <f>ROUND(((B48/CE61)*BM61),0)</f>
        <v>0</v>
      </c>
      <c r="BN48" s="195">
        <f>ROUND(((B48/CE61)*BN61),0)</f>
        <v>318255</v>
      </c>
      <c r="BO48" s="195">
        <f>ROUND(((B48/CE61)*BO61),0)</f>
        <v>0</v>
      </c>
      <c r="BP48" s="195">
        <f>ROUND(((B48/CE61)*BP61),0)</f>
        <v>6638</v>
      </c>
      <c r="BQ48" s="195">
        <f>ROUND(((B48/CE61)*BQ61),0)</f>
        <v>0</v>
      </c>
      <c r="BR48" s="195">
        <f>ROUND(((B48/CE61)*BR61),0)</f>
        <v>50841</v>
      </c>
      <c r="BS48" s="195">
        <f>ROUND(((B48/CE61)*BS61),0)</f>
        <v>0</v>
      </c>
      <c r="BT48" s="195">
        <f>ROUND(((B48/CE61)*BT61),0)</f>
        <v>12882</v>
      </c>
      <c r="BU48" s="195">
        <f>ROUND(((B48/CE61)*BU61),0)</f>
        <v>0</v>
      </c>
      <c r="BV48" s="195">
        <f>ROUND(((B48/CE61)*BV61),0)</f>
        <v>230481</v>
      </c>
      <c r="BW48" s="195">
        <f>ROUND(((B48/CE61)*BW61),0)</f>
        <v>47719</v>
      </c>
      <c r="BX48" s="195">
        <f>ROUND(((B48/CE61)*BX61),0)</f>
        <v>0</v>
      </c>
      <c r="BY48" s="195">
        <f>ROUND(((B48/CE61)*BY61),0)</f>
        <v>441759</v>
      </c>
      <c r="BZ48" s="195">
        <f>ROUND(((B48/CE61)*BZ61),0)</f>
        <v>0</v>
      </c>
      <c r="CA48" s="195">
        <f>ROUND(((B48/CE61)*CA61),0)</f>
        <v>202028</v>
      </c>
      <c r="CB48" s="195">
        <f>ROUND(((B48/CE61)*CB61),0)</f>
        <v>0</v>
      </c>
      <c r="CC48" s="195">
        <f>ROUND(((B48/CE61)*CC61),0)</f>
        <v>28017</v>
      </c>
      <c r="CD48" s="195"/>
      <c r="CE48" s="195">
        <f>SUM(C48:CD48)</f>
        <v>12090860</v>
      </c>
    </row>
    <row r="49" spans="1:84" ht="12.6" customHeight="1" x14ac:dyDescent="0.25">
      <c r="A49" s="175" t="s">
        <v>206</v>
      </c>
      <c r="B49" s="195">
        <f>B47+B48</f>
        <v>12090859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4629385</v>
      </c>
      <c r="C52" s="195">
        <f>ROUND((B52/(CE76+CF76)*C76),0)</f>
        <v>95513</v>
      </c>
      <c r="D52" s="195">
        <f>ROUND((B52/(CE76+CF76)*D76),0)</f>
        <v>164195</v>
      </c>
      <c r="E52" s="195">
        <f>ROUND((B52/(CE76+CF76)*E76),0)</f>
        <v>907155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22015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16305</v>
      </c>
      <c r="P52" s="195">
        <f>ROUND((B52/(CE76+CF76)*P76),0)</f>
        <v>661000</v>
      </c>
      <c r="Q52" s="195">
        <f>ROUND((B52/(CE76+CF76)*Q76),0)</f>
        <v>59991</v>
      </c>
      <c r="R52" s="195">
        <f>ROUND((B52/(CE76+CF76)*R76),0)</f>
        <v>15181</v>
      </c>
      <c r="S52" s="195">
        <f>ROUND((B52/(CE76+CF76)*S76),0)</f>
        <v>107552</v>
      </c>
      <c r="T52" s="195">
        <f>ROUND((B52/(CE76+CF76)*T76),0)</f>
        <v>0</v>
      </c>
      <c r="U52" s="195">
        <f>ROUND((B52/(CE76+CF76)*U76),0)</f>
        <v>86661</v>
      </c>
      <c r="V52" s="195">
        <f>ROUND((B52/(CE76+CF76)*V76),0)</f>
        <v>37059</v>
      </c>
      <c r="W52" s="195">
        <f>ROUND((B52/(CE76+CF76)*W76),0)</f>
        <v>35522</v>
      </c>
      <c r="X52" s="195">
        <f>ROUND((B52/(CE76+CF76)*X76),0)</f>
        <v>13117</v>
      </c>
      <c r="Y52" s="195">
        <f>ROUND((B52/(CE76+CF76)*Y76),0)</f>
        <v>239711</v>
      </c>
      <c r="Z52" s="195">
        <f>ROUND((B52/(CE76+CF76)*Z76),0)</f>
        <v>0</v>
      </c>
      <c r="AA52" s="195">
        <f>ROUND((B52/(CE76+CF76)*AA76),0)</f>
        <v>22955</v>
      </c>
      <c r="AB52" s="195">
        <f>ROUND((B52/(CE76+CF76)*AB76),0)</f>
        <v>76112</v>
      </c>
      <c r="AC52" s="195">
        <f>ROUND((B52/(CE76+CF76)*AC76),0)</f>
        <v>25845</v>
      </c>
      <c r="AD52" s="195">
        <f>ROUND((B52/(CE76+CF76)*AD76),0)</f>
        <v>9494</v>
      </c>
      <c r="AE52" s="195">
        <f>ROUND((B52/(CE76+CF76)*AE76),0)</f>
        <v>12017</v>
      </c>
      <c r="AF52" s="195">
        <f>ROUND((B52/(CE76+CF76)*AF76),0)</f>
        <v>0</v>
      </c>
      <c r="AG52" s="195">
        <f>ROUND((B52/(CE76+CF76)*AG76),0)</f>
        <v>248655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122894</v>
      </c>
      <c r="AZ52" s="195">
        <f>ROUND((B52/(CE76+CF76)*AZ76),0)</f>
        <v>0</v>
      </c>
      <c r="BA52" s="195">
        <f>ROUND((B52/(CE76+CF76)*BA76),0)</f>
        <v>8944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1118430</v>
      </c>
      <c r="BF52" s="195">
        <f>ROUND((B52/(CE76+CF76)*BF76),0)</f>
        <v>55313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193113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25753</v>
      </c>
      <c r="BS52" s="195">
        <f>ROUND((B52/(CE76+CF76)*BS76),0)</f>
        <v>22841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59532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166511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4629386</v>
      </c>
    </row>
    <row r="53" spans="1:84" ht="12.6" customHeight="1" x14ac:dyDescent="0.25">
      <c r="A53" s="175" t="s">
        <v>206</v>
      </c>
      <c r="B53" s="195">
        <f>B51+B52</f>
        <v>4629385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290">
        <v>2842</v>
      </c>
      <c r="D59" s="290"/>
      <c r="E59" s="290">
        <v>17744</v>
      </c>
      <c r="F59" s="290"/>
      <c r="G59" s="290"/>
      <c r="H59" s="290"/>
      <c r="I59" s="290"/>
      <c r="J59" s="290">
        <v>195</v>
      </c>
      <c r="K59" s="290"/>
      <c r="L59" s="290"/>
      <c r="M59" s="290"/>
      <c r="N59" s="290"/>
      <c r="O59" s="290">
        <v>708</v>
      </c>
      <c r="P59" s="286">
        <v>510247</v>
      </c>
      <c r="Q59" s="286"/>
      <c r="R59" s="286">
        <v>480437</v>
      </c>
      <c r="S59" s="248"/>
      <c r="T59" s="248"/>
      <c r="U59" s="291">
        <v>346146</v>
      </c>
      <c r="V59" s="286">
        <v>15198</v>
      </c>
      <c r="W59" s="286">
        <v>1739</v>
      </c>
      <c r="X59" s="286">
        <v>15131</v>
      </c>
      <c r="Y59" s="286">
        <v>27215</v>
      </c>
      <c r="Z59" s="185"/>
      <c r="AA59" s="286">
        <v>1371</v>
      </c>
      <c r="AB59" s="292">
        <v>693702</v>
      </c>
      <c r="AC59" s="293">
        <v>102032</v>
      </c>
      <c r="AD59" s="286"/>
      <c r="AE59" s="286">
        <v>11264</v>
      </c>
      <c r="AF59" s="286"/>
      <c r="AG59" s="286">
        <v>43236</v>
      </c>
      <c r="AH59" s="185"/>
      <c r="AI59" s="286">
        <v>3862</v>
      </c>
      <c r="AJ59" s="286"/>
      <c r="AK59" s="286">
        <v>3105</v>
      </c>
      <c r="AL59" s="286">
        <v>931</v>
      </c>
      <c r="AM59" s="286"/>
      <c r="AN59" s="286">
        <v>4158</v>
      </c>
      <c r="AO59" s="286"/>
      <c r="AP59" s="185"/>
      <c r="AQ59" s="185"/>
      <c r="AR59" s="185"/>
      <c r="AS59" s="185"/>
      <c r="AT59" s="185"/>
      <c r="AU59" s="185"/>
      <c r="AV59" s="248"/>
      <c r="AW59" s="248"/>
      <c r="AX59" s="248"/>
      <c r="AY59" s="286">
        <v>378514</v>
      </c>
      <c r="AZ59" s="185"/>
      <c r="BA59" s="248"/>
      <c r="BB59" s="248"/>
      <c r="BC59" s="248"/>
      <c r="BD59" s="248"/>
      <c r="BE59" s="185">
        <v>201872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294">
        <f>(25.78+26.49+4)/2</f>
        <v>28.134999999999998</v>
      </c>
      <c r="D60" s="295"/>
      <c r="E60" s="294">
        <f>(88.38+86.03+7.49+1.72)/2</f>
        <v>91.81</v>
      </c>
      <c r="F60" s="296"/>
      <c r="G60" s="297"/>
      <c r="H60" s="297"/>
      <c r="I60" s="297"/>
      <c r="J60" s="296"/>
      <c r="K60" s="297"/>
      <c r="L60" s="297">
        <v>0</v>
      </c>
      <c r="M60" s="297"/>
      <c r="N60" s="297"/>
      <c r="O60" s="297">
        <f>(16.8+23.31)/2</f>
        <v>20.055</v>
      </c>
      <c r="P60" s="298">
        <f>(39.69+39.61+14.32)/2</f>
        <v>46.81</v>
      </c>
      <c r="Q60" s="298">
        <f>(10.53+12.05)/2</f>
        <v>11.29</v>
      </c>
      <c r="R60" s="298">
        <f>(1.15+0.96)/2</f>
        <v>1.0549999999999999</v>
      </c>
      <c r="S60" s="298">
        <f>(10.19+5.25+2.07+7.14)/2</f>
        <v>12.324999999999999</v>
      </c>
      <c r="T60" s="298"/>
      <c r="U60" s="298">
        <f>(21.95+23.06)/2</f>
        <v>22.504999999999999</v>
      </c>
      <c r="V60" s="298">
        <f>(5.47+5.74+4.89+3.7+4.79+6.69+16.42)/2</f>
        <v>23.85</v>
      </c>
      <c r="W60" s="298">
        <f>(2.35+2.67)/2</f>
        <v>2.5099999999999998</v>
      </c>
      <c r="X60" s="298">
        <f>(5.84+5.51)/2</f>
        <v>5.6749999999999998</v>
      </c>
      <c r="Y60" s="298">
        <f>(16.16+20.21)/2</f>
        <v>18.185000000000002</v>
      </c>
      <c r="Z60" s="298"/>
      <c r="AA60" s="298">
        <f>(2.78+2.67)/2</f>
        <v>2.7249999999999996</v>
      </c>
      <c r="AB60" s="298">
        <f>(13.17+12.73)/2</f>
        <v>12.95</v>
      </c>
      <c r="AC60" s="298">
        <f>(15.03+14.92)/2</f>
        <v>14.975</v>
      </c>
      <c r="AD60" s="298"/>
      <c r="AE60" s="298">
        <f>(5.32+5.44)/2</f>
        <v>5.3800000000000008</v>
      </c>
      <c r="AF60" s="298"/>
      <c r="AG60" s="298">
        <f>(52.71+54.19+0.04)/2</f>
        <v>53.470000000000006</v>
      </c>
      <c r="AH60" s="298"/>
      <c r="AI60" s="298">
        <f>(15.16+13.03)/2</f>
        <v>14.094999999999999</v>
      </c>
      <c r="AJ60" s="298"/>
      <c r="AK60" s="298">
        <v>0</v>
      </c>
      <c r="AL60" s="298">
        <v>0</v>
      </c>
      <c r="AM60" s="298"/>
      <c r="AN60" s="298"/>
      <c r="AO60" s="298">
        <f>(7.83+8.72)/2</f>
        <v>8.2750000000000004</v>
      </c>
      <c r="AP60" s="298"/>
      <c r="AQ60" s="298"/>
      <c r="AR60" s="298"/>
      <c r="AS60" s="298"/>
      <c r="AT60" s="298"/>
      <c r="AU60" s="298"/>
      <c r="AV60" s="298">
        <v>0</v>
      </c>
      <c r="AW60" s="298"/>
      <c r="AX60" s="298"/>
      <c r="AY60" s="298">
        <f>(24.56+24.84)/2</f>
        <v>24.7</v>
      </c>
      <c r="AZ60" s="298"/>
      <c r="BA60" s="298"/>
      <c r="BB60" s="298"/>
      <c r="BC60" s="298">
        <f>(5.94+5.84)/2</f>
        <v>5.8900000000000006</v>
      </c>
      <c r="BD60" s="298"/>
      <c r="BE60" s="298">
        <f>(9.54+0.01+9.38)/2</f>
        <v>9.4649999999999999</v>
      </c>
      <c r="BF60" s="298">
        <f>(25.14+24.55)/2</f>
        <v>24.844999999999999</v>
      </c>
      <c r="BG60" s="298">
        <f>(0.96+0.95+0.99)/2</f>
        <v>1.45</v>
      </c>
      <c r="BH60" s="298"/>
      <c r="BI60" s="298">
        <f>0.19</f>
        <v>0.19</v>
      </c>
      <c r="BJ60" s="298"/>
      <c r="BK60" s="298">
        <f>(12.41+13.37+0.22)/2</f>
        <v>13</v>
      </c>
      <c r="BL60" s="298">
        <f>(18.77+19.71)/2</f>
        <v>19.240000000000002</v>
      </c>
      <c r="BM60" s="298"/>
      <c r="BN60" s="298">
        <f>(5.12+9.28)/2</f>
        <v>7.1999999999999993</v>
      </c>
      <c r="BO60" s="298">
        <f>(1.01+1.01)/2</f>
        <v>1.01</v>
      </c>
      <c r="BP60" s="298">
        <f>(0.35)</f>
        <v>0.35</v>
      </c>
      <c r="BQ60" s="298">
        <f>(0.09)</f>
        <v>0.09</v>
      </c>
      <c r="BR60" s="298">
        <f>(2.85+2.83)/2</f>
        <v>2.84</v>
      </c>
      <c r="BS60" s="298">
        <v>0</v>
      </c>
      <c r="BT60" s="298">
        <f>(0.52+0.85)/2</f>
        <v>0.68500000000000005</v>
      </c>
      <c r="BU60" s="298"/>
      <c r="BV60" s="298">
        <f>(15.37+15.72)/2</f>
        <v>15.545</v>
      </c>
      <c r="BW60" s="298">
        <f>(3.56+3.48)/2</f>
        <v>3.52</v>
      </c>
      <c r="BX60" s="298">
        <f>(16.11+4.92)/2</f>
        <v>10.515000000000001</v>
      </c>
      <c r="BY60" s="298">
        <f>(10.91+7.13+7.63)/2</f>
        <v>12.834999999999999</v>
      </c>
      <c r="BZ60" s="298">
        <f>(0.93+0.06+1.11)/2</f>
        <v>1.05</v>
      </c>
      <c r="CA60" s="298">
        <f>(8.3+9.16)/2</f>
        <v>8.73</v>
      </c>
      <c r="CB60" s="298"/>
      <c r="CC60" s="221"/>
      <c r="CD60" s="249" t="s">
        <v>221</v>
      </c>
      <c r="CE60" s="299">
        <f t="shared" ref="CE60:CE70" si="0">SUM(C60:CD60)</f>
        <v>559.22499999999991</v>
      </c>
    </row>
    <row r="61" spans="1:84" ht="12.6" customHeight="1" x14ac:dyDescent="0.25">
      <c r="A61" s="171" t="s">
        <v>235</v>
      </c>
      <c r="B61" s="175"/>
      <c r="C61" s="184">
        <v>2525344</v>
      </c>
      <c r="D61" s="184">
        <v>0</v>
      </c>
      <c r="E61" s="184">
        <f>10719367+224402+283449-2433420</f>
        <v>8793798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f>120611+2433420</f>
        <v>2554031</v>
      </c>
      <c r="P61" s="187">
        <v>4497186</v>
      </c>
      <c r="Q61" s="184">
        <v>1455068</v>
      </c>
      <c r="R61" s="184">
        <v>113087</v>
      </c>
      <c r="S61" s="184">
        <v>591178</v>
      </c>
      <c r="T61" s="184">
        <v>0</v>
      </c>
      <c r="U61" s="184">
        <v>1298750</v>
      </c>
      <c r="V61" s="184">
        <v>670082</v>
      </c>
      <c r="W61" s="184">
        <v>234517</v>
      </c>
      <c r="X61" s="184">
        <v>448774</v>
      </c>
      <c r="Y61" s="184">
        <v>2022060</v>
      </c>
      <c r="Z61" s="184">
        <v>0</v>
      </c>
      <c r="AA61" s="184">
        <v>258532</v>
      </c>
      <c r="AB61" s="184">
        <v>1308633</v>
      </c>
      <c r="AC61" s="184">
        <v>1212120</v>
      </c>
      <c r="AD61" s="184">
        <v>0</v>
      </c>
      <c r="AE61" s="184">
        <v>502775</v>
      </c>
      <c r="AF61" s="184">
        <v>0</v>
      </c>
      <c r="AG61" s="184">
        <v>4393433</v>
      </c>
      <c r="AH61" s="184">
        <v>0</v>
      </c>
      <c r="AI61" s="184">
        <v>1454004</v>
      </c>
      <c r="AJ61" s="184">
        <v>0</v>
      </c>
      <c r="AK61" s="184">
        <v>130</v>
      </c>
      <c r="AL61" s="184">
        <v>-139.44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0</v>
      </c>
      <c r="AW61" s="184">
        <v>0</v>
      </c>
      <c r="AX61" s="184">
        <v>0</v>
      </c>
      <c r="AY61" s="184">
        <v>1024441</v>
      </c>
      <c r="AZ61" s="184">
        <v>0</v>
      </c>
      <c r="BA61" s="184">
        <v>0</v>
      </c>
      <c r="BB61" s="184">
        <v>0</v>
      </c>
      <c r="BC61" s="184"/>
      <c r="BD61" s="184">
        <v>101307</v>
      </c>
      <c r="BE61" s="184">
        <v>703978</v>
      </c>
      <c r="BF61" s="184">
        <v>853285</v>
      </c>
      <c r="BG61" s="184">
        <f>242518-212414</f>
        <v>30104</v>
      </c>
      <c r="BH61" s="184">
        <v>539196</v>
      </c>
      <c r="BI61" s="184">
        <f>4128+212414</f>
        <v>216542</v>
      </c>
      <c r="BJ61" s="184">
        <v>88807</v>
      </c>
      <c r="BK61" s="184">
        <v>444001</v>
      </c>
      <c r="BL61" s="184">
        <v>896993</v>
      </c>
      <c r="BM61" s="184">
        <v>0</v>
      </c>
      <c r="BN61" s="184">
        <v>1161226</v>
      </c>
      <c r="BO61" s="184"/>
      <c r="BP61" s="184">
        <v>24222</v>
      </c>
      <c r="BQ61" s="184">
        <v>0</v>
      </c>
      <c r="BR61" s="184">
        <v>185504</v>
      </c>
      <c r="BS61" s="184">
        <v>0</v>
      </c>
      <c r="BT61" s="184">
        <v>47004</v>
      </c>
      <c r="BU61" s="184">
        <v>0</v>
      </c>
      <c r="BV61" s="184">
        <v>840963</v>
      </c>
      <c r="BW61" s="184">
        <v>174112</v>
      </c>
      <c r="BX61" s="184"/>
      <c r="BY61" s="184">
        <f>1895308-283449</f>
        <v>1611859</v>
      </c>
      <c r="BZ61" s="184">
        <v>0</v>
      </c>
      <c r="CA61" s="184">
        <v>737147</v>
      </c>
      <c r="CB61" s="184">
        <v>0</v>
      </c>
      <c r="CC61" s="184">
        <v>102225</v>
      </c>
      <c r="CD61" s="249" t="s">
        <v>221</v>
      </c>
      <c r="CE61" s="195">
        <f t="shared" si="0"/>
        <v>44116278.560000002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692116</v>
      </c>
      <c r="D62" s="195">
        <f t="shared" si="1"/>
        <v>0</v>
      </c>
      <c r="E62" s="195">
        <f t="shared" si="1"/>
        <v>2410098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699978</v>
      </c>
      <c r="P62" s="195">
        <f t="shared" si="1"/>
        <v>1232535</v>
      </c>
      <c r="Q62" s="195">
        <f t="shared" si="1"/>
        <v>398788</v>
      </c>
      <c r="R62" s="195">
        <f t="shared" si="1"/>
        <v>30994</v>
      </c>
      <c r="S62" s="195">
        <f t="shared" si="1"/>
        <v>162023</v>
      </c>
      <c r="T62" s="195">
        <f t="shared" si="1"/>
        <v>0</v>
      </c>
      <c r="U62" s="195">
        <f t="shared" si="1"/>
        <v>355946</v>
      </c>
      <c r="V62" s="195">
        <f t="shared" si="1"/>
        <v>183648</v>
      </c>
      <c r="W62" s="195">
        <f t="shared" si="1"/>
        <v>64274</v>
      </c>
      <c r="X62" s="195">
        <f t="shared" si="1"/>
        <v>122995</v>
      </c>
      <c r="Y62" s="195">
        <f t="shared" si="1"/>
        <v>554182</v>
      </c>
      <c r="Z62" s="195">
        <f t="shared" si="1"/>
        <v>0</v>
      </c>
      <c r="AA62" s="195">
        <f t="shared" si="1"/>
        <v>70855</v>
      </c>
      <c r="AB62" s="195">
        <f t="shared" si="1"/>
        <v>358654</v>
      </c>
      <c r="AC62" s="195">
        <f t="shared" si="1"/>
        <v>332203</v>
      </c>
      <c r="AD62" s="195">
        <f t="shared" si="1"/>
        <v>0</v>
      </c>
      <c r="AE62" s="195">
        <f t="shared" si="1"/>
        <v>137795</v>
      </c>
      <c r="AF62" s="195">
        <f t="shared" si="1"/>
        <v>0</v>
      </c>
      <c r="AG62" s="195">
        <f t="shared" si="1"/>
        <v>1204099</v>
      </c>
      <c r="AH62" s="195">
        <f t="shared" si="1"/>
        <v>0</v>
      </c>
      <c r="AI62" s="195">
        <f t="shared" si="1"/>
        <v>398496</v>
      </c>
      <c r="AJ62" s="195">
        <f t="shared" si="1"/>
        <v>0</v>
      </c>
      <c r="AK62" s="195">
        <f t="shared" si="1"/>
        <v>36</v>
      </c>
      <c r="AL62" s="195">
        <f t="shared" si="1"/>
        <v>-38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280766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27765</v>
      </c>
      <c r="BE62" s="195">
        <f t="shared" si="1"/>
        <v>192938</v>
      </c>
      <c r="BF62" s="195">
        <f t="shared" si="1"/>
        <v>233858</v>
      </c>
      <c r="BG62" s="195">
        <f t="shared" si="1"/>
        <v>8251</v>
      </c>
      <c r="BH62" s="195">
        <f t="shared" si="1"/>
        <v>147776</v>
      </c>
      <c r="BI62" s="195">
        <f t="shared" si="1"/>
        <v>59347</v>
      </c>
      <c r="BJ62" s="195">
        <f t="shared" si="1"/>
        <v>24339</v>
      </c>
      <c r="BK62" s="195">
        <f t="shared" si="1"/>
        <v>121686</v>
      </c>
      <c r="BL62" s="195">
        <f t="shared" si="1"/>
        <v>245837</v>
      </c>
      <c r="BM62" s="195">
        <f t="shared" si="1"/>
        <v>0</v>
      </c>
      <c r="BN62" s="195">
        <f t="shared" si="1"/>
        <v>318255</v>
      </c>
      <c r="BO62" s="195">
        <f t="shared" ref="BO62:CC62" si="2">ROUND(BO47+BO48,0)</f>
        <v>0</v>
      </c>
      <c r="BP62" s="195">
        <f t="shared" si="2"/>
        <v>6638</v>
      </c>
      <c r="BQ62" s="195">
        <f t="shared" si="2"/>
        <v>0</v>
      </c>
      <c r="BR62" s="195">
        <f t="shared" si="2"/>
        <v>50841</v>
      </c>
      <c r="BS62" s="195">
        <f t="shared" si="2"/>
        <v>0</v>
      </c>
      <c r="BT62" s="195">
        <f t="shared" si="2"/>
        <v>12882</v>
      </c>
      <c r="BU62" s="195">
        <f t="shared" si="2"/>
        <v>0</v>
      </c>
      <c r="BV62" s="195">
        <f t="shared" si="2"/>
        <v>230481</v>
      </c>
      <c r="BW62" s="195">
        <f t="shared" si="2"/>
        <v>47719</v>
      </c>
      <c r="BX62" s="195">
        <f t="shared" si="2"/>
        <v>0</v>
      </c>
      <c r="BY62" s="195">
        <f t="shared" si="2"/>
        <v>441759</v>
      </c>
      <c r="BZ62" s="195">
        <f t="shared" si="2"/>
        <v>0</v>
      </c>
      <c r="CA62" s="195">
        <f t="shared" si="2"/>
        <v>202028</v>
      </c>
      <c r="CB62" s="195">
        <f t="shared" si="2"/>
        <v>0</v>
      </c>
      <c r="CC62" s="195">
        <f t="shared" si="2"/>
        <v>28017</v>
      </c>
      <c r="CD62" s="249" t="s">
        <v>221</v>
      </c>
      <c r="CE62" s="195">
        <f t="shared" si="0"/>
        <v>12090860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150000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0</v>
      </c>
      <c r="Q63" s="184">
        <v>0</v>
      </c>
      <c r="R63" s="184">
        <v>0</v>
      </c>
      <c r="S63" s="184">
        <v>0</v>
      </c>
      <c r="T63" s="184">
        <v>0</v>
      </c>
      <c r="U63" s="184">
        <v>15975</v>
      </c>
      <c r="V63" s="184">
        <v>26450</v>
      </c>
      <c r="W63" s="184">
        <v>0</v>
      </c>
      <c r="X63" s="184">
        <v>0</v>
      </c>
      <c r="Y63" s="184">
        <v>9000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1794775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174228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1250</v>
      </c>
      <c r="BX63" s="184"/>
      <c r="BY63" s="184">
        <v>7482</v>
      </c>
      <c r="BZ63" s="184">
        <v>0</v>
      </c>
      <c r="CA63" s="184">
        <v>0</v>
      </c>
      <c r="CB63" s="184">
        <v>0</v>
      </c>
      <c r="CC63" s="184"/>
      <c r="CD63" s="249" t="s">
        <v>221</v>
      </c>
      <c r="CE63" s="195">
        <f t="shared" si="0"/>
        <v>2179160</v>
      </c>
      <c r="CF63" s="252"/>
    </row>
    <row r="64" spans="1:84" ht="12.6" customHeight="1" x14ac:dyDescent="0.25">
      <c r="A64" s="171" t="s">
        <v>237</v>
      </c>
      <c r="B64" s="175"/>
      <c r="C64" s="184">
        <v>267551</v>
      </c>
      <c r="D64" s="184">
        <v>0</v>
      </c>
      <c r="E64" s="184">
        <f>888886+811-193257</f>
        <v>696440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f>39214+193257</f>
        <v>232471</v>
      </c>
      <c r="P64" s="184">
        <f>12397215</f>
        <v>12397215</v>
      </c>
      <c r="Q64" s="184">
        <v>118015</v>
      </c>
      <c r="R64" s="184">
        <v>209153</v>
      </c>
      <c r="S64" s="184">
        <f>366763+46</f>
        <v>366809</v>
      </c>
      <c r="T64" s="184">
        <v>0</v>
      </c>
      <c r="U64" s="184">
        <v>1458857</v>
      </c>
      <c r="V64" s="184">
        <v>44703</v>
      </c>
      <c r="W64" s="184">
        <v>6843</v>
      </c>
      <c r="X64" s="184">
        <v>126470</v>
      </c>
      <c r="Y64" s="184">
        <v>839525</v>
      </c>
      <c r="Z64" s="184">
        <v>0</v>
      </c>
      <c r="AA64" s="184">
        <v>385270</v>
      </c>
      <c r="AB64" s="184">
        <v>2873478</v>
      </c>
      <c r="AC64" s="184">
        <v>138762</v>
      </c>
      <c r="AD64" s="184">
        <v>0</v>
      </c>
      <c r="AE64" s="184">
        <v>3003</v>
      </c>
      <c r="AF64" s="184">
        <v>0</v>
      </c>
      <c r="AG64" s="184">
        <v>598090</v>
      </c>
      <c r="AH64" s="184">
        <v>0</v>
      </c>
      <c r="AI64" s="184">
        <v>814996</v>
      </c>
      <c r="AJ64" s="184">
        <v>0</v>
      </c>
      <c r="AK64" s="184">
        <v>134</v>
      </c>
      <c r="AL64" s="184">
        <v>0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0</v>
      </c>
      <c r="AW64" s="184">
        <v>0</v>
      </c>
      <c r="AX64" s="184">
        <v>0</v>
      </c>
      <c r="AY64" s="184">
        <f>731757-25258.62</f>
        <v>706498.38</v>
      </c>
      <c r="AZ64" s="184">
        <v>0</v>
      </c>
      <c r="BA64" s="184">
        <v>2237</v>
      </c>
      <c r="BB64" s="184">
        <v>0</v>
      </c>
      <c r="BC64" s="184">
        <v>0</v>
      </c>
      <c r="BD64" s="184">
        <v>54</v>
      </c>
      <c r="BE64" s="184">
        <v>17090</v>
      </c>
      <c r="BF64" s="184">
        <v>101224</v>
      </c>
      <c r="BG64" s="184">
        <f>1048-998</f>
        <v>50</v>
      </c>
      <c r="BH64" s="184">
        <v>14392</v>
      </c>
      <c r="BI64" s="184">
        <f>16246+998</f>
        <v>17244</v>
      </c>
      <c r="BJ64" s="184">
        <v>0</v>
      </c>
      <c r="BK64" s="187">
        <v>219</v>
      </c>
      <c r="BL64" s="184">
        <v>62412</v>
      </c>
      <c r="BM64" s="184">
        <v>0</v>
      </c>
      <c r="BN64" s="184">
        <v>36004</v>
      </c>
      <c r="BO64" s="184"/>
      <c r="BP64" s="184">
        <v>6407</v>
      </c>
      <c r="BQ64" s="184">
        <v>0</v>
      </c>
      <c r="BR64" s="184">
        <v>5402</v>
      </c>
      <c r="BS64" s="184">
        <v>7217</v>
      </c>
      <c r="BT64" s="184">
        <v>119</v>
      </c>
      <c r="BU64" s="184">
        <v>0</v>
      </c>
      <c r="BV64" s="184">
        <v>25485</v>
      </c>
      <c r="BW64" s="184">
        <v>6118</v>
      </c>
      <c r="BX64" s="184"/>
      <c r="BY64" s="184">
        <v>2455</v>
      </c>
      <c r="BZ64" s="184">
        <v>0</v>
      </c>
      <c r="CA64" s="184">
        <v>3648</v>
      </c>
      <c r="CB64" s="184">
        <v>0</v>
      </c>
      <c r="CC64" s="184">
        <f>266276+570</f>
        <v>266846</v>
      </c>
      <c r="CD64" s="249" t="s">
        <v>221</v>
      </c>
      <c r="CE64" s="195">
        <f t="shared" si="0"/>
        <v>22858906.379999999</v>
      </c>
      <c r="CF64" s="252"/>
    </row>
    <row r="65" spans="1:85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0</v>
      </c>
      <c r="AC65" s="184">
        <v>0</v>
      </c>
      <c r="AD65" s="184">
        <v>0</v>
      </c>
      <c r="AE65" s="184">
        <v>0</v>
      </c>
      <c r="AF65" s="184">
        <v>0</v>
      </c>
      <c r="AG65" s="184">
        <v>0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0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610692</v>
      </c>
      <c r="BF65" s="184">
        <v>0</v>
      </c>
      <c r="BG65" s="184">
        <v>0</v>
      </c>
      <c r="BH65" s="184">
        <v>0</v>
      </c>
      <c r="BI65" s="184">
        <v>66475</v>
      </c>
      <c r="BJ65" s="184">
        <v>0</v>
      </c>
      <c r="BK65" s="184">
        <v>0</v>
      </c>
      <c r="BL65" s="184">
        <v>0</v>
      </c>
      <c r="BM65" s="184">
        <v>0</v>
      </c>
      <c r="BN65" s="184">
        <v>0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0</v>
      </c>
      <c r="BZ65" s="184">
        <v>0</v>
      </c>
      <c r="CA65" s="184">
        <v>0</v>
      </c>
      <c r="CB65" s="184">
        <v>0</v>
      </c>
      <c r="CC65" s="184">
        <v>52811</v>
      </c>
      <c r="CD65" s="249" t="s">
        <v>221</v>
      </c>
      <c r="CE65" s="195">
        <f t="shared" si="0"/>
        <v>729978</v>
      </c>
      <c r="CF65" s="252"/>
    </row>
    <row r="66" spans="1:85" ht="12.6" customHeight="1" x14ac:dyDescent="0.25">
      <c r="A66" s="171" t="s">
        <v>239</v>
      </c>
      <c r="B66" s="175"/>
      <c r="C66" s="184">
        <v>98.04</v>
      </c>
      <c r="D66" s="184">
        <v>0</v>
      </c>
      <c r="E66" s="184">
        <f>-8477+9095</f>
        <v>618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-9095</v>
      </c>
      <c r="P66" s="184">
        <v>105679</v>
      </c>
      <c r="Q66" s="184">
        <v>0</v>
      </c>
      <c r="R66" s="184">
        <v>700008</v>
      </c>
      <c r="S66" s="184">
        <v>0</v>
      </c>
      <c r="T66" s="184">
        <v>0</v>
      </c>
      <c r="U66" s="184">
        <v>547534</v>
      </c>
      <c r="V66" s="184">
        <v>0</v>
      </c>
      <c r="W66" s="184">
        <v>54466</v>
      </c>
      <c r="X66" s="184">
        <v>0</v>
      </c>
      <c r="Y66" s="184">
        <v>-15088</v>
      </c>
      <c r="Z66" s="184">
        <v>0</v>
      </c>
      <c r="AA66" s="184">
        <v>6989</v>
      </c>
      <c r="AB66" s="184">
        <v>61155</v>
      </c>
      <c r="AC66" s="184">
        <v>0</v>
      </c>
      <c r="AD66" s="184">
        <v>165375</v>
      </c>
      <c r="AE66" s="184">
        <v>0</v>
      </c>
      <c r="AF66" s="184">
        <v>0</v>
      </c>
      <c r="AG66" s="184">
        <v>1099</v>
      </c>
      <c r="AH66" s="184">
        <v>0</v>
      </c>
      <c r="AI66" s="184">
        <v>0</v>
      </c>
      <c r="AJ66" s="184">
        <v>0</v>
      </c>
      <c r="AK66" s="184">
        <v>0</v>
      </c>
      <c r="AL66" s="184">
        <v>0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0</v>
      </c>
      <c r="AW66" s="184"/>
      <c r="AX66" s="184">
        <v>0</v>
      </c>
      <c r="AY66" s="184">
        <v>8671</v>
      </c>
      <c r="AZ66" s="184">
        <v>0</v>
      </c>
      <c r="BA66" s="184">
        <v>492345</v>
      </c>
      <c r="BB66" s="184">
        <v>0</v>
      </c>
      <c r="BC66" s="184">
        <v>0</v>
      </c>
      <c r="BD66" s="184">
        <v>373027</v>
      </c>
      <c r="BE66" s="184">
        <v>55050</v>
      </c>
      <c r="BF66" s="184">
        <v>1225</v>
      </c>
      <c r="BG66" s="184">
        <v>0</v>
      </c>
      <c r="BH66" s="184">
        <v>2005174</v>
      </c>
      <c r="BI66" s="184">
        <v>524999</v>
      </c>
      <c r="BJ66" s="184">
        <v>96691</v>
      </c>
      <c r="BK66" s="187">
        <v>1490503</v>
      </c>
      <c r="BL66" s="184">
        <v>88111</v>
      </c>
      <c r="BM66" s="184">
        <v>0</v>
      </c>
      <c r="BN66" s="184">
        <v>805008</v>
      </c>
      <c r="BO66" s="184">
        <v>0</v>
      </c>
      <c r="BP66" s="184">
        <v>36172</v>
      </c>
      <c r="BQ66" s="184">
        <v>0</v>
      </c>
      <c r="BR66" s="184">
        <v>9074</v>
      </c>
      <c r="BS66" s="184">
        <v>-10076</v>
      </c>
      <c r="BT66" s="184">
        <v>0</v>
      </c>
      <c r="BU66" s="184">
        <v>0</v>
      </c>
      <c r="BV66" s="184">
        <v>560068</v>
      </c>
      <c r="BW66" s="184">
        <v>26071</v>
      </c>
      <c r="BX66" s="184"/>
      <c r="BY66" s="184">
        <v>74156</v>
      </c>
      <c r="BZ66" s="184">
        <v>0</v>
      </c>
      <c r="CA66" s="184">
        <v>2835</v>
      </c>
      <c r="CB66" s="184">
        <v>0</v>
      </c>
      <c r="CC66" s="184">
        <f>112413+10002</f>
        <v>122415</v>
      </c>
      <c r="CD66" s="249" t="s">
        <v>221</v>
      </c>
      <c r="CE66" s="195">
        <f t="shared" si="0"/>
        <v>8380357.04</v>
      </c>
      <c r="CF66" s="252"/>
    </row>
    <row r="67" spans="1:85" ht="12.6" customHeight="1" x14ac:dyDescent="0.25">
      <c r="A67" s="171" t="s">
        <v>6</v>
      </c>
      <c r="B67" s="175"/>
      <c r="C67" s="195">
        <f>ROUND(C51+C52,0)</f>
        <v>95513</v>
      </c>
      <c r="D67" s="195">
        <f>ROUND(D51+D52,0)</f>
        <v>164195</v>
      </c>
      <c r="E67" s="195">
        <f t="shared" ref="E67:BP67" si="3">ROUND(E51+E52,0)</f>
        <v>907155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22015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16305</v>
      </c>
      <c r="P67" s="195">
        <f t="shared" si="3"/>
        <v>661000</v>
      </c>
      <c r="Q67" s="195">
        <f t="shared" si="3"/>
        <v>59991</v>
      </c>
      <c r="R67" s="195">
        <f t="shared" si="3"/>
        <v>15181</v>
      </c>
      <c r="S67" s="195">
        <f t="shared" si="3"/>
        <v>107552</v>
      </c>
      <c r="T67" s="195">
        <f t="shared" si="3"/>
        <v>0</v>
      </c>
      <c r="U67" s="195">
        <f t="shared" si="3"/>
        <v>86661</v>
      </c>
      <c r="V67" s="195">
        <f t="shared" si="3"/>
        <v>37059</v>
      </c>
      <c r="W67" s="195">
        <f t="shared" si="3"/>
        <v>35522</v>
      </c>
      <c r="X67" s="195">
        <f t="shared" si="3"/>
        <v>13117</v>
      </c>
      <c r="Y67" s="195">
        <f t="shared" si="3"/>
        <v>239711</v>
      </c>
      <c r="Z67" s="195">
        <f t="shared" si="3"/>
        <v>0</v>
      </c>
      <c r="AA67" s="195">
        <f t="shared" si="3"/>
        <v>22955</v>
      </c>
      <c r="AB67" s="195">
        <f t="shared" si="3"/>
        <v>76112</v>
      </c>
      <c r="AC67" s="195">
        <f t="shared" si="3"/>
        <v>25845</v>
      </c>
      <c r="AD67" s="195">
        <f t="shared" si="3"/>
        <v>9494</v>
      </c>
      <c r="AE67" s="195">
        <f t="shared" si="3"/>
        <v>12017</v>
      </c>
      <c r="AF67" s="195">
        <f t="shared" si="3"/>
        <v>0</v>
      </c>
      <c r="AG67" s="195">
        <f t="shared" si="3"/>
        <v>248655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122894</v>
      </c>
      <c r="AZ67" s="195">
        <f>ROUND(AZ51+AZ52,0)</f>
        <v>0</v>
      </c>
      <c r="BA67" s="195">
        <f>ROUND(BA51+BA52,0)</f>
        <v>8944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1118430</v>
      </c>
      <c r="BF67" s="195">
        <f t="shared" si="3"/>
        <v>55313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193113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25753</v>
      </c>
      <c r="BS67" s="195">
        <f t="shared" si="4"/>
        <v>22841</v>
      </c>
      <c r="BT67" s="195">
        <f t="shared" si="4"/>
        <v>0</v>
      </c>
      <c r="BU67" s="195">
        <f t="shared" si="4"/>
        <v>0</v>
      </c>
      <c r="BV67" s="195">
        <f t="shared" si="4"/>
        <v>59532</v>
      </c>
      <c r="BW67" s="195">
        <f t="shared" si="4"/>
        <v>0</v>
      </c>
      <c r="BX67" s="195">
        <f t="shared" si="4"/>
        <v>0</v>
      </c>
      <c r="BY67" s="195">
        <f t="shared" si="4"/>
        <v>166511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4629386</v>
      </c>
      <c r="CF67" s="252"/>
    </row>
    <row r="68" spans="1:85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7">
        <v>65073</v>
      </c>
      <c r="Q68" s="184"/>
      <c r="R68" s="184">
        <v>0</v>
      </c>
      <c r="S68" s="184">
        <v>104086</v>
      </c>
      <c r="T68" s="184">
        <v>0</v>
      </c>
      <c r="U68" s="184">
        <v>87542</v>
      </c>
      <c r="V68" s="184">
        <v>0</v>
      </c>
      <c r="W68" s="184">
        <v>0</v>
      </c>
      <c r="X68" s="184">
        <v>0</v>
      </c>
      <c r="Y68" s="187">
        <v>51049</v>
      </c>
      <c r="Z68" s="184">
        <v>0</v>
      </c>
      <c r="AA68" s="184">
        <v>0</v>
      </c>
      <c r="AB68" s="184">
        <v>81936</v>
      </c>
      <c r="AC68" s="184">
        <v>75327</v>
      </c>
      <c r="AD68" s="184">
        <v>0</v>
      </c>
      <c r="AE68" s="184">
        <v>0</v>
      </c>
      <c r="AF68" s="184">
        <v>0</v>
      </c>
      <c r="AG68" s="184">
        <v>1280</v>
      </c>
      <c r="AH68" s="184">
        <v>0</v>
      </c>
      <c r="AI68" s="184">
        <v>279811</v>
      </c>
      <c r="AJ68" s="184">
        <v>0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575</v>
      </c>
      <c r="AZ68" s="184">
        <v>0</v>
      </c>
      <c r="BA68" s="184">
        <v>0</v>
      </c>
      <c r="BB68" s="184">
        <v>0</v>
      </c>
      <c r="BC68" s="184">
        <v>0</v>
      </c>
      <c r="BD68" s="184">
        <v>41571</v>
      </c>
      <c r="BE68" s="184">
        <v>0</v>
      </c>
      <c r="BF68" s="184">
        <v>0</v>
      </c>
      <c r="BG68" s="184">
        <v>0</v>
      </c>
      <c r="BH68" s="184">
        <v>46004</v>
      </c>
      <c r="BI68" s="184">
        <v>0</v>
      </c>
      <c r="BJ68" s="184">
        <v>0</v>
      </c>
      <c r="BK68" s="184">
        <v>0</v>
      </c>
      <c r="BL68" s="184">
        <v>0</v>
      </c>
      <c r="BM68" s="184">
        <v>0</v>
      </c>
      <c r="BN68" s="184"/>
      <c r="BO68" s="184">
        <v>0</v>
      </c>
      <c r="BP68" s="184"/>
      <c r="BQ68" s="184">
        <v>0</v>
      </c>
      <c r="BR68" s="184"/>
      <c r="BS68" s="184">
        <v>3550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171782</v>
      </c>
      <c r="BZ68" s="184">
        <v>0</v>
      </c>
      <c r="CA68" s="184">
        <v>0</v>
      </c>
      <c r="CB68" s="184">
        <v>0</v>
      </c>
      <c r="CC68" s="184">
        <v>0</v>
      </c>
      <c r="CD68" s="249" t="s">
        <v>221</v>
      </c>
      <c r="CE68" s="195">
        <f t="shared" si="0"/>
        <v>1009586</v>
      </c>
      <c r="CF68" s="252"/>
    </row>
    <row r="69" spans="1:85" ht="12.6" customHeight="1" x14ac:dyDescent="0.25">
      <c r="A69" s="171" t="s">
        <v>241</v>
      </c>
      <c r="B69" s="175"/>
      <c r="C69" s="184">
        <v>9037</v>
      </c>
      <c r="D69" s="184">
        <v>0</v>
      </c>
      <c r="E69" s="184">
        <f>32856+1972-3001</f>
        <v>31827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f>53005+3001</f>
        <v>56006</v>
      </c>
      <c r="P69" s="184">
        <v>238722</v>
      </c>
      <c r="Q69" s="184">
        <v>1565</v>
      </c>
      <c r="R69" s="184">
        <v>17929</v>
      </c>
      <c r="S69" s="184">
        <v>97059</v>
      </c>
      <c r="T69" s="184">
        <v>0</v>
      </c>
      <c r="U69" s="184">
        <v>85356</v>
      </c>
      <c r="V69" s="184">
        <v>5263</v>
      </c>
      <c r="W69" s="184">
        <v>82427</v>
      </c>
      <c r="X69" s="184">
        <v>73270</v>
      </c>
      <c r="Y69" s="184">
        <v>165242</v>
      </c>
      <c r="Z69" s="184">
        <v>0</v>
      </c>
      <c r="AA69" s="184">
        <v>43274</v>
      </c>
      <c r="AB69" s="184">
        <v>57377</v>
      </c>
      <c r="AC69" s="184">
        <v>12040</v>
      </c>
      <c r="AD69" s="184">
        <v>0</v>
      </c>
      <c r="AE69" s="184">
        <v>2090</v>
      </c>
      <c r="AF69" s="184">
        <v>0</v>
      </c>
      <c r="AG69" s="184">
        <v>54999</v>
      </c>
      <c r="AH69" s="184">
        <v>0</v>
      </c>
      <c r="AI69" s="184">
        <v>82468</v>
      </c>
      <c r="AJ69" s="184">
        <v>0</v>
      </c>
      <c r="AK69" s="184">
        <v>0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0</v>
      </c>
      <c r="AW69" s="184">
        <v>0</v>
      </c>
      <c r="AX69" s="184">
        <v>0</v>
      </c>
      <c r="AY69" s="184">
        <v>5967</v>
      </c>
      <c r="AZ69" s="184">
        <v>0</v>
      </c>
      <c r="BA69" s="184">
        <v>0</v>
      </c>
      <c r="BB69" s="184">
        <v>0</v>
      </c>
      <c r="BC69" s="184">
        <v>0</v>
      </c>
      <c r="BD69" s="184">
        <v>30329</v>
      </c>
      <c r="BE69" s="184">
        <v>643324</v>
      </c>
      <c r="BF69" s="184">
        <v>10996</v>
      </c>
      <c r="BG69" s="184">
        <v>0</v>
      </c>
      <c r="BH69" s="184">
        <v>109511</v>
      </c>
      <c r="BI69" s="184">
        <v>1355</v>
      </c>
      <c r="BJ69" s="184">
        <v>1514</v>
      </c>
      <c r="BK69" s="184">
        <v>22950</v>
      </c>
      <c r="BL69" s="184">
        <v>227</v>
      </c>
      <c r="BM69" s="184">
        <v>0</v>
      </c>
      <c r="BN69" s="184">
        <v>-5632978</v>
      </c>
      <c r="BO69" s="184"/>
      <c r="BP69" s="184">
        <v>255713</v>
      </c>
      <c r="BQ69" s="184">
        <v>0</v>
      </c>
      <c r="BR69" s="184">
        <v>53468</v>
      </c>
      <c r="BS69" s="184">
        <v>17996</v>
      </c>
      <c r="BT69" s="184">
        <v>0</v>
      </c>
      <c r="BU69" s="184">
        <v>0</v>
      </c>
      <c r="BV69" s="184">
        <v>17802</v>
      </c>
      <c r="BW69" s="184">
        <v>0</v>
      </c>
      <c r="BX69" s="184"/>
      <c r="BY69" s="184">
        <v>13958</v>
      </c>
      <c r="BZ69" s="184">
        <v>0</v>
      </c>
      <c r="CA69" s="184">
        <v>5984</v>
      </c>
      <c r="CB69" s="184">
        <v>0</v>
      </c>
      <c r="CC69" s="184">
        <f>5144845-116</f>
        <v>5144729</v>
      </c>
      <c r="CD69" s="184">
        <v>2751214</v>
      </c>
      <c r="CE69" s="195">
        <f t="shared" si="0"/>
        <v>4570010</v>
      </c>
      <c r="CF69" s="252"/>
    </row>
    <row r="70" spans="1:85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>
        <v>25013</v>
      </c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405345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>
        <v>46922</v>
      </c>
      <c r="BO70" s="185"/>
      <c r="BP70" s="185"/>
      <c r="BQ70" s="185"/>
      <c r="BR70" s="185"/>
      <c r="BS70" s="185"/>
      <c r="BT70" s="185"/>
      <c r="BU70" s="185"/>
      <c r="BV70" s="185">
        <v>2980</v>
      </c>
      <c r="BW70" s="185"/>
      <c r="BX70" s="185"/>
      <c r="BY70" s="185"/>
      <c r="BZ70" s="185"/>
      <c r="CA70" s="185"/>
      <c r="CB70" s="185"/>
      <c r="CC70" s="185"/>
      <c r="CD70" s="188">
        <v>25357</v>
      </c>
      <c r="CE70" s="195">
        <f t="shared" si="0"/>
        <v>505617</v>
      </c>
      <c r="CF70" s="252"/>
    </row>
    <row r="71" spans="1:85" ht="12.6" customHeight="1" x14ac:dyDescent="0.25">
      <c r="A71" s="171" t="s">
        <v>243</v>
      </c>
      <c r="B71" s="175"/>
      <c r="C71" s="195">
        <f>SUM(C61:C68)+C69-C70</f>
        <v>3589659.04</v>
      </c>
      <c r="D71" s="195">
        <f t="shared" ref="D71:AI71" si="5">SUM(D61:D69)-D70</f>
        <v>164195</v>
      </c>
      <c r="E71" s="195">
        <f t="shared" si="5"/>
        <v>12989936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22015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3549696</v>
      </c>
      <c r="P71" s="195">
        <f t="shared" si="5"/>
        <v>19197410</v>
      </c>
      <c r="Q71" s="195">
        <f t="shared" si="5"/>
        <v>2033427</v>
      </c>
      <c r="R71" s="195">
        <f t="shared" si="5"/>
        <v>1086352</v>
      </c>
      <c r="S71" s="195">
        <f t="shared" si="5"/>
        <v>1428707</v>
      </c>
      <c r="T71" s="195">
        <f t="shared" si="5"/>
        <v>0</v>
      </c>
      <c r="U71" s="195">
        <f t="shared" si="5"/>
        <v>3936621</v>
      </c>
      <c r="V71" s="195">
        <f t="shared" si="5"/>
        <v>967205</v>
      </c>
      <c r="W71" s="195">
        <f t="shared" si="5"/>
        <v>478049</v>
      </c>
      <c r="X71" s="195">
        <f t="shared" si="5"/>
        <v>784626</v>
      </c>
      <c r="Y71" s="195">
        <f t="shared" si="5"/>
        <v>3865681</v>
      </c>
      <c r="Z71" s="195">
        <f t="shared" si="5"/>
        <v>0</v>
      </c>
      <c r="AA71" s="195">
        <f t="shared" si="5"/>
        <v>787875</v>
      </c>
      <c r="AB71" s="195">
        <f t="shared" si="5"/>
        <v>4817345</v>
      </c>
      <c r="AC71" s="195">
        <f t="shared" si="5"/>
        <v>1796297</v>
      </c>
      <c r="AD71" s="195">
        <f t="shared" si="5"/>
        <v>174869</v>
      </c>
      <c r="AE71" s="195">
        <f t="shared" si="5"/>
        <v>657680</v>
      </c>
      <c r="AF71" s="195">
        <f t="shared" si="5"/>
        <v>0</v>
      </c>
      <c r="AG71" s="195">
        <f t="shared" si="5"/>
        <v>8271417</v>
      </c>
      <c r="AH71" s="195">
        <f t="shared" si="5"/>
        <v>0</v>
      </c>
      <c r="AI71" s="195">
        <f t="shared" si="5"/>
        <v>3029775</v>
      </c>
      <c r="AJ71" s="195">
        <f t="shared" ref="AJ71:BO71" si="6">SUM(AJ61:AJ69)-AJ70</f>
        <v>0</v>
      </c>
      <c r="AK71" s="195">
        <f t="shared" si="6"/>
        <v>300</v>
      </c>
      <c r="AL71" s="195">
        <f t="shared" si="6"/>
        <v>-177.44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1744467.38</v>
      </c>
      <c r="AZ71" s="195">
        <f t="shared" si="6"/>
        <v>0</v>
      </c>
      <c r="BA71" s="195">
        <f t="shared" si="6"/>
        <v>503526</v>
      </c>
      <c r="BB71" s="195">
        <f t="shared" si="6"/>
        <v>0</v>
      </c>
      <c r="BC71" s="195">
        <f t="shared" si="6"/>
        <v>0</v>
      </c>
      <c r="BD71" s="195">
        <f t="shared" si="6"/>
        <v>574053</v>
      </c>
      <c r="BE71" s="195">
        <f t="shared" si="6"/>
        <v>3341502</v>
      </c>
      <c r="BF71" s="195">
        <f t="shared" si="6"/>
        <v>1255901</v>
      </c>
      <c r="BG71" s="195">
        <f t="shared" si="6"/>
        <v>38405</v>
      </c>
      <c r="BH71" s="195">
        <f t="shared" si="6"/>
        <v>2862053</v>
      </c>
      <c r="BI71" s="195">
        <f t="shared" si="6"/>
        <v>885962</v>
      </c>
      <c r="BJ71" s="195">
        <f t="shared" si="6"/>
        <v>211351</v>
      </c>
      <c r="BK71" s="195">
        <f t="shared" si="6"/>
        <v>2079359</v>
      </c>
      <c r="BL71" s="195">
        <f t="shared" si="6"/>
        <v>1293580</v>
      </c>
      <c r="BM71" s="195">
        <f t="shared" si="6"/>
        <v>0</v>
      </c>
      <c r="BN71" s="195">
        <f t="shared" si="6"/>
        <v>-2992066</v>
      </c>
      <c r="BO71" s="195">
        <f t="shared" si="6"/>
        <v>0</v>
      </c>
      <c r="BP71" s="195">
        <f t="shared" ref="BP71:CC71" si="7">SUM(BP61:BP69)-BP70</f>
        <v>329152</v>
      </c>
      <c r="BQ71" s="195">
        <f t="shared" si="7"/>
        <v>0</v>
      </c>
      <c r="BR71" s="195">
        <f t="shared" si="7"/>
        <v>330042</v>
      </c>
      <c r="BS71" s="195">
        <f t="shared" si="7"/>
        <v>41528</v>
      </c>
      <c r="BT71" s="195">
        <f t="shared" si="7"/>
        <v>60005</v>
      </c>
      <c r="BU71" s="195">
        <f t="shared" si="7"/>
        <v>0</v>
      </c>
      <c r="BV71" s="195">
        <f t="shared" si="7"/>
        <v>1731351</v>
      </c>
      <c r="BW71" s="195">
        <f t="shared" si="7"/>
        <v>255270</v>
      </c>
      <c r="BX71" s="195">
        <f t="shared" si="7"/>
        <v>0</v>
      </c>
      <c r="BY71" s="195">
        <f t="shared" si="7"/>
        <v>2489962</v>
      </c>
      <c r="BZ71" s="195">
        <f t="shared" si="7"/>
        <v>0</v>
      </c>
      <c r="CA71" s="195">
        <f t="shared" si="7"/>
        <v>951642</v>
      </c>
      <c r="CB71" s="195">
        <f t="shared" si="7"/>
        <v>0</v>
      </c>
      <c r="CC71" s="195">
        <f t="shared" si="7"/>
        <v>5717043</v>
      </c>
      <c r="CD71" s="245">
        <f>CD69-CD70</f>
        <v>2725857</v>
      </c>
      <c r="CE71" s="195">
        <f>SUM(CE61:CE69)-CE70</f>
        <v>100058904.98</v>
      </c>
      <c r="CF71" s="252"/>
    </row>
    <row r="72" spans="1:85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5" ht="12.6" customHeight="1" x14ac:dyDescent="0.25">
      <c r="A73" s="171" t="s">
        <v>245</v>
      </c>
      <c r="B73" s="175"/>
      <c r="C73" s="184">
        <v>8289572</v>
      </c>
      <c r="D73" s="184"/>
      <c r="E73" s="184">
        <v>33883776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9775063</v>
      </c>
      <c r="P73" s="184">
        <v>94153240</v>
      </c>
      <c r="Q73" s="184">
        <v>3125847</v>
      </c>
      <c r="R73" s="184">
        <v>2475581</v>
      </c>
      <c r="S73" s="184">
        <v>1238</v>
      </c>
      <c r="T73" s="184">
        <v>0</v>
      </c>
      <c r="U73" s="184">
        <v>23638127</v>
      </c>
      <c r="V73" s="184">
        <v>4880155</v>
      </c>
      <c r="W73" s="184">
        <v>4044166</v>
      </c>
      <c r="X73" s="184">
        <v>31288657</v>
      </c>
      <c r="Y73" s="184">
        <v>14493067</v>
      </c>
      <c r="Z73" s="184">
        <v>0</v>
      </c>
      <c r="AA73" s="184">
        <v>2631733</v>
      </c>
      <c r="AB73" s="184">
        <v>36873333</v>
      </c>
      <c r="AC73" s="184">
        <v>9858651</v>
      </c>
      <c r="AD73" s="184">
        <v>1537764</v>
      </c>
      <c r="AE73" s="184">
        <v>2788391</v>
      </c>
      <c r="AF73" s="184">
        <v>0</v>
      </c>
      <c r="AG73" s="184">
        <v>12275600</v>
      </c>
      <c r="AH73" s="184">
        <v>0</v>
      </c>
      <c r="AI73" s="184">
        <v>3204176</v>
      </c>
      <c r="AJ73" s="184">
        <v>0</v>
      </c>
      <c r="AK73" s="184">
        <v>1097068</v>
      </c>
      <c r="AL73" s="184">
        <v>567311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300882516</v>
      </c>
      <c r="CF73" s="252"/>
    </row>
    <row r="74" spans="1:85" ht="12.6" customHeight="1" x14ac:dyDescent="0.25">
      <c r="A74" s="171" t="s">
        <v>246</v>
      </c>
      <c r="B74" s="175"/>
      <c r="C74" s="184">
        <v>74896</v>
      </c>
      <c r="D74" s="184"/>
      <c r="E74" s="184">
        <v>6622394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920633</v>
      </c>
      <c r="P74" s="184">
        <v>77952437</v>
      </c>
      <c r="Q74" s="184">
        <v>6087842</v>
      </c>
      <c r="R74" s="184">
        <v>5093129</v>
      </c>
      <c r="S74" s="184">
        <v>261</v>
      </c>
      <c r="T74" s="184">
        <v>0</v>
      </c>
      <c r="U74" s="184">
        <v>24269261</v>
      </c>
      <c r="V74" s="184">
        <v>10458375</v>
      </c>
      <c r="W74" s="184">
        <v>8522151</v>
      </c>
      <c r="X74" s="184">
        <v>75655731</v>
      </c>
      <c r="Y74" s="184">
        <v>28307614</v>
      </c>
      <c r="Z74" s="184">
        <v>0</v>
      </c>
      <c r="AA74" s="184">
        <v>11151740</v>
      </c>
      <c r="AB74" s="184">
        <v>22752965</v>
      </c>
      <c r="AC74" s="184">
        <v>1041511</v>
      </c>
      <c r="AD74" s="184">
        <v>125284</v>
      </c>
      <c r="AE74" s="184">
        <v>186676</v>
      </c>
      <c r="AF74" s="184">
        <v>0</v>
      </c>
      <c r="AG74" s="184">
        <v>64673511</v>
      </c>
      <c r="AH74" s="184">
        <v>0</v>
      </c>
      <c r="AI74" s="184">
        <v>18287853</v>
      </c>
      <c r="AJ74" s="184">
        <v>0</v>
      </c>
      <c r="AK74" s="184">
        <v>59885</v>
      </c>
      <c r="AL74" s="184">
        <v>77580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362321729</v>
      </c>
      <c r="CF74" s="252"/>
    </row>
    <row r="75" spans="1:85" ht="12.6" customHeight="1" x14ac:dyDescent="0.25">
      <c r="A75" s="171" t="s">
        <v>247</v>
      </c>
      <c r="B75" s="175"/>
      <c r="C75" s="195">
        <f t="shared" ref="C75:AV75" si="9">SUM(C73:C74)</f>
        <v>8364468</v>
      </c>
      <c r="D75" s="195">
        <f t="shared" si="9"/>
        <v>0</v>
      </c>
      <c r="E75" s="195">
        <f t="shared" si="9"/>
        <v>40506170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10695696</v>
      </c>
      <c r="P75" s="195">
        <f t="shared" si="9"/>
        <v>172105677</v>
      </c>
      <c r="Q75" s="195">
        <f t="shared" si="9"/>
        <v>9213689</v>
      </c>
      <c r="R75" s="195">
        <f t="shared" si="9"/>
        <v>7568710</v>
      </c>
      <c r="S75" s="195">
        <f t="shared" si="9"/>
        <v>1499</v>
      </c>
      <c r="T75" s="195">
        <f t="shared" si="9"/>
        <v>0</v>
      </c>
      <c r="U75" s="195">
        <f t="shared" si="9"/>
        <v>47907388</v>
      </c>
      <c r="V75" s="195">
        <f t="shared" si="9"/>
        <v>15338530</v>
      </c>
      <c r="W75" s="195">
        <f t="shared" si="9"/>
        <v>12566317</v>
      </c>
      <c r="X75" s="195">
        <f t="shared" si="9"/>
        <v>106944388</v>
      </c>
      <c r="Y75" s="195">
        <f t="shared" si="9"/>
        <v>42800681</v>
      </c>
      <c r="Z75" s="195">
        <f t="shared" si="9"/>
        <v>0</v>
      </c>
      <c r="AA75" s="195">
        <f t="shared" si="9"/>
        <v>13783473</v>
      </c>
      <c r="AB75" s="195">
        <f t="shared" si="9"/>
        <v>59626298</v>
      </c>
      <c r="AC75" s="195">
        <f t="shared" si="9"/>
        <v>10900162</v>
      </c>
      <c r="AD75" s="195">
        <f t="shared" si="9"/>
        <v>1663048</v>
      </c>
      <c r="AE75" s="195">
        <f t="shared" si="9"/>
        <v>2975067</v>
      </c>
      <c r="AF75" s="195">
        <f t="shared" si="9"/>
        <v>0</v>
      </c>
      <c r="AG75" s="195">
        <f t="shared" si="9"/>
        <v>76949111</v>
      </c>
      <c r="AH75" s="195">
        <f t="shared" si="9"/>
        <v>0</v>
      </c>
      <c r="AI75" s="195">
        <f t="shared" si="9"/>
        <v>21492029</v>
      </c>
      <c r="AJ75" s="195">
        <f t="shared" si="9"/>
        <v>0</v>
      </c>
      <c r="AK75" s="195">
        <f t="shared" si="9"/>
        <v>1156953</v>
      </c>
      <c r="AL75" s="195">
        <f t="shared" si="9"/>
        <v>644891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663204245</v>
      </c>
      <c r="CF75" s="252"/>
    </row>
    <row r="76" spans="1:85" ht="12.6" customHeight="1" x14ac:dyDescent="0.25">
      <c r="A76" s="171" t="s">
        <v>248</v>
      </c>
      <c r="B76" s="175"/>
      <c r="C76" s="184">
        <v>4165</v>
      </c>
      <c r="D76" s="184">
        <v>7160</v>
      </c>
      <c r="E76" s="185">
        <v>39558</v>
      </c>
      <c r="F76" s="185"/>
      <c r="G76" s="184"/>
      <c r="H76" s="184"/>
      <c r="I76" s="185"/>
      <c r="J76" s="185">
        <v>960</v>
      </c>
      <c r="K76" s="185"/>
      <c r="L76" s="185"/>
      <c r="M76" s="185"/>
      <c r="N76" s="185"/>
      <c r="O76" s="185">
        <v>711</v>
      </c>
      <c r="P76" s="185">
        <v>28824</v>
      </c>
      <c r="Q76" s="185">
        <v>2616</v>
      </c>
      <c r="R76" s="185">
        <v>662</v>
      </c>
      <c r="S76" s="185">
        <v>4690</v>
      </c>
      <c r="T76" s="185"/>
      <c r="U76" s="185">
        <v>3779</v>
      </c>
      <c r="V76" s="185">
        <v>1616</v>
      </c>
      <c r="W76" s="185">
        <v>1549</v>
      </c>
      <c r="X76" s="185">
        <v>572</v>
      </c>
      <c r="Y76" s="185">
        <f>10032+421</f>
        <v>10453</v>
      </c>
      <c r="Z76" s="185"/>
      <c r="AA76" s="185">
        <v>1001</v>
      </c>
      <c r="AB76" s="185">
        <v>3319</v>
      </c>
      <c r="AC76" s="185">
        <v>1127</v>
      </c>
      <c r="AD76" s="185">
        <v>414</v>
      </c>
      <c r="AE76" s="185">
        <v>524</v>
      </c>
      <c r="AF76" s="185"/>
      <c r="AG76" s="185">
        <v>10843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286">
        <v>5359</v>
      </c>
      <c r="AZ76" s="286"/>
      <c r="BA76" s="286">
        <v>390</v>
      </c>
      <c r="BB76" s="286"/>
      <c r="BC76" s="286"/>
      <c r="BD76" s="286"/>
      <c r="BE76" s="286">
        <v>48771</v>
      </c>
      <c r="BF76" s="286">
        <v>2412</v>
      </c>
      <c r="BG76" s="185"/>
      <c r="BH76" s="185"/>
      <c r="BI76" s="185"/>
      <c r="BJ76" s="185"/>
      <c r="BK76" s="185"/>
      <c r="BL76" s="185"/>
      <c r="BM76" s="185"/>
      <c r="BN76" s="286">
        <v>8421</v>
      </c>
      <c r="BO76" s="286"/>
      <c r="BP76" s="286"/>
      <c r="BQ76" s="286"/>
      <c r="BR76" s="286">
        <v>1123</v>
      </c>
      <c r="BS76" s="185">
        <v>996</v>
      </c>
      <c r="BT76" s="185"/>
      <c r="BU76" s="185"/>
      <c r="BV76" s="185">
        <v>2596</v>
      </c>
      <c r="BW76" s="185"/>
      <c r="BX76" s="185"/>
      <c r="BY76" s="185">
        <v>7261</v>
      </c>
      <c r="BZ76" s="185"/>
      <c r="CA76" s="185"/>
      <c r="CB76" s="185"/>
      <c r="CC76" s="185"/>
      <c r="CD76" s="249" t="s">
        <v>221</v>
      </c>
      <c r="CE76" s="195">
        <f t="shared" si="8"/>
        <v>201872</v>
      </c>
      <c r="CF76" s="195">
        <f>BE59-CE76</f>
        <v>0</v>
      </c>
      <c r="CG76" s="180">
        <f>CE76-BR76-BN76-BF76-BE76-AY76</f>
        <v>135786</v>
      </c>
    </row>
    <row r="77" spans="1:85" ht="12.6" customHeight="1" x14ac:dyDescent="0.25">
      <c r="A77" s="171" t="s">
        <v>249</v>
      </c>
      <c r="B77" s="175"/>
      <c r="C77" s="184">
        <f>0.086*CG77</f>
        <v>32552.203999999998</v>
      </c>
      <c r="D77" s="184">
        <f>0.199*CG77</f>
        <v>75324.286000000007</v>
      </c>
      <c r="E77" s="184">
        <f>0.679*CG77</f>
        <v>257011.00600000002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f>0.023*CG77</f>
        <v>8705.8220000000001</v>
      </c>
      <c r="AH77" s="184"/>
      <c r="AI77" s="184">
        <f>0.013*CG77</f>
        <v>4920.6819999999998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290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378514</v>
      </c>
      <c r="CF77" s="195">
        <f>AZ77</f>
        <v>0</v>
      </c>
      <c r="CG77" s="234">
        <v>378514</v>
      </c>
    </row>
    <row r="78" spans="1:85" ht="12.6" customHeight="1" x14ac:dyDescent="0.25">
      <c r="A78" s="171" t="s">
        <v>250</v>
      </c>
      <c r="B78" s="175"/>
      <c r="C78" s="300">
        <f>(C76/$CG$76)*$CF$78</f>
        <v>1583.8753995257243</v>
      </c>
      <c r="D78" s="300">
        <f t="shared" ref="D78:AW78" si="10">(D76/$CG$76)*$CF$78</f>
        <v>2722.8206147909209</v>
      </c>
      <c r="E78" s="300">
        <f t="shared" si="10"/>
        <v>15043.203614511069</v>
      </c>
      <c r="F78" s="300">
        <f t="shared" si="10"/>
        <v>0</v>
      </c>
      <c r="G78" s="300">
        <f t="shared" si="10"/>
        <v>0</v>
      </c>
      <c r="H78" s="300">
        <f t="shared" si="10"/>
        <v>0</v>
      </c>
      <c r="I78" s="300">
        <f t="shared" si="10"/>
        <v>0</v>
      </c>
      <c r="J78" s="300">
        <f t="shared" si="10"/>
        <v>365.07092041889445</v>
      </c>
      <c r="K78" s="300">
        <f t="shared" si="10"/>
        <v>0</v>
      </c>
      <c r="L78" s="300">
        <f t="shared" si="10"/>
        <v>0</v>
      </c>
      <c r="M78" s="300">
        <f t="shared" si="10"/>
        <v>0</v>
      </c>
      <c r="N78" s="300">
        <f t="shared" si="10"/>
        <v>0</v>
      </c>
      <c r="O78" s="300">
        <f t="shared" si="10"/>
        <v>270.38065043524369</v>
      </c>
      <c r="P78" s="300">
        <f t="shared" si="10"/>
        <v>10961.254385577306</v>
      </c>
      <c r="Q78" s="300">
        <f t="shared" si="10"/>
        <v>994.81825814148738</v>
      </c>
      <c r="R78" s="300">
        <f t="shared" si="10"/>
        <v>251.74682220552927</v>
      </c>
      <c r="S78" s="300">
        <f t="shared" si="10"/>
        <v>1783.5235591298072</v>
      </c>
      <c r="T78" s="300">
        <f t="shared" si="10"/>
        <v>0</v>
      </c>
      <c r="U78" s="300">
        <f t="shared" si="10"/>
        <v>1437.0864669406271</v>
      </c>
      <c r="V78" s="300">
        <f t="shared" si="10"/>
        <v>614.53604937180569</v>
      </c>
      <c r="W78" s="300">
        <f t="shared" si="10"/>
        <v>589.05714138423696</v>
      </c>
      <c r="X78" s="300">
        <f t="shared" si="10"/>
        <v>217.52142341625793</v>
      </c>
      <c r="Y78" s="300">
        <f t="shared" si="10"/>
        <v>3975.0899282694827</v>
      </c>
      <c r="Z78" s="300">
        <f t="shared" si="10"/>
        <v>0</v>
      </c>
      <c r="AA78" s="300">
        <f t="shared" si="10"/>
        <v>380.66249097845139</v>
      </c>
      <c r="AB78" s="300">
        <f t="shared" si="10"/>
        <v>1262.1566509065735</v>
      </c>
      <c r="AC78" s="300">
        <f t="shared" si="10"/>
        <v>428.57804928343126</v>
      </c>
      <c r="AD78" s="300">
        <f t="shared" si="10"/>
        <v>157.43683443064822</v>
      </c>
      <c r="AE78" s="300">
        <f t="shared" si="10"/>
        <v>199.26787739531321</v>
      </c>
      <c r="AF78" s="300">
        <f t="shared" si="10"/>
        <v>0</v>
      </c>
      <c r="AG78" s="300">
        <f t="shared" si="10"/>
        <v>4123.3999896896585</v>
      </c>
      <c r="AH78" s="300">
        <f t="shared" si="10"/>
        <v>0</v>
      </c>
      <c r="AI78" s="300">
        <f t="shared" si="10"/>
        <v>0</v>
      </c>
      <c r="AJ78" s="300">
        <f t="shared" si="10"/>
        <v>0</v>
      </c>
      <c r="AK78" s="300">
        <f t="shared" si="10"/>
        <v>0</v>
      </c>
      <c r="AL78" s="300">
        <f t="shared" si="10"/>
        <v>0</v>
      </c>
      <c r="AM78" s="300">
        <f t="shared" si="10"/>
        <v>0</v>
      </c>
      <c r="AN78" s="300">
        <f t="shared" si="10"/>
        <v>0</v>
      </c>
      <c r="AO78" s="300">
        <f t="shared" si="10"/>
        <v>0</v>
      </c>
      <c r="AP78" s="300">
        <f t="shared" si="10"/>
        <v>0</v>
      </c>
      <c r="AQ78" s="300">
        <f t="shared" si="10"/>
        <v>0</v>
      </c>
      <c r="AR78" s="300">
        <f t="shared" si="10"/>
        <v>0</v>
      </c>
      <c r="AS78" s="300">
        <f t="shared" si="10"/>
        <v>0</v>
      </c>
      <c r="AT78" s="300">
        <f t="shared" si="10"/>
        <v>0</v>
      </c>
      <c r="AU78" s="300">
        <f t="shared" si="10"/>
        <v>0</v>
      </c>
      <c r="AV78" s="300">
        <f t="shared" si="10"/>
        <v>0</v>
      </c>
      <c r="AW78" s="300">
        <f t="shared" si="10"/>
        <v>0</v>
      </c>
      <c r="AX78" s="249" t="s">
        <v>221</v>
      </c>
      <c r="AY78" s="249" t="s">
        <v>221</v>
      </c>
      <c r="AZ78" s="249" t="s">
        <v>221</v>
      </c>
      <c r="BA78" s="184">
        <f t="shared" ref="BA78:BC78" si="11">(BA76/$CG$76)*$CF$78</f>
        <v>148.31006142017586</v>
      </c>
      <c r="BB78" s="184">
        <f t="shared" si="11"/>
        <v>0</v>
      </c>
      <c r="BC78" s="184">
        <f t="shared" si="11"/>
        <v>0</v>
      </c>
      <c r="BD78" s="249" t="s">
        <v>221</v>
      </c>
      <c r="BE78" s="249" t="s">
        <v>221</v>
      </c>
      <c r="BF78" s="301"/>
      <c r="BG78" s="249" t="s">
        <v>221</v>
      </c>
      <c r="BH78" s="184">
        <f t="shared" ref="BH78:BI78" si="12">(BH76/$CE$76)*$CF$78</f>
        <v>0</v>
      </c>
      <c r="BI78" s="184">
        <f t="shared" si="12"/>
        <v>0</v>
      </c>
      <c r="BJ78" s="249" t="s">
        <v>221</v>
      </c>
      <c r="BK78" s="184">
        <f t="shared" ref="BK78:BM78" si="13">(BK76/$CE$76)*$CF$78</f>
        <v>0</v>
      </c>
      <c r="BL78" s="184">
        <f t="shared" si="13"/>
        <v>0</v>
      </c>
      <c r="BM78" s="184">
        <f t="shared" si="13"/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f t="shared" ref="BS78:CB78" si="14">(BS76/$CG$76)*$CF$78</f>
        <v>378.76107993460295</v>
      </c>
      <c r="BT78" s="184">
        <f t="shared" si="14"/>
        <v>0</v>
      </c>
      <c r="BU78" s="184">
        <f t="shared" si="14"/>
        <v>0</v>
      </c>
      <c r="BV78" s="184">
        <f t="shared" si="14"/>
        <v>987.21261396609373</v>
      </c>
      <c r="BW78" s="184">
        <f t="shared" si="14"/>
        <v>0</v>
      </c>
      <c r="BX78" s="184">
        <f t="shared" si="14"/>
        <v>0</v>
      </c>
      <c r="BY78" s="184">
        <f t="shared" si="14"/>
        <v>2761.2291178766586</v>
      </c>
      <c r="BZ78" s="184">
        <f t="shared" si="14"/>
        <v>0</v>
      </c>
      <c r="CA78" s="184">
        <f t="shared" si="14"/>
        <v>0</v>
      </c>
      <c r="CB78" s="184">
        <f t="shared" si="14"/>
        <v>0</v>
      </c>
      <c r="CC78" s="249" t="s">
        <v>221</v>
      </c>
      <c r="CD78" s="249" t="s">
        <v>221</v>
      </c>
      <c r="CE78" s="195">
        <f t="shared" si="8"/>
        <v>51636.999999999985</v>
      </c>
      <c r="CF78" s="195">
        <f>25980+25657</f>
        <v>51637</v>
      </c>
    </row>
    <row r="79" spans="1:85" ht="12.6" customHeight="1" x14ac:dyDescent="0.25">
      <c r="A79" s="171" t="s">
        <v>251</v>
      </c>
      <c r="B79" s="175"/>
      <c r="C79" s="225">
        <f>0.063*CG79</f>
        <v>48937.014000000003</v>
      </c>
      <c r="D79" s="225">
        <f>0.05*CG79</f>
        <v>38838.9</v>
      </c>
      <c r="E79" s="184">
        <f>0.327*CG79</f>
        <v>254006.40600000002</v>
      </c>
      <c r="F79" s="184"/>
      <c r="G79" s="184"/>
      <c r="H79" s="184"/>
      <c r="I79" s="184"/>
      <c r="J79" s="184">
        <f>0.022*CG79</f>
        <v>17089.115999999998</v>
      </c>
      <c r="K79" s="184"/>
      <c r="L79" s="184"/>
      <c r="M79" s="184"/>
      <c r="N79" s="184"/>
      <c r="O79" s="184"/>
      <c r="P79" s="184">
        <f>0.228*CG79</f>
        <v>177105.38400000002</v>
      </c>
      <c r="Q79" s="184">
        <f>0.037*CG79</f>
        <v>28740.786</v>
      </c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>
        <f>0.273*CG79</f>
        <v>212060.39400000003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776778</v>
      </c>
      <c r="CF79" s="195">
        <f>BA59</f>
        <v>0</v>
      </c>
      <c r="CG79" s="180">
        <v>776778</v>
      </c>
    </row>
    <row r="80" spans="1:85" ht="21" customHeight="1" x14ac:dyDescent="0.25">
      <c r="A80" s="171" t="s">
        <v>252</v>
      </c>
      <c r="B80" s="175"/>
      <c r="C80" s="187">
        <v>19</v>
      </c>
      <c r="D80" s="187"/>
      <c r="E80" s="187">
        <v>43.6</v>
      </c>
      <c r="F80" s="187"/>
      <c r="G80" s="187"/>
      <c r="H80" s="187"/>
      <c r="I80" s="187"/>
      <c r="J80" s="187">
        <v>16.5</v>
      </c>
      <c r="K80" s="187"/>
      <c r="L80" s="187"/>
      <c r="M80" s="187"/>
      <c r="N80" s="187"/>
      <c r="O80" s="187"/>
      <c r="P80" s="187">
        <v>19.3</v>
      </c>
      <c r="Q80" s="187">
        <v>9.1999999999999993</v>
      </c>
      <c r="R80" s="187">
        <v>0.8</v>
      </c>
      <c r="S80" s="187"/>
      <c r="T80" s="187"/>
      <c r="U80" s="187"/>
      <c r="V80" s="187"/>
      <c r="W80" s="187"/>
      <c r="X80" s="187"/>
      <c r="Y80" s="187">
        <v>0.1</v>
      </c>
      <c r="Z80" s="187"/>
      <c r="AA80" s="187"/>
      <c r="AB80" s="187"/>
      <c r="AC80" s="187"/>
      <c r="AD80" s="187"/>
      <c r="AE80" s="187"/>
      <c r="AF80" s="187"/>
      <c r="AG80" s="187">
        <v>26.7</v>
      </c>
      <c r="AH80" s="187"/>
      <c r="AI80" s="187">
        <v>11.7</v>
      </c>
      <c r="AJ80" s="187"/>
      <c r="AK80" s="187"/>
      <c r="AL80" s="187"/>
      <c r="AM80" s="187"/>
      <c r="AN80" s="187">
        <v>2.1</v>
      </c>
      <c r="AO80" s="187"/>
      <c r="AP80" s="187"/>
      <c r="AQ80" s="187"/>
      <c r="AR80" s="187"/>
      <c r="AS80" s="187"/>
      <c r="AT80" s="187"/>
      <c r="AU80" s="187"/>
      <c r="AV80" s="187">
        <f>1.4+7.2</f>
        <v>8.6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157.59999999999997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1" t="s">
        <v>278</v>
      </c>
      <c r="B111" s="172" t="s">
        <v>256</v>
      </c>
      <c r="C111" s="189">
        <v>5785</v>
      </c>
      <c r="D111" s="174">
        <v>20781</v>
      </c>
      <c r="E111" s="175"/>
    </row>
    <row r="112" spans="1:5" ht="12.6" customHeight="1" x14ac:dyDescent="0.25">
      <c r="A112" s="171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1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1" t="s">
        <v>281</v>
      </c>
      <c r="B114" s="172" t="s">
        <v>256</v>
      </c>
      <c r="C114" s="189">
        <v>708</v>
      </c>
      <c r="D114" s="174">
        <v>1647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16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44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14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19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113</v>
      </c>
    </row>
    <row r="128" spans="1:5" ht="12.6" customHeight="1" x14ac:dyDescent="0.25">
      <c r="A128" s="173" t="s">
        <v>292</v>
      </c>
      <c r="B128" s="172" t="s">
        <v>256</v>
      </c>
      <c r="C128" s="189">
        <v>123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302">
        <v>2095</v>
      </c>
      <c r="C138" s="303">
        <v>1196</v>
      </c>
      <c r="D138" s="302">
        <v>2494</v>
      </c>
      <c r="E138" s="175">
        <f>SUM(B138:D138)</f>
        <v>5785</v>
      </c>
    </row>
    <row r="139" spans="1:6" ht="12.6" customHeight="1" x14ac:dyDescent="0.25">
      <c r="A139" s="173" t="s">
        <v>215</v>
      </c>
      <c r="B139" s="302">
        <f>4196+3890</f>
        <v>8086</v>
      </c>
      <c r="C139" s="303">
        <f>2112+1829</f>
        <v>3941</v>
      </c>
      <c r="D139" s="302">
        <f>20781-B139-C139</f>
        <v>8754</v>
      </c>
      <c r="E139" s="175">
        <f>SUM(B139:D139)</f>
        <v>20781</v>
      </c>
    </row>
    <row r="140" spans="1:6" ht="12.6" customHeight="1" x14ac:dyDescent="0.25">
      <c r="A140" s="173" t="s">
        <v>298</v>
      </c>
      <c r="B140" s="302">
        <v>10246</v>
      </c>
      <c r="C140" s="302">
        <v>20544</v>
      </c>
      <c r="D140" s="302">
        <f>57926-B140-C140</f>
        <v>27136</v>
      </c>
      <c r="E140" s="175">
        <f>SUM(B140:D140)</f>
        <v>57926</v>
      </c>
    </row>
    <row r="141" spans="1:6" ht="12.6" customHeight="1" x14ac:dyDescent="0.25">
      <c r="A141" s="173" t="s">
        <v>245</v>
      </c>
      <c r="B141" s="174">
        <v>173071765</v>
      </c>
      <c r="C141" s="189">
        <v>48325408</v>
      </c>
      <c r="D141" s="174">
        <v>79485342</v>
      </c>
      <c r="E141" s="175">
        <f>SUM(B141:D141)</f>
        <v>300882515</v>
      </c>
      <c r="F141" s="199"/>
    </row>
    <row r="142" spans="1:6" ht="12.6" customHeight="1" x14ac:dyDescent="0.25">
      <c r="A142" s="173" t="s">
        <v>246</v>
      </c>
      <c r="B142" s="174">
        <v>121621336</v>
      </c>
      <c r="C142" s="189">
        <v>95509844</v>
      </c>
      <c r="D142" s="174">
        <v>145190549</v>
      </c>
      <c r="E142" s="175">
        <f>SUM(B142:D142)</f>
        <v>362321729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3147817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136488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585920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6599219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13299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1126339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12090859-SUM(C165:C170)</f>
        <v>481777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12090859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1004584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1004584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1129116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1129116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16170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5443884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5460054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-7531924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-7531924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304">
        <v>4623945</v>
      </c>
      <c r="C195" s="304">
        <v>4355265</v>
      </c>
      <c r="D195" s="304">
        <v>0</v>
      </c>
      <c r="E195" s="175">
        <f t="shared" ref="E195:E203" si="15">SUM(B195:C195)-D195</f>
        <v>8979210</v>
      </c>
    </row>
    <row r="196" spans="1:8" ht="12.6" customHeight="1" x14ac:dyDescent="0.25">
      <c r="A196" s="173" t="s">
        <v>333</v>
      </c>
      <c r="B196" s="304">
        <v>1234513</v>
      </c>
      <c r="C196" s="304">
        <v>0</v>
      </c>
      <c r="D196" s="304">
        <v>467749</v>
      </c>
      <c r="E196" s="175">
        <f t="shared" si="15"/>
        <v>766764</v>
      </c>
    </row>
    <row r="197" spans="1:8" ht="12.6" customHeight="1" x14ac:dyDescent="0.25">
      <c r="A197" s="173" t="s">
        <v>334</v>
      </c>
      <c r="B197" s="304">
        <v>33528814</v>
      </c>
      <c r="C197" s="304">
        <v>15165.3</v>
      </c>
      <c r="D197" s="304">
        <v>2530932.9999999991</v>
      </c>
      <c r="E197" s="175">
        <f t="shared" si="15"/>
        <v>31013046.300000001</v>
      </c>
    </row>
    <row r="198" spans="1:8" ht="12.6" customHeight="1" x14ac:dyDescent="0.25">
      <c r="A198" s="173" t="s">
        <v>335</v>
      </c>
      <c r="B198" s="304">
        <v>4066480</v>
      </c>
      <c r="C198" s="304">
        <v>0</v>
      </c>
      <c r="D198" s="304">
        <v>3079900</v>
      </c>
      <c r="E198" s="175">
        <f t="shared" si="15"/>
        <v>986580</v>
      </c>
    </row>
    <row r="199" spans="1:8" ht="12.6" customHeight="1" x14ac:dyDescent="0.25">
      <c r="A199" s="173" t="s">
        <v>336</v>
      </c>
      <c r="B199" s="304">
        <v>1796998</v>
      </c>
      <c r="C199" s="304">
        <v>11893.220000000001</v>
      </c>
      <c r="D199" s="304">
        <v>1808891.22</v>
      </c>
      <c r="E199" s="175">
        <f t="shared" si="15"/>
        <v>0</v>
      </c>
    </row>
    <row r="200" spans="1:8" ht="12.6" customHeight="1" x14ac:dyDescent="0.25">
      <c r="A200" s="173" t="s">
        <v>337</v>
      </c>
      <c r="B200" s="304">
        <v>16626252</v>
      </c>
      <c r="C200" s="304">
        <v>1447574.1800000002</v>
      </c>
      <c r="D200" s="304">
        <v>7276313.7200000063</v>
      </c>
      <c r="E200" s="175">
        <f t="shared" si="15"/>
        <v>10797512.459999993</v>
      </c>
    </row>
    <row r="201" spans="1:8" ht="12.6" customHeight="1" x14ac:dyDescent="0.25">
      <c r="A201" s="173" t="s">
        <v>338</v>
      </c>
      <c r="B201" s="304">
        <v>3327964</v>
      </c>
      <c r="C201" s="304">
        <v>70378.2</v>
      </c>
      <c r="D201" s="304">
        <v>3398342.2</v>
      </c>
      <c r="E201" s="175">
        <f t="shared" si="15"/>
        <v>0</v>
      </c>
    </row>
    <row r="202" spans="1:8" ht="12.6" customHeight="1" x14ac:dyDescent="0.25">
      <c r="A202" s="173" t="s">
        <v>339</v>
      </c>
      <c r="B202" s="304">
        <v>251618</v>
      </c>
      <c r="C202" s="304">
        <v>0</v>
      </c>
      <c r="D202" s="304">
        <v>116618</v>
      </c>
      <c r="E202" s="175">
        <f t="shared" si="15"/>
        <v>135000</v>
      </c>
    </row>
    <row r="203" spans="1:8" ht="12.6" customHeight="1" x14ac:dyDescent="0.25">
      <c r="A203" s="173" t="s">
        <v>340</v>
      </c>
      <c r="B203" s="304">
        <v>0</v>
      </c>
      <c r="C203" s="304"/>
      <c r="D203" s="304"/>
      <c r="E203" s="175">
        <f t="shared" si="15"/>
        <v>0</v>
      </c>
    </row>
    <row r="204" spans="1:8" ht="12.6" customHeight="1" x14ac:dyDescent="0.25">
      <c r="A204" s="173" t="s">
        <v>203</v>
      </c>
      <c r="B204" s="175">
        <f>SUM(B195:B203)</f>
        <v>65456584</v>
      </c>
      <c r="C204" s="191">
        <f>SUM(C195:C203)</f>
        <v>5900275.8999999994</v>
      </c>
      <c r="D204" s="175">
        <f>SUM(D195:D203)</f>
        <v>18678747.140000004</v>
      </c>
      <c r="E204" s="175">
        <f>SUM(E195:E203)</f>
        <v>52678112.75999999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304">
        <v>653769</v>
      </c>
      <c r="C209" s="304">
        <v>298767.21999999997</v>
      </c>
      <c r="D209" s="304">
        <v>897767.35</v>
      </c>
      <c r="E209" s="175">
        <f t="shared" ref="E209:E216" si="16">SUM(B209:C209)-D209</f>
        <v>54768.869999999995</v>
      </c>
      <c r="H209" s="259"/>
    </row>
    <row r="210" spans="1:8" ht="12.6" customHeight="1" x14ac:dyDescent="0.25">
      <c r="A210" s="173" t="s">
        <v>334</v>
      </c>
      <c r="B210" s="304">
        <v>7268485</v>
      </c>
      <c r="C210" s="304">
        <v>1268051.8500000001</v>
      </c>
      <c r="D210" s="304">
        <v>7761343.3200000003</v>
      </c>
      <c r="E210" s="175">
        <f t="shared" si="16"/>
        <v>775193.52999999933</v>
      </c>
      <c r="H210" s="259"/>
    </row>
    <row r="211" spans="1:8" ht="12.6" customHeight="1" x14ac:dyDescent="0.25">
      <c r="A211" s="173" t="s">
        <v>335</v>
      </c>
      <c r="B211" s="304">
        <v>674733</v>
      </c>
      <c r="C211" s="304">
        <v>150087.81</v>
      </c>
      <c r="D211" s="304">
        <v>783713.31</v>
      </c>
      <c r="E211" s="175">
        <f t="shared" si="16"/>
        <v>41107.5</v>
      </c>
      <c r="H211" s="259"/>
    </row>
    <row r="212" spans="1:8" ht="12.6" customHeight="1" x14ac:dyDescent="0.25">
      <c r="A212" s="173" t="s">
        <v>336</v>
      </c>
      <c r="B212" s="304">
        <v>892693.83</v>
      </c>
      <c r="C212" s="304">
        <v>126033.14</v>
      </c>
      <c r="D212" s="304">
        <v>1018726.97</v>
      </c>
      <c r="E212" s="175">
        <f t="shared" si="16"/>
        <v>0</v>
      </c>
      <c r="H212" s="259"/>
    </row>
    <row r="213" spans="1:8" ht="12.6" customHeight="1" x14ac:dyDescent="0.25">
      <c r="A213" s="173" t="s">
        <v>337</v>
      </c>
      <c r="B213" s="304">
        <v>11920763</v>
      </c>
      <c r="C213" s="304">
        <v>1646005.5500000003</v>
      </c>
      <c r="D213" s="304">
        <v>12395975.440000001</v>
      </c>
      <c r="E213" s="175">
        <f t="shared" si="16"/>
        <v>1170793.1099999994</v>
      </c>
      <c r="H213" s="259"/>
    </row>
    <row r="214" spans="1:8" ht="12.6" customHeight="1" x14ac:dyDescent="0.25">
      <c r="A214" s="173" t="s">
        <v>338</v>
      </c>
      <c r="B214" s="304">
        <v>1785420.44</v>
      </c>
      <c r="C214" s="304">
        <v>261408.10999999996</v>
      </c>
      <c r="D214" s="304">
        <v>2046828.5499999998</v>
      </c>
      <c r="E214" s="175">
        <f t="shared" si="16"/>
        <v>0</v>
      </c>
      <c r="H214" s="259"/>
    </row>
    <row r="215" spans="1:8" ht="12.6" customHeight="1" x14ac:dyDescent="0.25">
      <c r="A215" s="173" t="s">
        <v>339</v>
      </c>
      <c r="B215" s="304">
        <v>183960</v>
      </c>
      <c r="C215" s="304">
        <v>13012.169999999998</v>
      </c>
      <c r="D215" s="304">
        <v>187656.68</v>
      </c>
      <c r="E215" s="175">
        <f t="shared" si="16"/>
        <v>9315.4899999999907</v>
      </c>
      <c r="H215" s="259"/>
    </row>
    <row r="216" spans="1:8" ht="12.6" customHeight="1" x14ac:dyDescent="0.25">
      <c r="A216" s="173" t="s">
        <v>340</v>
      </c>
      <c r="B216" s="304">
        <v>0</v>
      </c>
      <c r="C216" s="304"/>
      <c r="D216" s="304">
        <v>0</v>
      </c>
      <c r="E216" s="175">
        <f t="shared" si="16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23379824.27</v>
      </c>
      <c r="C217" s="191">
        <f>SUM(C208:C216)</f>
        <v>3763365.85</v>
      </c>
      <c r="D217" s="175">
        <f>SUM(D208:D216)</f>
        <v>25092011.620000001</v>
      </c>
      <c r="E217" s="175">
        <f>SUM(E208:E216)</f>
        <v>2051178.4999999988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08" t="s">
        <v>1255</v>
      </c>
      <c r="C220" s="308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4527354</v>
      </c>
      <c r="D221" s="172">
        <f>C221</f>
        <v>4527354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165307330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123105840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8409030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17784797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210881925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7880938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533369860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572796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1513405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2086201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539983415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2175.85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24725402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1143072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135119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2650143.4700000002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98261.9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26468030.220000003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f>E195</f>
        <v>8979210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f t="shared" ref="C268:C269" si="17">E196</f>
        <v>766764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 t="shared" si="17"/>
        <v>31013046.300000001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f>E198</f>
        <v>986580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E200</f>
        <v>10797512.459999993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f>E202</f>
        <v>135000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E203</f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52678112.75999999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E217</f>
        <v>2051178.4999999988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50626934.25999999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1242080+70135+1670308</f>
        <v>2982523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2982523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f>67322736-589161</f>
        <v>66733575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3986666.62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70720241.620000005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150797729.09999999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4528057</f>
        <v>4528057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1536362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303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6064722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305">
        <v>136579711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8153296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150797729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150797729.09999999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>
        <f>D339-D341</f>
        <v>-9.9999994039535522E-2</v>
      </c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306">
        <f>E141</f>
        <v>300882515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306">
        <f>E142</f>
        <v>362321729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663204244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f>C221</f>
        <v>4527354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D229</f>
        <v>533369860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D236</f>
        <v>2086201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539983415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123220829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379238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379238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123600067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CE61</f>
        <v>44116278.560000002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CE62</f>
        <v>12090860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CE63</f>
        <v>2179160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 t="shared" ref="C381:C385" si="18">CE64</f>
        <v>22858906.379999999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f t="shared" si="18"/>
        <v>729978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 t="shared" si="18"/>
        <v>8380357.04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4629385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 t="shared" si="18"/>
        <v>1009586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D181</f>
        <v>1129116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D186</f>
        <v>5460054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f>D190</f>
        <v>-7531924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2633548+724158+275402+1879658</f>
        <v>5512766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100564522.98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23035544.019999996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413851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23449395.019999996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23449395.019999996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VALLEY HOSPITAL AND MEDICAL CENTER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5785</v>
      </c>
      <c r="C414" s="194">
        <f>E138</f>
        <v>5785</v>
      </c>
      <c r="D414" s="179"/>
    </row>
    <row r="415" spans="1:5" ht="12.6" customHeight="1" x14ac:dyDescent="0.25">
      <c r="A415" s="179" t="s">
        <v>464</v>
      </c>
      <c r="B415" s="179">
        <f>D111</f>
        <v>20781</v>
      </c>
      <c r="C415" s="179">
        <f>E139</f>
        <v>20781</v>
      </c>
      <c r="D415" s="194">
        <f>SUM(C59:H59)+N59</f>
        <v>20586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708</v>
      </c>
    </row>
    <row r="424" spans="1:7" ht="12.6" customHeight="1" x14ac:dyDescent="0.25">
      <c r="A424" s="179" t="s">
        <v>1244</v>
      </c>
      <c r="B424" s="179">
        <f>D114</f>
        <v>1647</v>
      </c>
      <c r="D424" s="179">
        <f>J59</f>
        <v>195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9">C378</f>
        <v>44116278.560000002</v>
      </c>
      <c r="C427" s="179">
        <f t="shared" ref="C427:C434" si="20">CE61</f>
        <v>44116278.560000002</v>
      </c>
      <c r="D427" s="179"/>
    </row>
    <row r="428" spans="1:7" ht="12.6" customHeight="1" x14ac:dyDescent="0.25">
      <c r="A428" s="179" t="s">
        <v>3</v>
      </c>
      <c r="B428" s="179">
        <f t="shared" si="19"/>
        <v>12090860</v>
      </c>
      <c r="C428" s="179">
        <f t="shared" si="20"/>
        <v>12090860</v>
      </c>
      <c r="D428" s="179">
        <f>D173</f>
        <v>12090859</v>
      </c>
    </row>
    <row r="429" spans="1:7" ht="12.6" customHeight="1" x14ac:dyDescent="0.25">
      <c r="A429" s="179" t="s">
        <v>236</v>
      </c>
      <c r="B429" s="179">
        <f t="shared" si="19"/>
        <v>2179160</v>
      </c>
      <c r="C429" s="179">
        <f t="shared" si="20"/>
        <v>2179160</v>
      </c>
      <c r="D429" s="179"/>
    </row>
    <row r="430" spans="1:7" ht="12.6" customHeight="1" x14ac:dyDescent="0.25">
      <c r="A430" s="179" t="s">
        <v>237</v>
      </c>
      <c r="B430" s="179">
        <f t="shared" si="19"/>
        <v>22858906.379999999</v>
      </c>
      <c r="C430" s="179">
        <f t="shared" si="20"/>
        <v>22858906.379999999</v>
      </c>
      <c r="D430" s="179"/>
    </row>
    <row r="431" spans="1:7" ht="12.6" customHeight="1" x14ac:dyDescent="0.25">
      <c r="A431" s="179" t="s">
        <v>444</v>
      </c>
      <c r="B431" s="179">
        <f t="shared" si="19"/>
        <v>729978</v>
      </c>
      <c r="C431" s="179">
        <f t="shared" si="20"/>
        <v>729978</v>
      </c>
      <c r="D431" s="179"/>
    </row>
    <row r="432" spans="1:7" ht="12.6" customHeight="1" x14ac:dyDescent="0.25">
      <c r="A432" s="179" t="s">
        <v>445</v>
      </c>
      <c r="B432" s="179">
        <f t="shared" si="19"/>
        <v>8380357.04</v>
      </c>
      <c r="C432" s="179">
        <f t="shared" si="20"/>
        <v>8380357.04</v>
      </c>
      <c r="D432" s="179"/>
    </row>
    <row r="433" spans="1:7" ht="12.6" customHeight="1" x14ac:dyDescent="0.25">
      <c r="A433" s="179" t="s">
        <v>6</v>
      </c>
      <c r="B433" s="179">
        <f t="shared" si="19"/>
        <v>4629385</v>
      </c>
      <c r="C433" s="179">
        <f t="shared" si="20"/>
        <v>4629386</v>
      </c>
      <c r="D433" s="179">
        <f>C217</f>
        <v>3763365.85</v>
      </c>
    </row>
    <row r="434" spans="1:7" ht="12.6" customHeight="1" x14ac:dyDescent="0.25">
      <c r="A434" s="179" t="s">
        <v>474</v>
      </c>
      <c r="B434" s="179">
        <f t="shared" si="19"/>
        <v>1009586</v>
      </c>
      <c r="C434" s="179">
        <f t="shared" si="20"/>
        <v>1009586</v>
      </c>
      <c r="D434" s="179">
        <f>D177</f>
        <v>1004584</v>
      </c>
    </row>
    <row r="435" spans="1:7" ht="12.6" customHeight="1" x14ac:dyDescent="0.25">
      <c r="A435" s="179" t="s">
        <v>447</v>
      </c>
      <c r="B435" s="179">
        <f t="shared" si="19"/>
        <v>1129116</v>
      </c>
      <c r="C435" s="179"/>
      <c r="D435" s="179">
        <f>D181</f>
        <v>1129116</v>
      </c>
    </row>
    <row r="436" spans="1:7" ht="12.6" customHeight="1" x14ac:dyDescent="0.25">
      <c r="A436" s="179" t="s">
        <v>475</v>
      </c>
      <c r="B436" s="179">
        <f t="shared" si="19"/>
        <v>5460054</v>
      </c>
      <c r="C436" s="179"/>
      <c r="D436" s="179">
        <f>D186</f>
        <v>5460054</v>
      </c>
    </row>
    <row r="437" spans="1:7" ht="12.6" customHeight="1" x14ac:dyDescent="0.25">
      <c r="A437" s="194" t="s">
        <v>449</v>
      </c>
      <c r="B437" s="194">
        <f t="shared" si="19"/>
        <v>-7531924</v>
      </c>
      <c r="C437" s="194"/>
      <c r="D437" s="194">
        <f>D190</f>
        <v>-7531924</v>
      </c>
    </row>
    <row r="438" spans="1:7" ht="12.6" customHeight="1" x14ac:dyDescent="0.25">
      <c r="A438" s="194" t="s">
        <v>476</v>
      </c>
      <c r="B438" s="194">
        <f>C386+C387+C388</f>
        <v>-942754</v>
      </c>
      <c r="C438" s="194">
        <f>CD69</f>
        <v>2751214</v>
      </c>
      <c r="D438" s="194">
        <f>D181+D186+D190</f>
        <v>-942754</v>
      </c>
    </row>
    <row r="439" spans="1:7" ht="12.6" customHeight="1" x14ac:dyDescent="0.25">
      <c r="A439" s="179" t="s">
        <v>451</v>
      </c>
      <c r="B439" s="194">
        <f>C389</f>
        <v>5512766</v>
      </c>
      <c r="C439" s="194">
        <f>SUM(C69:CC69)</f>
        <v>1818796</v>
      </c>
      <c r="D439" s="179"/>
    </row>
    <row r="440" spans="1:7" ht="12.6" customHeight="1" x14ac:dyDescent="0.25">
      <c r="A440" s="179" t="s">
        <v>477</v>
      </c>
      <c r="B440" s="194">
        <f>B438+B439</f>
        <v>4570012</v>
      </c>
      <c r="C440" s="194">
        <f>CE69</f>
        <v>4570010</v>
      </c>
      <c r="D440" s="179"/>
    </row>
    <row r="441" spans="1:7" ht="12.6" customHeight="1" x14ac:dyDescent="0.25">
      <c r="A441" s="179" t="s">
        <v>478</v>
      </c>
      <c r="B441" s="179">
        <f>D390</f>
        <v>100564522.98</v>
      </c>
      <c r="C441" s="179">
        <f>SUM(C427:C437)+C440</f>
        <v>100564521.98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4527354</v>
      </c>
      <c r="C444" s="179">
        <f>C363</f>
        <v>4527354</v>
      </c>
      <c r="D444" s="179"/>
    </row>
    <row r="445" spans="1:7" ht="12.6" customHeight="1" x14ac:dyDescent="0.25">
      <c r="A445" s="179" t="s">
        <v>343</v>
      </c>
      <c r="B445" s="179">
        <f>D229</f>
        <v>533369860</v>
      </c>
      <c r="C445" s="179">
        <f>C364</f>
        <v>533369860</v>
      </c>
      <c r="D445" s="179"/>
    </row>
    <row r="446" spans="1:7" ht="12.6" customHeight="1" x14ac:dyDescent="0.25">
      <c r="A446" s="179" t="s">
        <v>351</v>
      </c>
      <c r="B446" s="179">
        <f>D236</f>
        <v>2086201</v>
      </c>
      <c r="C446" s="179">
        <f>C365</f>
        <v>2086201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539983415</v>
      </c>
      <c r="C448" s="179">
        <f>D367</f>
        <v>539983415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572796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1513405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379238</v>
      </c>
      <c r="C458" s="194">
        <f>CE70</f>
        <v>505617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300882515</v>
      </c>
      <c r="C463" s="194">
        <f>CE73</f>
        <v>300882516</v>
      </c>
      <c r="D463" s="194">
        <f>E141+E147+E153</f>
        <v>300882515</v>
      </c>
    </row>
    <row r="464" spans="1:7" ht="12.6" customHeight="1" x14ac:dyDescent="0.25">
      <c r="A464" s="179" t="s">
        <v>246</v>
      </c>
      <c r="B464" s="194">
        <f>C360</f>
        <v>362321729</v>
      </c>
      <c r="C464" s="194">
        <f>CE74</f>
        <v>362321729</v>
      </c>
      <c r="D464" s="194">
        <f>E142+E148+E154</f>
        <v>362321729</v>
      </c>
    </row>
    <row r="465" spans="1:7" ht="12.6" customHeight="1" x14ac:dyDescent="0.25">
      <c r="A465" s="179" t="s">
        <v>247</v>
      </c>
      <c r="B465" s="194">
        <f>D361</f>
        <v>663204244</v>
      </c>
      <c r="C465" s="194">
        <f>CE75</f>
        <v>663204245</v>
      </c>
      <c r="D465" s="194">
        <f>D463+D464</f>
        <v>663204244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21">C267</f>
        <v>8979210</v>
      </c>
      <c r="C468" s="179">
        <f>E195</f>
        <v>8979210</v>
      </c>
      <c r="D468" s="179"/>
    </row>
    <row r="469" spans="1:7" ht="12.6" customHeight="1" x14ac:dyDescent="0.25">
      <c r="A469" s="179" t="s">
        <v>333</v>
      </c>
      <c r="B469" s="179">
        <f t="shared" si="21"/>
        <v>766764</v>
      </c>
      <c r="C469" s="179">
        <f>E196</f>
        <v>766764</v>
      </c>
      <c r="D469" s="179"/>
    </row>
    <row r="470" spans="1:7" ht="12.6" customHeight="1" x14ac:dyDescent="0.25">
      <c r="A470" s="179" t="s">
        <v>334</v>
      </c>
      <c r="B470" s="179">
        <f t="shared" si="21"/>
        <v>31013046.300000001</v>
      </c>
      <c r="C470" s="179">
        <f>E197</f>
        <v>31013046.300000001</v>
      </c>
      <c r="D470" s="179"/>
    </row>
    <row r="471" spans="1:7" ht="12.6" customHeight="1" x14ac:dyDescent="0.25">
      <c r="A471" s="179" t="s">
        <v>494</v>
      </c>
      <c r="B471" s="179">
        <f t="shared" si="21"/>
        <v>0</v>
      </c>
      <c r="C471" s="179">
        <f>E198</f>
        <v>986580</v>
      </c>
      <c r="D471" s="179"/>
    </row>
    <row r="472" spans="1:7" ht="12.6" customHeight="1" x14ac:dyDescent="0.25">
      <c r="A472" s="179" t="s">
        <v>377</v>
      </c>
      <c r="B472" s="179">
        <f t="shared" si="21"/>
        <v>986580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21"/>
        <v>10797512.459999993</v>
      </c>
      <c r="C473" s="179">
        <f>SUM(E200:E201)</f>
        <v>10797512.459999993</v>
      </c>
      <c r="D473" s="179"/>
    </row>
    <row r="474" spans="1:7" ht="12.6" customHeight="1" x14ac:dyDescent="0.25">
      <c r="A474" s="179" t="s">
        <v>339</v>
      </c>
      <c r="B474" s="179">
        <f t="shared" si="21"/>
        <v>135000</v>
      </c>
      <c r="C474" s="179">
        <f>E202</f>
        <v>135000</v>
      </c>
      <c r="D474" s="179"/>
    </row>
    <row r="475" spans="1:7" ht="12.6" customHeight="1" x14ac:dyDescent="0.25">
      <c r="A475" s="179" t="s">
        <v>340</v>
      </c>
      <c r="B475" s="179">
        <f t="shared" si="21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52678112.75999999</v>
      </c>
      <c r="C476" s="179">
        <f>E204</f>
        <v>52678112.75999999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2051178.4999999988</v>
      </c>
      <c r="C478" s="179">
        <f>E217</f>
        <v>2051178.4999999988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150797729.09999999</v>
      </c>
    </row>
    <row r="482" spans="1:12" ht="12.6" customHeight="1" x14ac:dyDescent="0.25">
      <c r="A482" s="180" t="s">
        <v>499</v>
      </c>
      <c r="C482" s="180">
        <f>D339</f>
        <v>150797729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180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3328384.1599999997</v>
      </c>
      <c r="C496" s="240">
        <f>C71</f>
        <v>3589659.04</v>
      </c>
      <c r="D496" s="240">
        <v>3224</v>
      </c>
      <c r="E496" s="180">
        <f>C59</f>
        <v>2842</v>
      </c>
      <c r="F496" s="263">
        <f t="shared" ref="F496:G511" si="22">IF(B496=0,"",IF(D496=0,"",B496/D496))</f>
        <v>1032.3772208436724</v>
      </c>
      <c r="G496" s="264">
        <f t="shared" si="22"/>
        <v>1263.0749612948628</v>
      </c>
      <c r="H496" s="265" t="str">
        <f t="shared" ref="H496:H550" si="23"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1184426.05</v>
      </c>
      <c r="C497" s="240">
        <f>D71</f>
        <v>164195</v>
      </c>
      <c r="D497" s="240">
        <v>937</v>
      </c>
      <c r="E497" s="180">
        <f>D59</f>
        <v>0</v>
      </c>
      <c r="F497" s="263">
        <f t="shared" si="22"/>
        <v>1264.0619530416222</v>
      </c>
      <c r="G497" s="263" t="str">
        <f t="shared" si="22"/>
        <v/>
      </c>
      <c r="H497" s="265" t="str">
        <f t="shared" si="23"/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10214037.59</v>
      </c>
      <c r="C498" s="240">
        <f>E71</f>
        <v>12989936</v>
      </c>
      <c r="D498" s="240">
        <v>15766</v>
      </c>
      <c r="E498" s="180">
        <f>E59</f>
        <v>17744</v>
      </c>
      <c r="F498" s="263">
        <f t="shared" si="22"/>
        <v>647.85218761892679</v>
      </c>
      <c r="G498" s="263">
        <f t="shared" si="22"/>
        <v>732.07484220018034</v>
      </c>
      <c r="H498" s="265" t="str">
        <f t="shared" si="23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22"/>
        <v/>
      </c>
      <c r="G499" s="263" t="str">
        <f t="shared" si="22"/>
        <v/>
      </c>
      <c r="H499" s="265" t="str">
        <f t="shared" si="23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22"/>
        <v/>
      </c>
      <c r="G500" s="263" t="str">
        <f t="shared" si="22"/>
        <v/>
      </c>
      <c r="H500" s="265" t="str">
        <f t="shared" si="23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22"/>
        <v/>
      </c>
      <c r="G501" s="263" t="str">
        <f t="shared" si="22"/>
        <v/>
      </c>
      <c r="H501" s="265" t="str">
        <f t="shared" si="23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22"/>
        <v/>
      </c>
      <c r="G502" s="263" t="str">
        <f t="shared" si="22"/>
        <v/>
      </c>
      <c r="H502" s="265" t="str">
        <f t="shared" si="23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16545</v>
      </c>
      <c r="C503" s="240">
        <f>J71</f>
        <v>22015</v>
      </c>
      <c r="D503" s="240">
        <v>137</v>
      </c>
      <c r="E503" s="180">
        <f>J59</f>
        <v>195</v>
      </c>
      <c r="F503" s="263">
        <f t="shared" si="22"/>
        <v>120.76642335766424</v>
      </c>
      <c r="G503" s="263">
        <f t="shared" si="22"/>
        <v>112.8974358974359</v>
      </c>
      <c r="H503" s="265" t="str">
        <f t="shared" si="23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22"/>
        <v/>
      </c>
      <c r="G504" s="263" t="str">
        <f t="shared" si="22"/>
        <v/>
      </c>
      <c r="H504" s="265" t="str">
        <f t="shared" si="23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22"/>
        <v/>
      </c>
      <c r="G505" s="263" t="str">
        <f t="shared" si="22"/>
        <v/>
      </c>
      <c r="H505" s="265" t="str">
        <f t="shared" si="23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22"/>
        <v/>
      </c>
      <c r="G506" s="263" t="str">
        <f t="shared" si="22"/>
        <v/>
      </c>
      <c r="H506" s="265" t="str">
        <f t="shared" si="23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22"/>
        <v/>
      </c>
      <c r="G507" s="263" t="str">
        <f t="shared" si="22"/>
        <v/>
      </c>
      <c r="H507" s="265" t="str">
        <f t="shared" si="23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3497219.26</v>
      </c>
      <c r="C508" s="240">
        <f>O71</f>
        <v>3549696</v>
      </c>
      <c r="D508" s="240">
        <v>736</v>
      </c>
      <c r="E508" s="180">
        <f>O59</f>
        <v>708</v>
      </c>
      <c r="F508" s="263">
        <f t="shared" si="22"/>
        <v>4751.6566032608689</v>
      </c>
      <c r="G508" s="263">
        <f t="shared" si="22"/>
        <v>5013.6949152542375</v>
      </c>
      <c r="H508" s="265" t="str">
        <f t="shared" si="23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18492749.599999998</v>
      </c>
      <c r="C509" s="240">
        <f>P71</f>
        <v>19197410</v>
      </c>
      <c r="D509" s="240">
        <v>506282</v>
      </c>
      <c r="E509" s="180">
        <f>P59</f>
        <v>510247</v>
      </c>
      <c r="F509" s="263">
        <f t="shared" si="22"/>
        <v>36.526579258199973</v>
      </c>
      <c r="G509" s="263">
        <f t="shared" si="22"/>
        <v>37.623758689419049</v>
      </c>
      <c r="H509" s="265" t="str">
        <f t="shared" si="23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1517652.9200000002</v>
      </c>
      <c r="C510" s="240">
        <f>Q71</f>
        <v>2033427</v>
      </c>
      <c r="D510" s="240">
        <v>0</v>
      </c>
      <c r="E510" s="180">
        <f>Q59</f>
        <v>0</v>
      </c>
      <c r="F510" s="263" t="str">
        <f t="shared" si="22"/>
        <v/>
      </c>
      <c r="G510" s="263" t="str">
        <f t="shared" si="22"/>
        <v/>
      </c>
      <c r="H510" s="265" t="str">
        <f t="shared" si="23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1309225.7</v>
      </c>
      <c r="C511" s="240">
        <f>R71</f>
        <v>1086352</v>
      </c>
      <c r="D511" s="240">
        <v>494539</v>
      </c>
      <c r="E511" s="180">
        <f>R59</f>
        <v>480437</v>
      </c>
      <c r="F511" s="263">
        <f t="shared" si="22"/>
        <v>2.6473659306950514</v>
      </c>
      <c r="G511" s="263">
        <f t="shared" si="22"/>
        <v>2.2611747221800154</v>
      </c>
      <c r="H511" s="265" t="str">
        <f t="shared" si="23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-530727.29</v>
      </c>
      <c r="C512" s="240">
        <f>S71</f>
        <v>1428707</v>
      </c>
      <c r="D512" s="181" t="s">
        <v>529</v>
      </c>
      <c r="E512" s="181" t="s">
        <v>529</v>
      </c>
      <c r="F512" s="263" t="str">
        <f t="shared" ref="F512:G527" si="24">IF(B512=0,"",IF(D512=0,"",B512/D512))</f>
        <v/>
      </c>
      <c r="G512" s="263" t="str">
        <f t="shared" si="24"/>
        <v/>
      </c>
      <c r="H512" s="265" t="str">
        <f t="shared" si="23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24"/>
        <v/>
      </c>
      <c r="G513" s="263" t="str">
        <f t="shared" si="24"/>
        <v/>
      </c>
      <c r="H513" s="265" t="str">
        <f t="shared" si="23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4308237.97</v>
      </c>
      <c r="C514" s="240">
        <f>U71</f>
        <v>3936621</v>
      </c>
      <c r="D514" s="240">
        <v>344944</v>
      </c>
      <c r="E514" s="180">
        <f>U59</f>
        <v>346146</v>
      </c>
      <c r="F514" s="263">
        <f t="shared" si="24"/>
        <v>12.489673599192912</v>
      </c>
      <c r="G514" s="263">
        <f t="shared" si="24"/>
        <v>11.372718448284827</v>
      </c>
      <c r="H514" s="265" t="str">
        <f t="shared" si="23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578780.17000000004</v>
      </c>
      <c r="C515" s="240">
        <f>V71</f>
        <v>967205</v>
      </c>
      <c r="D515" s="240">
        <v>14673</v>
      </c>
      <c r="E515" s="180">
        <f>V59</f>
        <v>15198</v>
      </c>
      <c r="F515" s="263">
        <f t="shared" si="24"/>
        <v>39.445251141552511</v>
      </c>
      <c r="G515" s="263">
        <f t="shared" si="24"/>
        <v>63.640281616002106</v>
      </c>
      <c r="H515" s="265">
        <f t="shared" si="23"/>
        <v>0.6133825942094715</v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406159</v>
      </c>
      <c r="C516" s="240">
        <f>W71</f>
        <v>478049</v>
      </c>
      <c r="D516" s="240">
        <v>1833</v>
      </c>
      <c r="E516" s="180">
        <f>W59</f>
        <v>1739</v>
      </c>
      <c r="F516" s="263">
        <f t="shared" si="24"/>
        <v>221.58156028368793</v>
      </c>
      <c r="G516" s="263">
        <f t="shared" si="24"/>
        <v>274.89879240943071</v>
      </c>
      <c r="H516" s="265" t="str">
        <f t="shared" si="23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786330.44</v>
      </c>
      <c r="C517" s="240">
        <f>X71</f>
        <v>784626</v>
      </c>
      <c r="D517" s="240">
        <v>14457</v>
      </c>
      <c r="E517" s="180">
        <f>X59</f>
        <v>15131</v>
      </c>
      <c r="F517" s="263">
        <f t="shared" si="24"/>
        <v>54.39098291485093</v>
      </c>
      <c r="G517" s="263">
        <f t="shared" si="24"/>
        <v>51.855528385433878</v>
      </c>
      <c r="H517" s="265" t="str">
        <f t="shared" si="23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4317874.5199999996</v>
      </c>
      <c r="C518" s="240">
        <f>Y71</f>
        <v>3865681</v>
      </c>
      <c r="D518" s="240">
        <v>32927</v>
      </c>
      <c r="E518" s="180">
        <f>Y59</f>
        <v>27215</v>
      </c>
      <c r="F518" s="263">
        <f t="shared" si="24"/>
        <v>131.13476842712666</v>
      </c>
      <c r="G518" s="263">
        <f t="shared" si="24"/>
        <v>142.04229285320596</v>
      </c>
      <c r="H518" s="265" t="str">
        <f t="shared" si="23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24"/>
        <v/>
      </c>
      <c r="G519" s="263" t="str">
        <f t="shared" si="24"/>
        <v/>
      </c>
      <c r="H519" s="265" t="str">
        <f t="shared" si="23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801591.5199999999</v>
      </c>
      <c r="C520" s="240">
        <f>AA71</f>
        <v>787875</v>
      </c>
      <c r="D520" s="240">
        <v>1453</v>
      </c>
      <c r="E520" s="180">
        <f>AA59</f>
        <v>1371</v>
      </c>
      <c r="F520" s="263">
        <f t="shared" si="24"/>
        <v>551.68033035099791</v>
      </c>
      <c r="G520" s="263">
        <f t="shared" si="24"/>
        <v>574.67177242888408</v>
      </c>
      <c r="H520" s="265" t="str">
        <f t="shared" si="23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4282601.18</v>
      </c>
      <c r="C521" s="240">
        <f>AB71</f>
        <v>4817345</v>
      </c>
      <c r="D521" s="181" t="s">
        <v>529</v>
      </c>
      <c r="E521" s="181" t="s">
        <v>529</v>
      </c>
      <c r="F521" s="263" t="str">
        <f t="shared" si="24"/>
        <v/>
      </c>
      <c r="G521" s="263" t="str">
        <f t="shared" si="24"/>
        <v/>
      </c>
      <c r="H521" s="265" t="str">
        <f t="shared" si="23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1593819.7</v>
      </c>
      <c r="C522" s="240">
        <f>AC71</f>
        <v>1796297</v>
      </c>
      <c r="D522" s="240">
        <v>97228</v>
      </c>
      <c r="E522" s="180">
        <f>AC59</f>
        <v>102032</v>
      </c>
      <c r="F522" s="263">
        <f t="shared" si="24"/>
        <v>16.392599868350679</v>
      </c>
      <c r="G522" s="263">
        <f t="shared" si="24"/>
        <v>17.60523169201819</v>
      </c>
      <c r="H522" s="265" t="str">
        <f t="shared" si="23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131323</v>
      </c>
      <c r="C523" s="240">
        <f>AD71</f>
        <v>174869</v>
      </c>
      <c r="D523" s="240">
        <v>0</v>
      </c>
      <c r="E523" s="180">
        <f>AD59</f>
        <v>0</v>
      </c>
      <c r="F523" s="263" t="str">
        <f t="shared" si="24"/>
        <v/>
      </c>
      <c r="G523" s="263" t="str">
        <f t="shared" si="24"/>
        <v/>
      </c>
      <c r="H523" s="265" t="str">
        <f t="shared" si="23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625933.9</v>
      </c>
      <c r="C524" s="240">
        <f>AE71</f>
        <v>657680</v>
      </c>
      <c r="D524" s="240">
        <v>11050</v>
      </c>
      <c r="E524" s="180">
        <f>AE59</f>
        <v>11264</v>
      </c>
      <c r="F524" s="263">
        <f t="shared" si="24"/>
        <v>56.645601809954755</v>
      </c>
      <c r="G524" s="263">
        <f t="shared" si="24"/>
        <v>58.387784090909093</v>
      </c>
      <c r="H524" s="265" t="str">
        <f t="shared" si="23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24"/>
        <v/>
      </c>
      <c r="G525" s="263" t="str">
        <f t="shared" si="24"/>
        <v/>
      </c>
      <c r="H525" s="265" t="str">
        <f t="shared" si="23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7387036.8500000006</v>
      </c>
      <c r="C526" s="240">
        <f>AG71</f>
        <v>8271417</v>
      </c>
      <c r="D526" s="240">
        <v>42533</v>
      </c>
      <c r="E526" s="180">
        <f>AG59</f>
        <v>43236</v>
      </c>
      <c r="F526" s="263">
        <f t="shared" si="24"/>
        <v>173.67777607974986</v>
      </c>
      <c r="G526" s="263">
        <f t="shared" si="24"/>
        <v>191.30856230918678</v>
      </c>
      <c r="H526" s="265" t="str">
        <f t="shared" si="23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24"/>
        <v/>
      </c>
      <c r="G527" s="263" t="str">
        <f t="shared" si="24"/>
        <v/>
      </c>
      <c r="H527" s="265" t="str">
        <f t="shared" si="23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2646700.5099999998</v>
      </c>
      <c r="C528" s="240">
        <f>AI71</f>
        <v>3029775</v>
      </c>
      <c r="D528" s="240">
        <v>3160</v>
      </c>
      <c r="E528" s="180">
        <f>AI59</f>
        <v>3862</v>
      </c>
      <c r="F528" s="263">
        <f t="shared" ref="F528:G540" si="25">IF(B528=0,"",IF(D528=0,"",B528/D528))</f>
        <v>837.56345253164545</v>
      </c>
      <c r="G528" s="263">
        <f t="shared" si="25"/>
        <v>784.5093215950285</v>
      </c>
      <c r="H528" s="265" t="str">
        <f t="shared" si="23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25"/>
        <v/>
      </c>
      <c r="G529" s="263" t="str">
        <f t="shared" si="25"/>
        <v/>
      </c>
      <c r="H529" s="265" t="str">
        <f t="shared" si="23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119</v>
      </c>
      <c r="C530" s="240">
        <f>AK71</f>
        <v>300</v>
      </c>
      <c r="D530" s="240">
        <v>2651</v>
      </c>
      <c r="E530" s="180">
        <f>AK59</f>
        <v>3105</v>
      </c>
      <c r="F530" s="263">
        <f t="shared" si="25"/>
        <v>4.4888721237268954E-2</v>
      </c>
      <c r="G530" s="263">
        <f t="shared" si="25"/>
        <v>9.6618357487922704E-2</v>
      </c>
      <c r="H530" s="265">
        <f t="shared" si="23"/>
        <v>1.1523971907603623</v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768</v>
      </c>
      <c r="C531" s="240">
        <f>AL71</f>
        <v>-177.44</v>
      </c>
      <c r="D531" s="240">
        <v>1097</v>
      </c>
      <c r="E531" s="180">
        <f>AL59</f>
        <v>931</v>
      </c>
      <c r="F531" s="263">
        <f t="shared" si="25"/>
        <v>0.70009115770282593</v>
      </c>
      <c r="G531" s="263">
        <f t="shared" si="25"/>
        <v>-0.19059076262083779</v>
      </c>
      <c r="H531" s="265">
        <f t="shared" si="23"/>
        <v>-1.2722370658789832</v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25"/>
        <v/>
      </c>
      <c r="G532" s="263" t="str">
        <f t="shared" si="25"/>
        <v/>
      </c>
      <c r="H532" s="265" t="str">
        <f t="shared" si="23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4106</v>
      </c>
      <c r="E533" s="180">
        <f>AN59</f>
        <v>4158</v>
      </c>
      <c r="F533" s="263" t="str">
        <f t="shared" si="25"/>
        <v/>
      </c>
      <c r="G533" s="263" t="str">
        <f t="shared" si="25"/>
        <v/>
      </c>
      <c r="H533" s="265" t="str">
        <f t="shared" si="23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25"/>
        <v/>
      </c>
      <c r="G534" s="263" t="str">
        <f t="shared" si="25"/>
        <v/>
      </c>
      <c r="H534" s="265" t="str">
        <f t="shared" si="23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25"/>
        <v/>
      </c>
      <c r="G535" s="263" t="str">
        <f t="shared" si="25"/>
        <v/>
      </c>
      <c r="H535" s="265" t="str">
        <f t="shared" si="23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25"/>
        <v/>
      </c>
      <c r="G536" s="263" t="str">
        <f t="shared" si="25"/>
        <v/>
      </c>
      <c r="H536" s="265" t="str">
        <f t="shared" si="23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25"/>
        <v/>
      </c>
      <c r="G537" s="263" t="str">
        <f t="shared" si="25"/>
        <v/>
      </c>
      <c r="H537" s="265" t="str">
        <f t="shared" si="23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25"/>
        <v/>
      </c>
      <c r="G538" s="263" t="str">
        <f t="shared" si="25"/>
        <v/>
      </c>
      <c r="H538" s="265" t="str">
        <f t="shared" si="23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25"/>
        <v/>
      </c>
      <c r="G539" s="263" t="str">
        <f t="shared" si="25"/>
        <v/>
      </c>
      <c r="H539" s="265" t="str">
        <f t="shared" si="23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25"/>
        <v/>
      </c>
      <c r="G540" s="263" t="str">
        <f t="shared" si="25"/>
        <v/>
      </c>
      <c r="H540" s="265" t="str">
        <f t="shared" si="23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76225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1572310.83</v>
      </c>
      <c r="C544" s="240">
        <f>AY71</f>
        <v>1744467.38</v>
      </c>
      <c r="D544" s="240">
        <v>58700</v>
      </c>
      <c r="E544" s="180">
        <f>AY59</f>
        <v>378514</v>
      </c>
      <c r="F544" s="263">
        <f t="shared" ref="F544:G550" si="26">IF(B544=0,"",IF(D544=0,"",B544/D544))</f>
        <v>26.785533730834754</v>
      </c>
      <c r="G544" s="263">
        <f t="shared" si="26"/>
        <v>4.6087261765747103</v>
      </c>
      <c r="H544" s="265">
        <f t="shared" si="23"/>
        <v>-0.82793972959854545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26"/>
        <v/>
      </c>
      <c r="G545" s="263" t="str">
        <f t="shared" si="26"/>
        <v/>
      </c>
      <c r="H545" s="265" t="str">
        <f t="shared" si="23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480982.64</v>
      </c>
      <c r="C546" s="240">
        <f>BA71</f>
        <v>503526</v>
      </c>
      <c r="D546" s="240">
        <v>0</v>
      </c>
      <c r="E546" s="180">
        <f>BA59</f>
        <v>0</v>
      </c>
      <c r="F546" s="263" t="str">
        <f t="shared" si="26"/>
        <v/>
      </c>
      <c r="G546" s="263" t="str">
        <f t="shared" si="26"/>
        <v/>
      </c>
      <c r="H546" s="265" t="str">
        <f t="shared" si="23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276929.90000000002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770411.76</v>
      </c>
      <c r="C549" s="240">
        <f>BD71</f>
        <v>574053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3839839.3</v>
      </c>
      <c r="C550" s="240">
        <f>BE71</f>
        <v>3341502</v>
      </c>
      <c r="D550" s="240">
        <v>201872</v>
      </c>
      <c r="E550" s="180">
        <f>BE59</f>
        <v>201872</v>
      </c>
      <c r="F550" s="263">
        <f t="shared" si="26"/>
        <v>19.021158456843938</v>
      </c>
      <c r="G550" s="263">
        <f t="shared" si="26"/>
        <v>16.552577871126257</v>
      </c>
      <c r="H550" s="265" t="str">
        <f t="shared" si="23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1148373.04</v>
      </c>
      <c r="C551" s="240">
        <f>BF71</f>
        <v>1255901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33004</v>
      </c>
      <c r="C552" s="240">
        <f>BG71</f>
        <v>38405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3975159.7</v>
      </c>
      <c r="C553" s="240">
        <f>BH71</f>
        <v>2862053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885962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198960.89</v>
      </c>
      <c r="C555" s="240">
        <f>BJ71</f>
        <v>211351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1862535.1400000001</v>
      </c>
      <c r="C556" s="240">
        <f>BK71</f>
        <v>2079359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1125597.57</v>
      </c>
      <c r="C557" s="240">
        <f>BL71</f>
        <v>1293580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6555172.7400000002</v>
      </c>
      <c r="C559" s="240">
        <f>BN71</f>
        <v>-2992066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135264.79999999999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62190.040000000008</v>
      </c>
      <c r="C561" s="240">
        <f>BP71</f>
        <v>329152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312655.76999999996</v>
      </c>
      <c r="C563" s="240">
        <f>BR71</f>
        <v>330042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30633.05</v>
      </c>
      <c r="C564" s="240">
        <f>BS71</f>
        <v>41528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61796.04</v>
      </c>
      <c r="C565" s="240">
        <f>BT71</f>
        <v>60005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1836609.0399999998</v>
      </c>
      <c r="C567" s="240">
        <f>BV71</f>
        <v>1731351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204732.7</v>
      </c>
      <c r="C568" s="240">
        <f>BW71</f>
        <v>255270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1496018.63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1516952.62</v>
      </c>
      <c r="C570" s="240">
        <f>BY71</f>
        <v>2489962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859248.88</v>
      </c>
      <c r="C572" s="240">
        <f>CA71</f>
        <v>951642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0</v>
      </c>
      <c r="C574" s="240">
        <f>CC71</f>
        <v>5717043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-5933156.0500000007</v>
      </c>
      <c r="C575" s="240">
        <f>CD71</f>
        <v>2725857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153101</v>
      </c>
      <c r="E612" s="180">
        <f>SUM(C624:D647)+SUM(C668:D713)</f>
        <v>96421297.599747762</v>
      </c>
      <c r="F612" s="180">
        <f>CE64-(AX64+BD64+BE64+BG64+BJ64+BN64+BP64+BQ64+CB64+CC64+CD64)</f>
        <v>22532455.379999999</v>
      </c>
      <c r="G612" s="180">
        <f>CE77-(AX77+AY77+BD77+BE77+BG77+BJ77+BN77+BP77+BQ77+CB77+CC77+CD77)</f>
        <v>378514</v>
      </c>
      <c r="H612" s="197">
        <f>CE60-(AX60+AY60+AZ60+BD60+BE60+BG60+BJ60+BN60+BO60+BP60+BQ60+BR60+CB60+CC60+CD60)</f>
        <v>512.11999999999989</v>
      </c>
      <c r="I612" s="180">
        <f>CE78-(AX78+AY78+AZ78+BD78+BE78+BF78+BG78+BJ78+BN78+BO78+BP78+BQ78+BR78+CB78+CC78+CD78)</f>
        <v>51636.999999999985</v>
      </c>
      <c r="J612" s="180">
        <f>CE79-(AX79+AY79+AZ79+BA79+BD79+BE79+BF79+BG79+BJ79+BN79+BO79+BP79+BQ79+BR79+CB79+CC79+CD79)</f>
        <v>776778</v>
      </c>
      <c r="K612" s="180">
        <f>CE75-(AW75+AX75+AY75+AZ75+BA75+BB75+BC75+BD75+BE75+BF75+BG75+BH75+BI75+BJ75+BK75+BL75+BM75+BN75+BO75+BP75+BQ75+BR75+BS75+BT75+BU75+BV75+BW75+BX75+CB75+CC75+CD75)</f>
        <v>663204245</v>
      </c>
      <c r="L612" s="197">
        <f>CE80-(AW80+AX80+AY80+AZ80+BA80+BB80+BC80+BD80+BE80+BF80+BG80+BH80+BI80+BJ80+BK80+BL80+BM80+BN80+BO80+BP80+BQ80+BR80+BS80+BT80+BU80+BV80+BW80+BX80+BY80+BZ80+CA80+CB80+CC80+CD80)</f>
        <v>157.59999999999997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3341502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2725857</v>
      </c>
      <c r="D615" s="266">
        <f>SUM(C614:C615)</f>
        <v>6067359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211351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38405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-2992066</v>
      </c>
      <c r="D619" s="180">
        <f>(D615/D612)*BN76</f>
        <v>333722.38025225181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5717043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329152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3637607.3802522519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574053</v>
      </c>
      <c r="D624" s="180">
        <f>(D615/D612)*BD76</f>
        <v>0</v>
      </c>
      <c r="E624" s="180">
        <f>(E623/E612)*SUM(C624:D624)</f>
        <v>21656.827707547967</v>
      </c>
      <c r="F624" s="180">
        <f>SUM(C624:E624)</f>
        <v>595709.82770754793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1744467.38</v>
      </c>
      <c r="D625" s="180">
        <f>(D615/D612)*AY76</f>
        <v>212375.99284785861</v>
      </c>
      <c r="E625" s="180">
        <f>(E623/E612)*SUM(C625:D625)</f>
        <v>73824.228383830632</v>
      </c>
      <c r="F625" s="180">
        <f>(F624/F612)*AY64</f>
        <v>18678.302969104192</v>
      </c>
      <c r="G625" s="180">
        <f>SUM(C625:F625)</f>
        <v>2049345.9042007932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330042</v>
      </c>
      <c r="D626" s="180">
        <f>(D615/D612)*BR76</f>
        <v>44504.243323035123</v>
      </c>
      <c r="E626" s="180">
        <f>(E623/E612)*SUM(C626:D626)</f>
        <v>14130.19958114723</v>
      </c>
      <c r="F626" s="180">
        <f>(F624/F612)*BR64</f>
        <v>142.81730219834452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388819.26020638068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1255901</v>
      </c>
      <c r="D629" s="180">
        <f>(D615/D612)*BF76</f>
        <v>95587.030182689865</v>
      </c>
      <c r="E629" s="180">
        <f>(E623/E612)*SUM(C629:D629)</f>
        <v>50986.482813398594</v>
      </c>
      <c r="F629" s="180">
        <f>(F624/F612)*BF64</f>
        <v>2676.1456123149251</v>
      </c>
      <c r="G629" s="180">
        <f>(G625/G612)*BF77</f>
        <v>0</v>
      </c>
      <c r="H629" s="180">
        <f>(H628/H612)*BF60</f>
        <v>18863.185424954172</v>
      </c>
      <c r="I629" s="180">
        <f>SUM(C629:H629)</f>
        <v>1424013.8440333575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503526</v>
      </c>
      <c r="D630" s="180">
        <f>(D615/D612)*BA76</f>
        <v>15455.614333021993</v>
      </c>
      <c r="E630" s="180">
        <f>(E623/E612)*SUM(C630:D630)</f>
        <v>19579.194612684481</v>
      </c>
      <c r="F630" s="180">
        <f>(F624/F612)*BA64</f>
        <v>59.14148556417932</v>
      </c>
      <c r="G630" s="180">
        <f>(G625/G612)*BA77</f>
        <v>0</v>
      </c>
      <c r="H630" s="180">
        <f>(H628/H612)*BA60</f>
        <v>0</v>
      </c>
      <c r="I630" s="180">
        <f>(I629/I612)*BA78</f>
        <v>4090.0048544990614</v>
      </c>
      <c r="J630" s="180">
        <f>SUM(C630:I630)</f>
        <v>542709.95528576965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4471.8922178699968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885962</v>
      </c>
      <c r="D634" s="180">
        <f>(D615/D612)*BI76</f>
        <v>0</v>
      </c>
      <c r="E634" s="180">
        <f>(E623/E612)*SUM(C634:D634)</f>
        <v>33423.963274183072</v>
      </c>
      <c r="F634" s="180">
        <f>(F624/F612)*BI64</f>
        <v>455.89440190822899</v>
      </c>
      <c r="G634" s="180">
        <f>(G625/G612)*BI77</f>
        <v>0</v>
      </c>
      <c r="H634" s="180">
        <f>(H628/H612)*BI60</f>
        <v>144.2545876732257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2079359</v>
      </c>
      <c r="D635" s="180">
        <f>(D615/D612)*BK76</f>
        <v>0</v>
      </c>
      <c r="E635" s="180">
        <f>(E623/E612)*SUM(C635:D635)</f>
        <v>78446.275178666838</v>
      </c>
      <c r="F635" s="180">
        <f>(F624/F612)*BK64</f>
        <v>5.789890629662616</v>
      </c>
      <c r="G635" s="180">
        <f>(G625/G612)*BK77</f>
        <v>0</v>
      </c>
      <c r="H635" s="180">
        <f>(H628/H612)*BK60</f>
        <v>9870.0507355364953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2862053</v>
      </c>
      <c r="D636" s="180">
        <f>(D615/D612)*BH76</f>
        <v>0</v>
      </c>
      <c r="E636" s="180">
        <f>(E623/E612)*SUM(C636:D636)</f>
        <v>107974.33113470496</v>
      </c>
      <c r="F636" s="180">
        <f>(F624/F612)*BH64</f>
        <v>380.49363443883271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1293580</v>
      </c>
      <c r="D637" s="180">
        <f>(D615/D612)*BL76</f>
        <v>0</v>
      </c>
      <c r="E637" s="180">
        <f>(E623/E612)*SUM(C637:D637)</f>
        <v>48801.833952492023</v>
      </c>
      <c r="F637" s="180">
        <f>(F624/F612)*BL64</f>
        <v>1650.0395158835761</v>
      </c>
      <c r="G637" s="180">
        <f>(G625/G612)*BL77</f>
        <v>0</v>
      </c>
      <c r="H637" s="180">
        <f>(H628/H612)*BL60</f>
        <v>14607.675088594015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41528</v>
      </c>
      <c r="D639" s="180">
        <f>(D615/D612)*BS76</f>
        <v>39471.2612197177</v>
      </c>
      <c r="E639" s="180">
        <f>(E623/E612)*SUM(C639:D639)</f>
        <v>3055.7928356338143</v>
      </c>
      <c r="F639" s="180">
        <f>(F624/F612)*BS64</f>
        <v>190.80201221130181</v>
      </c>
      <c r="G639" s="180">
        <f>(G625/G612)*BS77</f>
        <v>0</v>
      </c>
      <c r="H639" s="180">
        <f>(H628/H612)*BS60</f>
        <v>0</v>
      </c>
      <c r="I639" s="180">
        <f>(I629/I612)*BS78</f>
        <v>10445.243166874525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60005</v>
      </c>
      <c r="D640" s="180">
        <f>(D615/D612)*BT76</f>
        <v>0</v>
      </c>
      <c r="E640" s="180">
        <f>(E623/E612)*SUM(C640:D640)</f>
        <v>2263.7595249766414</v>
      </c>
      <c r="F640" s="180">
        <f>(F624/F612)*BT64</f>
        <v>3.1461049540175856</v>
      </c>
      <c r="G640" s="180">
        <f>(G625/G612)*BT77</f>
        <v>0</v>
      </c>
      <c r="H640" s="180">
        <f>(H628/H612)*BT60</f>
        <v>520.07575029557688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1731351</v>
      </c>
      <c r="D642" s="180">
        <f>(D615/D612)*BV76</f>
        <v>102878.90976544896</v>
      </c>
      <c r="E642" s="180">
        <f>(E623/E612)*SUM(C642:D642)</f>
        <v>69198.490612925263</v>
      </c>
      <c r="F642" s="180">
        <f>(F624/F612)*BV64</f>
        <v>673.76877943813588</v>
      </c>
      <c r="G642" s="180">
        <f>(G625/G612)*BV77</f>
        <v>0</v>
      </c>
      <c r="H642" s="180">
        <f>(H628/H612)*BV60</f>
        <v>11802.302975685756</v>
      </c>
      <c r="I642" s="180">
        <f>(I629/I612)*BV78</f>
        <v>27224.750262255293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255270</v>
      </c>
      <c r="D643" s="180">
        <f>(D615/D612)*BW76</f>
        <v>0</v>
      </c>
      <c r="E643" s="180">
        <f>(E623/E612)*SUM(C643:D643)</f>
        <v>9630.3623688157186</v>
      </c>
      <c r="F643" s="180">
        <f>(F624/F612)*BW64</f>
        <v>161.74680763596294</v>
      </c>
      <c r="G643" s="180">
        <f>(G625/G612)*BW77</f>
        <v>0</v>
      </c>
      <c r="H643" s="180">
        <f>(H628/H612)*BW60</f>
        <v>2672.5060453144974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7983.3525757050966</v>
      </c>
      <c r="I644" s="180">
        <f>(I629/I612)*BX78</f>
        <v>0</v>
      </c>
      <c r="J644" s="180">
        <f>(J630/J612)*BX79</f>
        <v>0</v>
      </c>
      <c r="K644" s="180">
        <f>SUM(C631:J644)</f>
        <v>9797516.7644204721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2489962</v>
      </c>
      <c r="D645" s="180">
        <f>(D615/D612)*BY76</f>
        <v>287751.83505659661</v>
      </c>
      <c r="E645" s="180">
        <f>(E623/E612)*SUM(C645:D645)</f>
        <v>104792.53648477235</v>
      </c>
      <c r="F645" s="180">
        <f>(F624/F612)*BY64</f>
        <v>64.904938337085483</v>
      </c>
      <c r="G645" s="180">
        <f>(G625/G612)*BY77</f>
        <v>0</v>
      </c>
      <c r="H645" s="180">
        <f>(H628/H612)*BY60</f>
        <v>9744.777014662377</v>
      </c>
      <c r="I645" s="180">
        <f>(I629/I612)*BY78</f>
        <v>76147.500637224832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797.19640556256309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951642</v>
      </c>
      <c r="D647" s="180">
        <f>(D615/D612)*CA76</f>
        <v>0</v>
      </c>
      <c r="E647" s="180">
        <f>(E623/E612)*SUM(C647:D647)</f>
        <v>35901.818879557053</v>
      </c>
      <c r="F647" s="180">
        <f>(F624/F612)*CA64</f>
        <v>96.445301447530696</v>
      </c>
      <c r="G647" s="180">
        <f>(G625/G612)*CA77</f>
        <v>0</v>
      </c>
      <c r="H647" s="180">
        <f>(H628/H612)*CA60</f>
        <v>6628.1186862487393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3963529.1334044086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26429945.379999999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3589659.04</v>
      </c>
      <c r="D668" s="180">
        <f>(D615/D612)*C76</f>
        <v>165058.03512060666</v>
      </c>
      <c r="E668" s="180">
        <f>(E623/E612)*SUM(C668:D668)</f>
        <v>141651.13811176916</v>
      </c>
      <c r="F668" s="180">
        <f>(F624/F612)*C64</f>
        <v>7073.4750130450348</v>
      </c>
      <c r="G668" s="180">
        <f>(G625/G612)*C77</f>
        <v>176243.7477612682</v>
      </c>
      <c r="H668" s="180">
        <f>(H628/H612)*C60</f>
        <v>21361.067495716867</v>
      </c>
      <c r="I668" s="180">
        <f>(I629/I612)*C78</f>
        <v>43679.154407663053</v>
      </c>
      <c r="J668" s="180">
        <f>(J630/J612)*C79</f>
        <v>34190.727183003488</v>
      </c>
      <c r="K668" s="180">
        <f>(K644/K612)*C75</f>
        <v>123568.29147777632</v>
      </c>
      <c r="L668" s="180">
        <f>(L647/L612)*C80</f>
        <v>477836.63410332345</v>
      </c>
      <c r="M668" s="180">
        <f t="shared" ref="M668:M713" si="27">ROUND(SUM(D668:L668),0)</f>
        <v>1190662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164195</v>
      </c>
      <c r="D669" s="180">
        <f>(D615/D612)*D76</f>
        <v>283749.22724214738</v>
      </c>
      <c r="E669" s="180">
        <f>(E623/E612)*SUM(C669:D669)</f>
        <v>16899.225249191106</v>
      </c>
      <c r="F669" s="180">
        <f>(F624/F612)*D64</f>
        <v>0</v>
      </c>
      <c r="G669" s="180">
        <f>(G625/G612)*D77</f>
        <v>407819.83493595786</v>
      </c>
      <c r="H669" s="180">
        <f>(H628/H612)*D60</f>
        <v>0</v>
      </c>
      <c r="I669" s="180">
        <f>(I629/I612)*D78</f>
        <v>75088.29425182892</v>
      </c>
      <c r="J669" s="180">
        <f>(J630/J612)*D79</f>
        <v>27135.497764288484</v>
      </c>
      <c r="K669" s="180">
        <f>(K644/K612)*D75</f>
        <v>0</v>
      </c>
      <c r="L669" s="180">
        <f>(L647/L612)*D80</f>
        <v>0</v>
      </c>
      <c r="M669" s="180">
        <f t="shared" si="27"/>
        <v>810692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12989936</v>
      </c>
      <c r="D670" s="180">
        <f>(D615/D612)*E76</f>
        <v>1567674.850732523</v>
      </c>
      <c r="E670" s="180">
        <f>(E623/E612)*SUM(C670:D670)</f>
        <v>549203.07014830527</v>
      </c>
      <c r="F670" s="180">
        <f>(F624/F612)*E64</f>
        <v>18412.380959462247</v>
      </c>
      <c r="G670" s="180">
        <f>(G625/G612)*E77</f>
        <v>1391505.8689523388</v>
      </c>
      <c r="H670" s="180">
        <f>(H628/H612)*E60</f>
        <v>69705.335233046586</v>
      </c>
      <c r="I670" s="180">
        <f>(I629/I612)*E78</f>
        <v>414852.33854942018</v>
      </c>
      <c r="J670" s="180">
        <f>(J630/J612)*E79</f>
        <v>177466.15537844668</v>
      </c>
      <c r="K670" s="180">
        <f>(K644/K612)*E75</f>
        <v>598397.67707980459</v>
      </c>
      <c r="L670" s="180">
        <f>(L647/L612)*E80</f>
        <v>1096509.3287844686</v>
      </c>
      <c r="M670" s="180">
        <f t="shared" si="27"/>
        <v>5883727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7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7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7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7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22015</v>
      </c>
      <c r="D675" s="180">
        <f>(D615/D612)*J76</f>
        <v>38044.589127438754</v>
      </c>
      <c r="E675" s="180">
        <f>(E623/E612)*SUM(C675:D675)</f>
        <v>2265.8189643100241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10067.704257228459</v>
      </c>
      <c r="J675" s="180">
        <f>(J630/J612)*J79</f>
        <v>11939.619016286932</v>
      </c>
      <c r="K675" s="180">
        <f>(K644/K612)*J75</f>
        <v>0</v>
      </c>
      <c r="L675" s="180">
        <f>(L647/L612)*J80</f>
        <v>414963.39277393877</v>
      </c>
      <c r="M675" s="180">
        <f t="shared" si="27"/>
        <v>477281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7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7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7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7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3549696</v>
      </c>
      <c r="D680" s="180">
        <f>(D615/D612)*O76</f>
        <v>28176.773822509324</v>
      </c>
      <c r="E680" s="180">
        <f>(E623/E612)*SUM(C680:D680)</f>
        <v>134979.47789176405</v>
      </c>
      <c r="F680" s="180">
        <f>(F624/F612)*O64</f>
        <v>6146.0349980287583</v>
      </c>
      <c r="G680" s="180">
        <f>(G625/G612)*O77</f>
        <v>0</v>
      </c>
      <c r="H680" s="180">
        <f>(H628/H612)*O60</f>
        <v>15226.451346244956</v>
      </c>
      <c r="I680" s="180">
        <f>(I629/I612)*O78</f>
        <v>7456.3934655098274</v>
      </c>
      <c r="J680" s="180">
        <f>(J630/J612)*O79</f>
        <v>0</v>
      </c>
      <c r="K680" s="180">
        <f>(K644/K612)*O75</f>
        <v>158007.52431424047</v>
      </c>
      <c r="L680" s="180">
        <f>(L647/L612)*O80</f>
        <v>0</v>
      </c>
      <c r="M680" s="180">
        <f t="shared" si="27"/>
        <v>349993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19197410</v>
      </c>
      <c r="D681" s="180">
        <f>(D615/D612)*P76</f>
        <v>1142288.7885513485</v>
      </c>
      <c r="E681" s="180">
        <f>(E623/E612)*SUM(C681:D681)</f>
        <v>767339.16953152185</v>
      </c>
      <c r="F681" s="180">
        <f>(F624/F612)*P64</f>
        <v>327755.79434891703</v>
      </c>
      <c r="G681" s="180">
        <f>(G625/G612)*P77</f>
        <v>0</v>
      </c>
      <c r="H681" s="180">
        <f>(H628/H612)*P60</f>
        <v>35539.77499465103</v>
      </c>
      <c r="I681" s="180">
        <f>(I629/I612)*P78</f>
        <v>302282.82032328448</v>
      </c>
      <c r="J681" s="180">
        <f>(J630/J612)*P79</f>
        <v>123737.8698051555</v>
      </c>
      <c r="K681" s="180">
        <f>(K644/K612)*P75</f>
        <v>2542517.2838865574</v>
      </c>
      <c r="L681" s="180">
        <f>(L647/L612)*P80</f>
        <v>485381.42306284962</v>
      </c>
      <c r="M681" s="180">
        <f t="shared" si="27"/>
        <v>5726843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2033427</v>
      </c>
      <c r="D682" s="180">
        <f>(D615/D612)*Q76</f>
        <v>103671.50537227059</v>
      </c>
      <c r="E682" s="180">
        <f>(E623/E612)*SUM(C682:D682)</f>
        <v>80624.566241976849</v>
      </c>
      <c r="F682" s="180">
        <f>(F624/F612)*Q64</f>
        <v>3120.0636651124823</v>
      </c>
      <c r="G682" s="180">
        <f>(G625/G612)*Q77</f>
        <v>0</v>
      </c>
      <c r="H682" s="180">
        <f>(H628/H612)*Q60</f>
        <v>8571.7594464774629</v>
      </c>
      <c r="I682" s="180">
        <f>(I629/I612)*Q78</f>
        <v>27434.494100947551</v>
      </c>
      <c r="J682" s="180">
        <f>(J630/J612)*Q79</f>
        <v>20080.268345573477</v>
      </c>
      <c r="K682" s="180">
        <f>(K644/K612)*Q75</f>
        <v>136113.83389088002</v>
      </c>
      <c r="L682" s="180">
        <f>(L647/L612)*Q80</f>
        <v>231373.52809213556</v>
      </c>
      <c r="M682" s="180">
        <f t="shared" si="27"/>
        <v>610990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1086352</v>
      </c>
      <c r="D683" s="180">
        <f>(D615/D612)*R76</f>
        <v>26234.914585796305</v>
      </c>
      <c r="E683" s="180">
        <f>(E623/E612)*SUM(C683:D683)</f>
        <v>41973.655949637025</v>
      </c>
      <c r="F683" s="180">
        <f>(F624/F612)*R64</f>
        <v>5529.5570541818497</v>
      </c>
      <c r="G683" s="180">
        <f>(G625/G612)*R77</f>
        <v>0</v>
      </c>
      <c r="H683" s="180">
        <f>(H628/H612)*R60</f>
        <v>800.99257892238472</v>
      </c>
      <c r="I683" s="180">
        <f>(I629/I612)*R78</f>
        <v>6942.5210607137915</v>
      </c>
      <c r="J683" s="180">
        <f>(J630/J612)*R79</f>
        <v>0</v>
      </c>
      <c r="K683" s="180">
        <f>(K644/K612)*R75</f>
        <v>111812.55800019324</v>
      </c>
      <c r="L683" s="180">
        <f>(L647/L612)*R80</f>
        <v>20119.437225403093</v>
      </c>
      <c r="M683" s="180">
        <f t="shared" si="27"/>
        <v>213414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1428707</v>
      </c>
      <c r="D684" s="180">
        <f>(D615/D612)*S76</f>
        <v>185863.66979967474</v>
      </c>
      <c r="E684" s="180">
        <f>(E623/E612)*SUM(C684:D684)</f>
        <v>60911.586242928577</v>
      </c>
      <c r="F684" s="180">
        <f>(F624/F612)*S64</f>
        <v>9697.6437989767783</v>
      </c>
      <c r="G684" s="180">
        <f>(G625/G612)*S77</f>
        <v>0</v>
      </c>
      <c r="H684" s="180">
        <f>(H628/H612)*S60</f>
        <v>9357.5673319605612</v>
      </c>
      <c r="I684" s="180">
        <f>(I629/I612)*S78</f>
        <v>49184.930173334869</v>
      </c>
      <c r="J684" s="180">
        <f>(J630/J612)*S79</f>
        <v>0</v>
      </c>
      <c r="K684" s="180">
        <f>(K644/K612)*S75</f>
        <v>22.144728023968373</v>
      </c>
      <c r="L684" s="180">
        <f>(L647/L612)*S80</f>
        <v>0</v>
      </c>
      <c r="M684" s="180">
        <f t="shared" si="27"/>
        <v>315038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7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3936621</v>
      </c>
      <c r="D686" s="180">
        <f>(D615/D612)*U76</f>
        <v>149760.93990894899</v>
      </c>
      <c r="E686" s="180">
        <f>(E623/E612)*SUM(C686:D686)</f>
        <v>154163.58702043846</v>
      </c>
      <c r="F686" s="180">
        <f>(F624/F612)*U64</f>
        <v>38569.052394144819</v>
      </c>
      <c r="G686" s="180">
        <f>(G625/G612)*U77</f>
        <v>0</v>
      </c>
      <c r="H686" s="180">
        <f>(H628/H612)*U60</f>
        <v>17086.576292557602</v>
      </c>
      <c r="I686" s="180">
        <f>(I629/I612)*U78</f>
        <v>39631.098320902442</v>
      </c>
      <c r="J686" s="180">
        <f>(J630/J612)*U79</f>
        <v>0</v>
      </c>
      <c r="K686" s="180">
        <f>(K644/K612)*U75</f>
        <v>707735.87564958388</v>
      </c>
      <c r="L686" s="180">
        <f>(L647/L612)*U80</f>
        <v>0</v>
      </c>
      <c r="M686" s="180">
        <f t="shared" si="27"/>
        <v>1106947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967205</v>
      </c>
      <c r="D687" s="180">
        <f>(D615/D612)*V76</f>
        <v>64041.725031188565</v>
      </c>
      <c r="E687" s="180">
        <f>(E623/E612)*SUM(C687:D687)</f>
        <v>38905.001189739531</v>
      </c>
      <c r="F687" s="180">
        <f>(F624/F612)*V64</f>
        <v>1181.8515105835977</v>
      </c>
      <c r="G687" s="180">
        <f>(G625/G612)*V77</f>
        <v>0</v>
      </c>
      <c r="H687" s="180">
        <f>(H628/H612)*V60</f>
        <v>18107.74692634965</v>
      </c>
      <c r="I687" s="180">
        <f>(I629/I612)*V78</f>
        <v>16947.302166334575</v>
      </c>
      <c r="J687" s="180">
        <f>(J630/J612)*V79</f>
        <v>0</v>
      </c>
      <c r="K687" s="180">
        <f>(K644/K612)*V75</f>
        <v>226596.11416776493</v>
      </c>
      <c r="L687" s="180">
        <f>(L647/L612)*V80</f>
        <v>0</v>
      </c>
      <c r="M687" s="180">
        <f t="shared" si="27"/>
        <v>365780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478049</v>
      </c>
      <c r="D688" s="180">
        <f>(D615/D612)*W76</f>
        <v>61386.52974833607</v>
      </c>
      <c r="E688" s="180">
        <f>(E623/E612)*SUM(C688:D688)</f>
        <v>20350.842739415319</v>
      </c>
      <c r="F688" s="180">
        <f>(F624/F612)*W64</f>
        <v>180.91425378438942</v>
      </c>
      <c r="G688" s="180">
        <f>(G625/G612)*W77</f>
        <v>0</v>
      </c>
      <c r="H688" s="180">
        <f>(H628/H612)*W60</f>
        <v>1905.6790266305079</v>
      </c>
      <c r="I688" s="180">
        <f>(I629/I612)*W78</f>
        <v>16244.660306715503</v>
      </c>
      <c r="J688" s="180">
        <f>(J630/J612)*W79</f>
        <v>0</v>
      </c>
      <c r="K688" s="180">
        <f>(K644/K612)*W75</f>
        <v>185642.20962506349</v>
      </c>
      <c r="L688" s="180">
        <f>(L647/L612)*W80</f>
        <v>0</v>
      </c>
      <c r="M688" s="180">
        <f t="shared" si="27"/>
        <v>285711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784626</v>
      </c>
      <c r="D689" s="180">
        <f>(D615/D612)*X76</f>
        <v>22668.234355098921</v>
      </c>
      <c r="E689" s="180">
        <f>(E623/E612)*SUM(C689:D689)</f>
        <v>30456.128863929342</v>
      </c>
      <c r="F689" s="180">
        <f>(F624/F612)*X64</f>
        <v>3343.5957439882695</v>
      </c>
      <c r="G689" s="180">
        <f>(G625/G612)*X77</f>
        <v>0</v>
      </c>
      <c r="H689" s="180">
        <f>(H628/H612)*X60</f>
        <v>4308.656763397662</v>
      </c>
      <c r="I689" s="180">
        <f>(I629/I612)*X78</f>
        <v>5998.6737865986233</v>
      </c>
      <c r="J689" s="180">
        <f>(J630/J612)*X79</f>
        <v>0</v>
      </c>
      <c r="K689" s="180">
        <f>(K644/K612)*X75</f>
        <v>1579889.5169778166</v>
      </c>
      <c r="L689" s="180">
        <f>(L647/L612)*X80</f>
        <v>0</v>
      </c>
      <c r="M689" s="180">
        <f t="shared" si="27"/>
        <v>1646665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3865681</v>
      </c>
      <c r="D690" s="180">
        <f>(D615/D612)*Y76</f>
        <v>414250.09390533046</v>
      </c>
      <c r="E690" s="180">
        <f>(E623/E612)*SUM(C690:D690)</f>
        <v>161465.45754640261</v>
      </c>
      <c r="F690" s="180">
        <f>(F624/F612)*Y64</f>
        <v>22195.241693458938</v>
      </c>
      <c r="G690" s="180">
        <f>(G625/G612)*Y77</f>
        <v>0</v>
      </c>
      <c r="H690" s="180">
        <f>(H628/H612)*Y60</f>
        <v>13806.682509671631</v>
      </c>
      <c r="I690" s="180">
        <f>(I629/I612)*Y78</f>
        <v>109622.61729250946</v>
      </c>
      <c r="J690" s="180">
        <f>(J630/J612)*Y79</f>
        <v>0</v>
      </c>
      <c r="K690" s="180">
        <f>(K644/K612)*Y75</f>
        <v>632294.48965018732</v>
      </c>
      <c r="L690" s="180">
        <f>(L647/L612)*Y80</f>
        <v>2514.9296531753866</v>
      </c>
      <c r="M690" s="180">
        <f t="shared" si="27"/>
        <v>1356150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7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787875</v>
      </c>
      <c r="D692" s="180">
        <f>(D615/D612)*AA76</f>
        <v>39669.410121423112</v>
      </c>
      <c r="E692" s="180">
        <f>(E623/E612)*SUM(C692:D692)</f>
        <v>31220.090671669819</v>
      </c>
      <c r="F692" s="180">
        <f>(F624/F612)*AA64</f>
        <v>10185.713072557608</v>
      </c>
      <c r="G692" s="180">
        <f>(G625/G612)*AA77</f>
        <v>0</v>
      </c>
      <c r="H692" s="180">
        <f>(H628/H612)*AA60</f>
        <v>2068.9144811028423</v>
      </c>
      <c r="I692" s="180">
        <f>(I629/I612)*AA78</f>
        <v>10497.679126547591</v>
      </c>
      <c r="J692" s="180">
        <f>(J630/J612)*AA79</f>
        <v>0</v>
      </c>
      <c r="K692" s="180">
        <f>(K644/K612)*AA75</f>
        <v>203623.25604450397</v>
      </c>
      <c r="L692" s="180">
        <f>(L647/L612)*AA80</f>
        <v>0</v>
      </c>
      <c r="M692" s="180">
        <f t="shared" si="27"/>
        <v>297265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4817345</v>
      </c>
      <c r="D693" s="180">
        <f>(D615/D612)*AB76</f>
        <v>131531.24095205127</v>
      </c>
      <c r="E693" s="180">
        <f>(E623/E612)*SUM(C693:D693)</f>
        <v>186702.2036227948</v>
      </c>
      <c r="F693" s="180">
        <f>(F624/F612)*AB64</f>
        <v>75968.599756811294</v>
      </c>
      <c r="G693" s="180">
        <f>(G625/G612)*AB77</f>
        <v>0</v>
      </c>
      <c r="H693" s="180">
        <f>(H628/H612)*AB60</f>
        <v>9832.0890019382769</v>
      </c>
      <c r="I693" s="180">
        <f>(I629/I612)*AB78</f>
        <v>34806.990030980473</v>
      </c>
      <c r="J693" s="180">
        <f>(J630/J612)*AB79</f>
        <v>0</v>
      </c>
      <c r="K693" s="180">
        <f>(K644/K612)*AB75</f>
        <v>880859.34108478285</v>
      </c>
      <c r="L693" s="180">
        <f>(L647/L612)*AB80</f>
        <v>0</v>
      </c>
      <c r="M693" s="180">
        <f t="shared" si="27"/>
        <v>1319700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1796297</v>
      </c>
      <c r="D694" s="180">
        <f>(D615/D612)*AC76</f>
        <v>44662.76244439945</v>
      </c>
      <c r="E694" s="180">
        <f>(E623/E612)*SUM(C694:D694)</f>
        <v>69452.382257015983</v>
      </c>
      <c r="F694" s="180">
        <f>(F624/F612)*AC64</f>
        <v>3668.5698792385565</v>
      </c>
      <c r="G694" s="180">
        <f>(G625/G612)*AC77</f>
        <v>0</v>
      </c>
      <c r="H694" s="180">
        <f>(H628/H612)*AC60</f>
        <v>11369.539212666079</v>
      </c>
      <c r="I694" s="180">
        <f>(I629/I612)*AC78</f>
        <v>11819.065310308826</v>
      </c>
      <c r="J694" s="180">
        <f>(J630/J612)*AC79</f>
        <v>0</v>
      </c>
      <c r="K694" s="180">
        <f>(K644/K612)*AC75</f>
        <v>161028.10067191138</v>
      </c>
      <c r="L694" s="180">
        <f>(L647/L612)*AC80</f>
        <v>0</v>
      </c>
      <c r="M694" s="180">
        <f t="shared" si="27"/>
        <v>302000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174869</v>
      </c>
      <c r="D695" s="180">
        <f>(D615/D612)*AD76</f>
        <v>16406.72906120796</v>
      </c>
      <c r="E695" s="180">
        <f>(E623/E612)*SUM(C695:D695)</f>
        <v>7216.1028840790086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4341.6974609297731</v>
      </c>
      <c r="J695" s="180">
        <f>(J630/J612)*AD79</f>
        <v>0</v>
      </c>
      <c r="K695" s="180">
        <f>(K644/K612)*AD75</f>
        <v>24568.209240029726</v>
      </c>
      <c r="L695" s="180">
        <f>(L647/L612)*AD80</f>
        <v>0</v>
      </c>
      <c r="M695" s="180">
        <f t="shared" si="27"/>
        <v>52533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657680</v>
      </c>
      <c r="D696" s="180">
        <f>(D615/D612)*AE76</f>
        <v>20766.004898726984</v>
      </c>
      <c r="E696" s="180">
        <f>(E623/E612)*SUM(C696:D696)</f>
        <v>25595.17716476697</v>
      </c>
      <c r="F696" s="180">
        <f>(F624/F612)*AE64</f>
        <v>79.392883839620254</v>
      </c>
      <c r="G696" s="180">
        <f>(G625/G612)*AE77</f>
        <v>0</v>
      </c>
      <c r="H696" s="180">
        <f>(H628/H612)*AE60</f>
        <v>4084.6825351681809</v>
      </c>
      <c r="I696" s="180">
        <f>(I629/I612)*AE78</f>
        <v>5495.2885737372007</v>
      </c>
      <c r="J696" s="180">
        <f>(J630/J612)*AE79</f>
        <v>0</v>
      </c>
      <c r="K696" s="180">
        <f>(K644/K612)*AE75</f>
        <v>43950.666823271196</v>
      </c>
      <c r="L696" s="180">
        <f>(L647/L612)*AE80</f>
        <v>0</v>
      </c>
      <c r="M696" s="180">
        <f t="shared" si="27"/>
        <v>99971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7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8271417</v>
      </c>
      <c r="D698" s="180">
        <f>(D615/D612)*AG76</f>
        <v>429705.7082383525</v>
      </c>
      <c r="E698" s="180">
        <f>(E623/E612)*SUM(C698:D698)</f>
        <v>328260.13513482409</v>
      </c>
      <c r="F698" s="180">
        <f>(F624/F612)*AG64</f>
        <v>15812.21774746536</v>
      </c>
      <c r="G698" s="180">
        <f>(G625/G612)*AG77</f>
        <v>47134.955796618247</v>
      </c>
      <c r="H698" s="180">
        <f>(H628/H612)*AG60</f>
        <v>40596.277909933575</v>
      </c>
      <c r="I698" s="180">
        <f>(I629/I612)*AG78</f>
        <v>113712.62214700851</v>
      </c>
      <c r="J698" s="180">
        <f>(J630/J612)*AG79</f>
        <v>148159.81779301513</v>
      </c>
      <c r="K698" s="180">
        <f>(K644/K612)*AG75</f>
        <v>1136769.2693670134</v>
      </c>
      <c r="L698" s="180">
        <f>(L647/L612)*AG80</f>
        <v>671486.21739782824</v>
      </c>
      <c r="M698" s="180">
        <f t="shared" si="27"/>
        <v>2931637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7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3029775</v>
      </c>
      <c r="D700" s="180">
        <f>(D615/D612)*AI76</f>
        <v>0</v>
      </c>
      <c r="E700" s="180">
        <f>(E623/E612)*SUM(C700:D700)</f>
        <v>114301.84175962175</v>
      </c>
      <c r="F700" s="180">
        <f>(F624/F612)*AI64</f>
        <v>21546.747505079969</v>
      </c>
      <c r="G700" s="180">
        <f>(G625/G612)*AI77</f>
        <v>26641.496754610311</v>
      </c>
      <c r="H700" s="180">
        <f>(H628/H612)*AI60</f>
        <v>10701.412701337453</v>
      </c>
      <c r="I700" s="180">
        <f>(I629/I612)*AI78</f>
        <v>0</v>
      </c>
      <c r="J700" s="180">
        <f>(J630/J612)*AI79</f>
        <v>0</v>
      </c>
      <c r="K700" s="180">
        <f>(K644/K612)*AI75</f>
        <v>317501.75909822615</v>
      </c>
      <c r="L700" s="180">
        <f>(L647/L612)*AI80</f>
        <v>294246.76942152024</v>
      </c>
      <c r="M700" s="180">
        <f t="shared" si="27"/>
        <v>784940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7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300</v>
      </c>
      <c r="D702" s="180">
        <f>(D615/D612)*AK76</f>
        <v>0</v>
      </c>
      <c r="E702" s="180">
        <f>(E623/E612)*SUM(C702:D702)</f>
        <v>11.317854470344011</v>
      </c>
      <c r="F702" s="180">
        <f>(F624/F612)*AK64</f>
        <v>3.5426728053643401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17091.667459315733</v>
      </c>
      <c r="L702" s="180">
        <f>(L647/L612)*AK80</f>
        <v>0</v>
      </c>
      <c r="M702" s="180">
        <f t="shared" si="27"/>
        <v>17107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-177.44</v>
      </c>
      <c r="D703" s="180">
        <f>(D615/D612)*AL76</f>
        <v>0</v>
      </c>
      <c r="E703" s="180">
        <f>(E623/E612)*SUM(C703:D703)</f>
        <v>-6.6941336573928041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9526.9751835256757</v>
      </c>
      <c r="L703" s="180">
        <f>(L647/L612)*AL80</f>
        <v>0</v>
      </c>
      <c r="M703" s="180">
        <f t="shared" si="27"/>
        <v>9520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7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52813.522716683117</v>
      </c>
      <c r="M705" s="180">
        <f t="shared" si="27"/>
        <v>52814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6282.6669105049614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7"/>
        <v>6283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7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7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7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7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7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7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216283.95017308323</v>
      </c>
      <c r="M713" s="180">
        <f t="shared" si="27"/>
        <v>216284</v>
      </c>
      <c r="N713" s="199" t="s">
        <v>741</v>
      </c>
    </row>
    <row r="715" spans="1:83" ht="12.6" customHeight="1" x14ac:dyDescent="0.25">
      <c r="C715" s="180">
        <f>SUM(C614:C647)+SUM(C668:C713)</f>
        <v>100058904.97999999</v>
      </c>
      <c r="D715" s="180">
        <f>SUM(D616:D647)+SUM(D668:D713)</f>
        <v>6067359</v>
      </c>
      <c r="E715" s="180">
        <f>SUM(E624:E647)+SUM(E668:E713)</f>
        <v>3637607.3802522509</v>
      </c>
      <c r="F715" s="180">
        <f>SUM(F625:F648)+SUM(F668:F713)</f>
        <v>595709.82770754816</v>
      </c>
      <c r="G715" s="180">
        <f>SUM(G626:G647)+SUM(G668:G713)</f>
        <v>2049345.9042007932</v>
      </c>
      <c r="H715" s="180">
        <f>SUM(H629:H647)+SUM(H668:H713)</f>
        <v>388819.26020638086</v>
      </c>
      <c r="I715" s="180">
        <f>SUM(I630:I647)+SUM(I668:I713)</f>
        <v>1424013.8440333579</v>
      </c>
      <c r="J715" s="180">
        <f>SUM(J631:J647)+SUM(J668:J713)</f>
        <v>542709.95528576965</v>
      </c>
      <c r="K715" s="180">
        <f>SUM(K668:K713)</f>
        <v>9797516.7644204739</v>
      </c>
      <c r="L715" s="180">
        <f>SUM(L668:L713)</f>
        <v>3963529.1334044095</v>
      </c>
      <c r="M715" s="180">
        <f>SUM(M668:M713)</f>
        <v>26429947</v>
      </c>
      <c r="N715" s="198" t="s">
        <v>742</v>
      </c>
    </row>
    <row r="716" spans="1:83" ht="12.6" customHeight="1" x14ac:dyDescent="0.25">
      <c r="C716" s="180">
        <f>CE71</f>
        <v>100058904.98</v>
      </c>
      <c r="D716" s="180">
        <f>D615</f>
        <v>6067359</v>
      </c>
      <c r="E716" s="180">
        <f>E623</f>
        <v>3637607.3802522519</v>
      </c>
      <c r="F716" s="180">
        <f>F624</f>
        <v>595709.82770754793</v>
      </c>
      <c r="G716" s="180">
        <f>G625</f>
        <v>2049345.9042007932</v>
      </c>
      <c r="H716" s="180">
        <f>H628</f>
        <v>388819.26020638068</v>
      </c>
      <c r="I716" s="180">
        <f>I629</f>
        <v>1424013.8440333575</v>
      </c>
      <c r="J716" s="180">
        <f>J630</f>
        <v>542709.95528576965</v>
      </c>
      <c r="K716" s="180">
        <f>K644</f>
        <v>9797516.7644204721</v>
      </c>
      <c r="L716" s="180">
        <f>L647</f>
        <v>3963529.1334044086</v>
      </c>
      <c r="M716" s="180">
        <f>C648</f>
        <v>26429945.379999999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180*2017*A</v>
      </c>
      <c r="B722" s="276">
        <f>ROUND(C165,0)</f>
        <v>3147817</v>
      </c>
      <c r="C722" s="276">
        <f>ROUND(C166,0)</f>
        <v>136488</v>
      </c>
      <c r="D722" s="276">
        <f>ROUND(C167,0)</f>
        <v>585920</v>
      </c>
      <c r="E722" s="276">
        <f>ROUND(C168,0)</f>
        <v>6599219</v>
      </c>
      <c r="F722" s="276">
        <f>ROUND(C169,0)</f>
        <v>13299</v>
      </c>
      <c r="G722" s="276">
        <f>ROUND(C170,0)</f>
        <v>1126339</v>
      </c>
      <c r="H722" s="276">
        <f>ROUND(C171+C172,0)</f>
        <v>481777</v>
      </c>
      <c r="I722" s="276">
        <f>ROUND(C175,0)</f>
        <v>0</v>
      </c>
      <c r="J722" s="276">
        <f>ROUND(C176,0)</f>
        <v>1004584</v>
      </c>
      <c r="K722" s="276">
        <f>ROUND(C179,0)</f>
        <v>1129116</v>
      </c>
      <c r="L722" s="276">
        <f>ROUND(C180,0)</f>
        <v>0</v>
      </c>
      <c r="M722" s="276">
        <f>ROUND(C183,0)</f>
        <v>16170</v>
      </c>
      <c r="N722" s="276">
        <f>ROUND(C184,0)</f>
        <v>5443884</v>
      </c>
      <c r="O722" s="276">
        <f>ROUND(C185,0)</f>
        <v>0</v>
      </c>
      <c r="P722" s="276">
        <f>ROUND(C188,0)</f>
        <v>0</v>
      </c>
      <c r="Q722" s="276">
        <f>ROUND(C189,0)</f>
        <v>-7531924</v>
      </c>
      <c r="R722" s="276">
        <f>ROUND(B195,0)</f>
        <v>4623945</v>
      </c>
      <c r="S722" s="276">
        <f>ROUND(C195,0)</f>
        <v>4355265</v>
      </c>
      <c r="T722" s="276">
        <f>ROUND(D195,0)</f>
        <v>0</v>
      </c>
      <c r="U722" s="276">
        <f>ROUND(B196,0)</f>
        <v>1234513</v>
      </c>
      <c r="V722" s="276">
        <f>ROUND(C196,0)</f>
        <v>0</v>
      </c>
      <c r="W722" s="276">
        <f>ROUND(D196,0)</f>
        <v>467749</v>
      </c>
      <c r="X722" s="276">
        <f>ROUND(B197,0)</f>
        <v>33528814</v>
      </c>
      <c r="Y722" s="276">
        <f>ROUND(C197,0)</f>
        <v>15165</v>
      </c>
      <c r="Z722" s="276">
        <f>ROUND(D197,0)</f>
        <v>2530933</v>
      </c>
      <c r="AA722" s="276">
        <f>ROUND(B198,0)</f>
        <v>4066480</v>
      </c>
      <c r="AB722" s="276">
        <f>ROUND(C198,0)</f>
        <v>0</v>
      </c>
      <c r="AC722" s="276">
        <f>ROUND(D198,0)</f>
        <v>3079900</v>
      </c>
      <c r="AD722" s="276">
        <f>ROUND(B199,0)</f>
        <v>1796998</v>
      </c>
      <c r="AE722" s="276">
        <f>ROUND(C199,0)</f>
        <v>11893</v>
      </c>
      <c r="AF722" s="276">
        <f>ROUND(D199,0)</f>
        <v>1808891</v>
      </c>
      <c r="AG722" s="276">
        <f>ROUND(B200,0)</f>
        <v>16626252</v>
      </c>
      <c r="AH722" s="276">
        <f>ROUND(C200,0)</f>
        <v>1447574</v>
      </c>
      <c r="AI722" s="276">
        <f>ROUND(D200,0)</f>
        <v>7276314</v>
      </c>
      <c r="AJ722" s="276">
        <f>ROUND(B201,0)</f>
        <v>3327964</v>
      </c>
      <c r="AK722" s="276">
        <f>ROUND(C201,0)</f>
        <v>70378</v>
      </c>
      <c r="AL722" s="276">
        <f>ROUND(D201,0)</f>
        <v>3398342</v>
      </c>
      <c r="AM722" s="276">
        <f>ROUND(B202,0)</f>
        <v>251618</v>
      </c>
      <c r="AN722" s="276">
        <f>ROUND(C202,0)</f>
        <v>0</v>
      </c>
      <c r="AO722" s="276">
        <f>ROUND(D202,0)</f>
        <v>116618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653769</v>
      </c>
      <c r="AW722" s="276">
        <f>ROUND(C209,0)</f>
        <v>298767</v>
      </c>
      <c r="AX722" s="276">
        <f>ROUND(D209,0)</f>
        <v>897767</v>
      </c>
      <c r="AY722" s="276">
        <f>ROUND(B210,0)</f>
        <v>7268485</v>
      </c>
      <c r="AZ722" s="276">
        <f>ROUND(C210,0)</f>
        <v>1268052</v>
      </c>
      <c r="BA722" s="276">
        <f>ROUND(D210,0)</f>
        <v>7761343</v>
      </c>
      <c r="BB722" s="276">
        <f>ROUND(B211,0)</f>
        <v>674733</v>
      </c>
      <c r="BC722" s="276">
        <f>ROUND(C211,0)</f>
        <v>150088</v>
      </c>
      <c r="BD722" s="276">
        <f>ROUND(D211,0)</f>
        <v>783713</v>
      </c>
      <c r="BE722" s="276">
        <f>ROUND(B212,0)</f>
        <v>892694</v>
      </c>
      <c r="BF722" s="276">
        <f>ROUND(C212,0)</f>
        <v>126033</v>
      </c>
      <c r="BG722" s="276">
        <f>ROUND(D212,0)</f>
        <v>1018727</v>
      </c>
      <c r="BH722" s="276">
        <f>ROUND(B213,0)</f>
        <v>11920763</v>
      </c>
      <c r="BI722" s="276">
        <f>ROUND(C213,0)</f>
        <v>1646006</v>
      </c>
      <c r="BJ722" s="276">
        <f>ROUND(D213,0)</f>
        <v>12395975</v>
      </c>
      <c r="BK722" s="276">
        <f>ROUND(B214,0)</f>
        <v>1785420</v>
      </c>
      <c r="BL722" s="276">
        <f>ROUND(C214,0)</f>
        <v>261408</v>
      </c>
      <c r="BM722" s="276">
        <f>ROUND(D214,0)</f>
        <v>2046829</v>
      </c>
      <c r="BN722" s="276">
        <f>ROUND(B215,0)</f>
        <v>183960</v>
      </c>
      <c r="BO722" s="276">
        <f>ROUND(C215,0)</f>
        <v>13012</v>
      </c>
      <c r="BP722" s="276">
        <f>ROUND(D215,0)</f>
        <v>187657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165307330</v>
      </c>
      <c r="BU722" s="276">
        <f>ROUND(C224,0)</f>
        <v>123105840</v>
      </c>
      <c r="BV722" s="276">
        <f>ROUND(C225,0)</f>
        <v>8409030</v>
      </c>
      <c r="BW722" s="276">
        <f>ROUND(C226,0)</f>
        <v>17784797</v>
      </c>
      <c r="BX722" s="276">
        <f>ROUND(C227,0)</f>
        <v>210881925</v>
      </c>
      <c r="BY722" s="276">
        <f>ROUND(C228,0)</f>
        <v>7880938</v>
      </c>
      <c r="BZ722" s="276">
        <f>ROUND(C231,0)</f>
        <v>0</v>
      </c>
      <c r="CA722" s="276">
        <f>ROUND(C233,0)</f>
        <v>572796</v>
      </c>
      <c r="CB722" s="276">
        <f>ROUND(C234,0)</f>
        <v>1513405</v>
      </c>
      <c r="CC722" s="276">
        <f>ROUND(C238+C239,0)</f>
        <v>0</v>
      </c>
      <c r="CD722" s="276">
        <f>D221</f>
        <v>4527354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180*2017*A</v>
      </c>
      <c r="B726" s="276">
        <f>ROUND(C111,0)</f>
        <v>5785</v>
      </c>
      <c r="C726" s="276">
        <f>ROUND(C112,0)</f>
        <v>0</v>
      </c>
      <c r="D726" s="276">
        <f>ROUND(C113,0)</f>
        <v>0</v>
      </c>
      <c r="E726" s="276">
        <f>ROUND(C114,0)</f>
        <v>708</v>
      </c>
      <c r="F726" s="276">
        <f>ROUND(D111,0)</f>
        <v>20781</v>
      </c>
      <c r="G726" s="276">
        <f>ROUND(D112,0)</f>
        <v>0</v>
      </c>
      <c r="H726" s="276">
        <f>ROUND(D113,0)</f>
        <v>0</v>
      </c>
      <c r="I726" s="276">
        <f>ROUND(D114,0)</f>
        <v>1647</v>
      </c>
      <c r="J726" s="276">
        <f>ROUND(C116,0)</f>
        <v>10</v>
      </c>
      <c r="K726" s="276">
        <f>ROUND(C117,0)</f>
        <v>16</v>
      </c>
      <c r="L726" s="276">
        <f>ROUND(C118,0)</f>
        <v>44</v>
      </c>
      <c r="M726" s="276">
        <f>ROUND(C119,0)</f>
        <v>14</v>
      </c>
      <c r="N726" s="276">
        <f>ROUND(C120,0)</f>
        <v>10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19</v>
      </c>
      <c r="V726" s="276">
        <f>ROUND(C128,0)</f>
        <v>123</v>
      </c>
      <c r="W726" s="276">
        <f>ROUND(C129,0)</f>
        <v>10</v>
      </c>
      <c r="X726" s="276">
        <f>ROUND(B138,0)</f>
        <v>2095</v>
      </c>
      <c r="Y726" s="276">
        <f>ROUND(B139,0)</f>
        <v>8086</v>
      </c>
      <c r="Z726" s="276">
        <f>ROUND(B140,0)</f>
        <v>10246</v>
      </c>
      <c r="AA726" s="276">
        <f>ROUND(B141,0)</f>
        <v>173071765</v>
      </c>
      <c r="AB726" s="276">
        <f>ROUND(B142,0)</f>
        <v>121621336</v>
      </c>
      <c r="AC726" s="276">
        <f>ROUND(C138,0)</f>
        <v>1196</v>
      </c>
      <c r="AD726" s="276">
        <f>ROUND(C139,0)</f>
        <v>3941</v>
      </c>
      <c r="AE726" s="276">
        <f>ROUND(C140,0)</f>
        <v>20544</v>
      </c>
      <c r="AF726" s="276">
        <f>ROUND(C141,0)</f>
        <v>48325408</v>
      </c>
      <c r="AG726" s="276">
        <f>ROUND(C142,0)</f>
        <v>95509844</v>
      </c>
      <c r="AH726" s="276">
        <f>ROUND(D138,0)</f>
        <v>2494</v>
      </c>
      <c r="AI726" s="276">
        <f>ROUND(D139,0)</f>
        <v>8754</v>
      </c>
      <c r="AJ726" s="276">
        <f>ROUND(D140,0)</f>
        <v>27136</v>
      </c>
      <c r="AK726" s="276">
        <f>ROUND(D141,0)</f>
        <v>79485342</v>
      </c>
      <c r="AL726" s="276">
        <f>ROUND(D142,0)</f>
        <v>145190549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180*2017*A</v>
      </c>
      <c r="B730" s="276">
        <f>ROUND(C250,0)</f>
        <v>2176</v>
      </c>
      <c r="C730" s="276">
        <f>ROUND(C251,0)</f>
        <v>0</v>
      </c>
      <c r="D730" s="276">
        <f>ROUND(C252,0)</f>
        <v>24725402</v>
      </c>
      <c r="E730" s="276">
        <f>ROUND(C253,0)</f>
        <v>1143072</v>
      </c>
      <c r="F730" s="276">
        <f>ROUND(C254,0)</f>
        <v>0</v>
      </c>
      <c r="G730" s="276">
        <f>ROUND(C255,0)</f>
        <v>135119</v>
      </c>
      <c r="H730" s="276">
        <f>ROUND(C256,0)</f>
        <v>0</v>
      </c>
      <c r="I730" s="276">
        <f>ROUND(C257,0)</f>
        <v>2650143</v>
      </c>
      <c r="J730" s="276">
        <f>ROUND(C258,0)</f>
        <v>98262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8979210</v>
      </c>
      <c r="P730" s="276">
        <f>ROUND(C268,0)</f>
        <v>766764</v>
      </c>
      <c r="Q730" s="276">
        <f>ROUND(C269,0)</f>
        <v>31013046</v>
      </c>
      <c r="R730" s="276">
        <f>ROUND(C270,0)</f>
        <v>0</v>
      </c>
      <c r="S730" s="276">
        <f>ROUND(C271,0)</f>
        <v>986580</v>
      </c>
      <c r="T730" s="276">
        <f>ROUND(C272,0)</f>
        <v>10797512</v>
      </c>
      <c r="U730" s="276">
        <f>ROUND(C273,0)</f>
        <v>135000</v>
      </c>
      <c r="V730" s="276">
        <f>ROUND(C274,0)</f>
        <v>0</v>
      </c>
      <c r="W730" s="276">
        <f>ROUND(C275,0)</f>
        <v>0</v>
      </c>
      <c r="X730" s="276">
        <f>ROUND(C276,0)</f>
        <v>2051179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2982523</v>
      </c>
      <c r="AC730" s="276">
        <f>ROUND(C286,0)</f>
        <v>66733575</v>
      </c>
      <c r="AD730" s="276">
        <f>ROUND(C287,0)</f>
        <v>0</v>
      </c>
      <c r="AE730" s="276">
        <f>ROUND(C288,0)</f>
        <v>0</v>
      </c>
      <c r="AF730" s="276">
        <f>ROUND(C289,0)</f>
        <v>3986667</v>
      </c>
      <c r="AG730" s="276">
        <f>ROUND(C304,0)</f>
        <v>0</v>
      </c>
      <c r="AH730" s="276">
        <f>ROUND(C305,0)</f>
        <v>4528057</v>
      </c>
      <c r="AI730" s="276">
        <f>ROUND(C306,0)</f>
        <v>0</v>
      </c>
      <c r="AJ730" s="276">
        <f>ROUND(C307,0)</f>
        <v>1536362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303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8153296</v>
      </c>
      <c r="BF730" s="276">
        <f>ROUND(C336,0)</f>
        <v>136579711</v>
      </c>
      <c r="BG730" s="276"/>
      <c r="BH730" s="276"/>
      <c r="BI730" s="276">
        <f>ROUND(CE60,2)</f>
        <v>559.23</v>
      </c>
      <c r="BJ730" s="276">
        <f>ROUND(C359,0)</f>
        <v>300882515</v>
      </c>
      <c r="BK730" s="276">
        <f>ROUND(C360,0)</f>
        <v>362321729</v>
      </c>
      <c r="BL730" s="276">
        <f>ROUND(C364,0)</f>
        <v>533369860</v>
      </c>
      <c r="BM730" s="276">
        <f>ROUND(C365,0)</f>
        <v>2086201</v>
      </c>
      <c r="BN730" s="276">
        <f>ROUND(C366,0)</f>
        <v>0</v>
      </c>
      <c r="BO730" s="276">
        <f>ROUND(C370,0)</f>
        <v>379238</v>
      </c>
      <c r="BP730" s="276">
        <f>ROUND(C371,0)</f>
        <v>0</v>
      </c>
      <c r="BQ730" s="276">
        <f>ROUND(C378,0)</f>
        <v>44116279</v>
      </c>
      <c r="BR730" s="276">
        <f>ROUND(C379,0)</f>
        <v>12090860</v>
      </c>
      <c r="BS730" s="276">
        <f>ROUND(C380,0)</f>
        <v>2179160</v>
      </c>
      <c r="BT730" s="276">
        <f>ROUND(C381,0)</f>
        <v>22858906</v>
      </c>
      <c r="BU730" s="276">
        <f>ROUND(C382,0)</f>
        <v>729978</v>
      </c>
      <c r="BV730" s="276">
        <f>ROUND(C383,0)</f>
        <v>8380357</v>
      </c>
      <c r="BW730" s="276">
        <f>ROUND(C384,0)</f>
        <v>4629385</v>
      </c>
      <c r="BX730" s="276">
        <f>ROUND(C385,0)</f>
        <v>1009586</v>
      </c>
      <c r="BY730" s="276">
        <f>ROUND(C386,0)</f>
        <v>1129116</v>
      </c>
      <c r="BZ730" s="276">
        <f>ROUND(C387,0)</f>
        <v>5460054</v>
      </c>
      <c r="CA730" s="276">
        <f>ROUND(C388,0)</f>
        <v>-7531924</v>
      </c>
      <c r="CB730" s="276">
        <f>C363</f>
        <v>4527354</v>
      </c>
      <c r="CC730" s="276">
        <f>ROUND(C389,0)</f>
        <v>5512766</v>
      </c>
      <c r="CD730" s="276">
        <f>ROUND(C392,0)</f>
        <v>413851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180*2017*6010*A</v>
      </c>
      <c r="B734" s="276">
        <f>ROUND(C59,0)</f>
        <v>2842</v>
      </c>
      <c r="C734" s="276">
        <f>ROUND(C60,2)</f>
        <v>28.14</v>
      </c>
      <c r="D734" s="276">
        <f>ROUND(C61,0)</f>
        <v>2525344</v>
      </c>
      <c r="E734" s="276">
        <f>ROUND(C62,0)</f>
        <v>692116</v>
      </c>
      <c r="F734" s="276">
        <f>ROUND(C63,0)</f>
        <v>0</v>
      </c>
      <c r="G734" s="276">
        <f>ROUND(C64,0)</f>
        <v>267551</v>
      </c>
      <c r="H734" s="276">
        <f>ROUND(C65,0)</f>
        <v>0</v>
      </c>
      <c r="I734" s="276">
        <f>ROUND(C66,0)</f>
        <v>98</v>
      </c>
      <c r="J734" s="276">
        <f>ROUND(C67,0)</f>
        <v>95513</v>
      </c>
      <c r="K734" s="276">
        <f>ROUND(C68,0)</f>
        <v>0</v>
      </c>
      <c r="L734" s="276">
        <f>ROUND(C69,0)</f>
        <v>9037</v>
      </c>
      <c r="M734" s="276">
        <f>ROUND(C70,0)</f>
        <v>0</v>
      </c>
      <c r="N734" s="276">
        <f>ROUND(C75,0)</f>
        <v>8364468</v>
      </c>
      <c r="O734" s="276">
        <f>ROUND(C73,0)</f>
        <v>8289572</v>
      </c>
      <c r="P734" s="276">
        <f>IF(C76&gt;0,ROUND(C76,0),0)</f>
        <v>4165</v>
      </c>
      <c r="Q734" s="276">
        <f>IF(C77&gt;0,ROUND(C77,0),0)</f>
        <v>32552</v>
      </c>
      <c r="R734" s="276">
        <f>IF(C78&gt;0,ROUND(C78,0),0)</f>
        <v>1584</v>
      </c>
      <c r="S734" s="276">
        <f>IF(C79&gt;0,ROUND(C79,0),0)</f>
        <v>48937</v>
      </c>
      <c r="T734" s="276">
        <f>IF(C80&gt;0,ROUND(C80,2),0)</f>
        <v>19</v>
      </c>
      <c r="U734" s="276"/>
      <c r="V734" s="276"/>
      <c r="W734" s="276"/>
      <c r="X734" s="276"/>
      <c r="Y734" s="276">
        <f t="shared" ref="Y734:Y779" si="28">IF(M668&lt;&gt;0,ROUND(M668,0),0)</f>
        <v>1190662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180*2017*6030*A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164195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7160</v>
      </c>
      <c r="Q735" s="276">
        <f>IF(D77&gt;0,ROUND(D77,0),0)</f>
        <v>75324</v>
      </c>
      <c r="R735" s="276">
        <f>IF(D78&gt;0,ROUND(D78,0),0)</f>
        <v>2723</v>
      </c>
      <c r="S735" s="276">
        <f>IF(D79&gt;0,ROUND(D79,0),0)</f>
        <v>38839</v>
      </c>
      <c r="T735" s="278">
        <f>IF(D80&gt;0,ROUND(D80,2),0)</f>
        <v>0</v>
      </c>
      <c r="U735" s="276"/>
      <c r="V735" s="277"/>
      <c r="W735" s="276"/>
      <c r="X735" s="276"/>
      <c r="Y735" s="276">
        <f t="shared" si="28"/>
        <v>810692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180*2017*6070*A</v>
      </c>
      <c r="B736" s="276">
        <f>ROUND(E59,0)</f>
        <v>17744</v>
      </c>
      <c r="C736" s="278">
        <f>ROUND(E60,2)</f>
        <v>91.81</v>
      </c>
      <c r="D736" s="276">
        <f>ROUND(E61,0)</f>
        <v>8793798</v>
      </c>
      <c r="E736" s="276">
        <f>ROUND(E62,0)</f>
        <v>2410098</v>
      </c>
      <c r="F736" s="276">
        <f>ROUND(E63,0)</f>
        <v>150000</v>
      </c>
      <c r="G736" s="276">
        <f>ROUND(E64,0)</f>
        <v>696440</v>
      </c>
      <c r="H736" s="276">
        <f>ROUND(E65,0)</f>
        <v>0</v>
      </c>
      <c r="I736" s="276">
        <f>ROUND(E66,0)</f>
        <v>618</v>
      </c>
      <c r="J736" s="276">
        <f>ROUND(E67,0)</f>
        <v>907155</v>
      </c>
      <c r="K736" s="276">
        <f>ROUND(E68,0)</f>
        <v>0</v>
      </c>
      <c r="L736" s="276">
        <f>ROUND(E69,0)</f>
        <v>31827</v>
      </c>
      <c r="M736" s="276">
        <f>ROUND(E70,0)</f>
        <v>0</v>
      </c>
      <c r="N736" s="276">
        <f>ROUND(E75,0)</f>
        <v>40506170</v>
      </c>
      <c r="O736" s="276">
        <f>ROUND(E73,0)</f>
        <v>33883776</v>
      </c>
      <c r="P736" s="276">
        <f>IF(E76&gt;0,ROUND(E76,0),0)</f>
        <v>39558</v>
      </c>
      <c r="Q736" s="276">
        <f>IF(E77&gt;0,ROUND(E77,0),0)</f>
        <v>257011</v>
      </c>
      <c r="R736" s="276">
        <f>IF(E78&gt;0,ROUND(E78,0),0)</f>
        <v>15043</v>
      </c>
      <c r="S736" s="276">
        <f>IF(E79&gt;0,ROUND(E79,0),0)</f>
        <v>254006</v>
      </c>
      <c r="T736" s="278">
        <f>IF(E80&gt;0,ROUND(E80,2),0)</f>
        <v>43.6</v>
      </c>
      <c r="U736" s="276"/>
      <c r="V736" s="277"/>
      <c r="W736" s="276"/>
      <c r="X736" s="276"/>
      <c r="Y736" s="276">
        <f t="shared" si="28"/>
        <v>5883727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180*2017*6100*A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8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180*2017*6120*A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8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180*2017*6140*A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8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180*2017*6150*A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8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180*2017*6170*A</v>
      </c>
      <c r="B741" s="276">
        <f>ROUND(J59,0)</f>
        <v>195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22015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960</v>
      </c>
      <c r="Q741" s="276">
        <f>IF(J77&gt;0,ROUND(J77,0),0)</f>
        <v>0</v>
      </c>
      <c r="R741" s="276">
        <f>IF(J78&gt;0,ROUND(J78,0),0)</f>
        <v>365</v>
      </c>
      <c r="S741" s="276">
        <f>IF(J79&gt;0,ROUND(J79,0),0)</f>
        <v>17089</v>
      </c>
      <c r="T741" s="278">
        <f>IF(J80&gt;0,ROUND(J80,2),0)</f>
        <v>16.5</v>
      </c>
      <c r="U741" s="276"/>
      <c r="V741" s="277"/>
      <c r="W741" s="276"/>
      <c r="X741" s="276"/>
      <c r="Y741" s="276">
        <f t="shared" si="28"/>
        <v>477281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180*2017*6200*A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8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180*2017*6210*A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8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180*2017*6330*A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8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180*2017*6400*A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8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180*2017*7010*A</v>
      </c>
      <c r="B746" s="276">
        <f>ROUND(O59,0)</f>
        <v>708</v>
      </c>
      <c r="C746" s="278">
        <f>ROUND(O60,2)</f>
        <v>20.059999999999999</v>
      </c>
      <c r="D746" s="276">
        <f>ROUND(O61,0)</f>
        <v>2554031</v>
      </c>
      <c r="E746" s="276">
        <f>ROUND(O62,0)</f>
        <v>699978</v>
      </c>
      <c r="F746" s="276">
        <f>ROUND(O63,0)</f>
        <v>0</v>
      </c>
      <c r="G746" s="276">
        <f>ROUND(O64,0)</f>
        <v>232471</v>
      </c>
      <c r="H746" s="276">
        <f>ROUND(O65,0)</f>
        <v>0</v>
      </c>
      <c r="I746" s="276">
        <f>ROUND(O66,0)</f>
        <v>-9095</v>
      </c>
      <c r="J746" s="276">
        <f>ROUND(O67,0)</f>
        <v>16305</v>
      </c>
      <c r="K746" s="276">
        <f>ROUND(O68,0)</f>
        <v>0</v>
      </c>
      <c r="L746" s="276">
        <f>ROUND(O69,0)</f>
        <v>56006</v>
      </c>
      <c r="M746" s="276">
        <f>ROUND(O70,0)</f>
        <v>0</v>
      </c>
      <c r="N746" s="276">
        <f>ROUND(O75,0)</f>
        <v>10695696</v>
      </c>
      <c r="O746" s="276">
        <f>ROUND(O73,0)</f>
        <v>9775063</v>
      </c>
      <c r="P746" s="276">
        <f>IF(O76&gt;0,ROUND(O76,0),0)</f>
        <v>711</v>
      </c>
      <c r="Q746" s="276">
        <f>IF(O77&gt;0,ROUND(O77,0),0)</f>
        <v>0</v>
      </c>
      <c r="R746" s="276">
        <f>IF(O78&gt;0,ROUND(O78,0),0)</f>
        <v>270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8"/>
        <v>349993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180*2017*7020*A</v>
      </c>
      <c r="B747" s="276">
        <f>ROUND(P59,0)</f>
        <v>510247</v>
      </c>
      <c r="C747" s="278">
        <f>ROUND(P60,2)</f>
        <v>46.81</v>
      </c>
      <c r="D747" s="276">
        <f>ROUND(P61,0)</f>
        <v>4497186</v>
      </c>
      <c r="E747" s="276">
        <f>ROUND(P62,0)</f>
        <v>1232535</v>
      </c>
      <c r="F747" s="276">
        <f>ROUND(P63,0)</f>
        <v>0</v>
      </c>
      <c r="G747" s="276">
        <f>ROUND(P64,0)</f>
        <v>12397215</v>
      </c>
      <c r="H747" s="276">
        <f>ROUND(P65,0)</f>
        <v>0</v>
      </c>
      <c r="I747" s="276">
        <f>ROUND(P66,0)</f>
        <v>105679</v>
      </c>
      <c r="J747" s="276">
        <f>ROUND(P67,0)</f>
        <v>661000</v>
      </c>
      <c r="K747" s="276">
        <f>ROUND(P68,0)</f>
        <v>65073</v>
      </c>
      <c r="L747" s="276">
        <f>ROUND(P69,0)</f>
        <v>238722</v>
      </c>
      <c r="M747" s="276">
        <f>ROUND(P70,0)</f>
        <v>0</v>
      </c>
      <c r="N747" s="276">
        <f>ROUND(P75,0)</f>
        <v>172105677</v>
      </c>
      <c r="O747" s="276">
        <f>ROUND(P73,0)</f>
        <v>94153240</v>
      </c>
      <c r="P747" s="276">
        <f>IF(P76&gt;0,ROUND(P76,0),0)</f>
        <v>28824</v>
      </c>
      <c r="Q747" s="276">
        <f>IF(P77&gt;0,ROUND(P77,0),0)</f>
        <v>0</v>
      </c>
      <c r="R747" s="276">
        <f>IF(P78&gt;0,ROUND(P78,0),0)</f>
        <v>10961</v>
      </c>
      <c r="S747" s="276">
        <f>IF(P79&gt;0,ROUND(P79,0),0)</f>
        <v>177105</v>
      </c>
      <c r="T747" s="278">
        <f>IF(P80&gt;0,ROUND(P80,2),0)</f>
        <v>19.3</v>
      </c>
      <c r="U747" s="276"/>
      <c r="V747" s="277"/>
      <c r="W747" s="276"/>
      <c r="X747" s="276"/>
      <c r="Y747" s="276">
        <f t="shared" si="28"/>
        <v>5726843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180*2017*7030*A</v>
      </c>
      <c r="B748" s="276">
        <f>ROUND(Q59,0)</f>
        <v>0</v>
      </c>
      <c r="C748" s="278">
        <f>ROUND(Q60,2)</f>
        <v>11.29</v>
      </c>
      <c r="D748" s="276">
        <f>ROUND(Q61,0)</f>
        <v>1455068</v>
      </c>
      <c r="E748" s="276">
        <f>ROUND(Q62,0)</f>
        <v>398788</v>
      </c>
      <c r="F748" s="276">
        <f>ROUND(Q63,0)</f>
        <v>0</v>
      </c>
      <c r="G748" s="276">
        <f>ROUND(Q64,0)</f>
        <v>118015</v>
      </c>
      <c r="H748" s="276">
        <f>ROUND(Q65,0)</f>
        <v>0</v>
      </c>
      <c r="I748" s="276">
        <f>ROUND(Q66,0)</f>
        <v>0</v>
      </c>
      <c r="J748" s="276">
        <f>ROUND(Q67,0)</f>
        <v>59991</v>
      </c>
      <c r="K748" s="276">
        <f>ROUND(Q68,0)</f>
        <v>0</v>
      </c>
      <c r="L748" s="276">
        <f>ROUND(Q69,0)</f>
        <v>1565</v>
      </c>
      <c r="M748" s="276">
        <f>ROUND(Q70,0)</f>
        <v>0</v>
      </c>
      <c r="N748" s="276">
        <f>ROUND(Q75,0)</f>
        <v>9213689</v>
      </c>
      <c r="O748" s="276">
        <f>ROUND(Q73,0)</f>
        <v>3125847</v>
      </c>
      <c r="P748" s="276">
        <f>IF(Q76&gt;0,ROUND(Q76,0),0)</f>
        <v>2616</v>
      </c>
      <c r="Q748" s="276">
        <f>IF(Q77&gt;0,ROUND(Q77,0),0)</f>
        <v>0</v>
      </c>
      <c r="R748" s="276">
        <f>IF(Q78&gt;0,ROUND(Q78,0),0)</f>
        <v>995</v>
      </c>
      <c r="S748" s="276">
        <f>IF(Q79&gt;0,ROUND(Q79,0),0)</f>
        <v>28741</v>
      </c>
      <c r="T748" s="278">
        <f>IF(Q80&gt;0,ROUND(Q80,2),0)</f>
        <v>9.1999999999999993</v>
      </c>
      <c r="U748" s="276"/>
      <c r="V748" s="277"/>
      <c r="W748" s="276"/>
      <c r="X748" s="276"/>
      <c r="Y748" s="276">
        <f t="shared" si="28"/>
        <v>610990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180*2017*7040*A</v>
      </c>
      <c r="B749" s="276">
        <f>ROUND(R59,0)</f>
        <v>480437</v>
      </c>
      <c r="C749" s="278">
        <f>ROUND(R60,2)</f>
        <v>1.06</v>
      </c>
      <c r="D749" s="276">
        <f>ROUND(R61,0)</f>
        <v>113087</v>
      </c>
      <c r="E749" s="276">
        <f>ROUND(R62,0)</f>
        <v>30994</v>
      </c>
      <c r="F749" s="276">
        <f>ROUND(R63,0)</f>
        <v>0</v>
      </c>
      <c r="G749" s="276">
        <f>ROUND(R64,0)</f>
        <v>209153</v>
      </c>
      <c r="H749" s="276">
        <f>ROUND(R65,0)</f>
        <v>0</v>
      </c>
      <c r="I749" s="276">
        <f>ROUND(R66,0)</f>
        <v>700008</v>
      </c>
      <c r="J749" s="276">
        <f>ROUND(R67,0)</f>
        <v>15181</v>
      </c>
      <c r="K749" s="276">
        <f>ROUND(R68,0)</f>
        <v>0</v>
      </c>
      <c r="L749" s="276">
        <f>ROUND(R69,0)</f>
        <v>17929</v>
      </c>
      <c r="M749" s="276">
        <f>ROUND(R70,0)</f>
        <v>0</v>
      </c>
      <c r="N749" s="276">
        <f>ROUND(R75,0)</f>
        <v>7568710</v>
      </c>
      <c r="O749" s="276">
        <f>ROUND(R73,0)</f>
        <v>2475581</v>
      </c>
      <c r="P749" s="276">
        <f>IF(R76&gt;0,ROUND(R76,0),0)</f>
        <v>662</v>
      </c>
      <c r="Q749" s="276">
        <f>IF(R77&gt;0,ROUND(R77,0),0)</f>
        <v>0</v>
      </c>
      <c r="R749" s="276">
        <f>IF(R78&gt;0,ROUND(R78,0),0)</f>
        <v>252</v>
      </c>
      <c r="S749" s="276">
        <f>IF(R79&gt;0,ROUND(R79,0),0)</f>
        <v>0</v>
      </c>
      <c r="T749" s="278">
        <f>IF(R80&gt;0,ROUND(R80,2),0)</f>
        <v>0.8</v>
      </c>
      <c r="U749" s="276"/>
      <c r="V749" s="277"/>
      <c r="W749" s="276"/>
      <c r="X749" s="276"/>
      <c r="Y749" s="276">
        <f t="shared" si="28"/>
        <v>213414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180*2017*7050*A</v>
      </c>
      <c r="B750" s="276"/>
      <c r="C750" s="278">
        <f>ROUND(S60,2)</f>
        <v>12.33</v>
      </c>
      <c r="D750" s="276">
        <f>ROUND(S61,0)</f>
        <v>591178</v>
      </c>
      <c r="E750" s="276">
        <f>ROUND(S62,0)</f>
        <v>162023</v>
      </c>
      <c r="F750" s="276">
        <f>ROUND(S63,0)</f>
        <v>0</v>
      </c>
      <c r="G750" s="276">
        <f>ROUND(S64,0)</f>
        <v>366809</v>
      </c>
      <c r="H750" s="276">
        <f>ROUND(S65,0)</f>
        <v>0</v>
      </c>
      <c r="I750" s="276">
        <f>ROUND(S66,0)</f>
        <v>0</v>
      </c>
      <c r="J750" s="276">
        <f>ROUND(S67,0)</f>
        <v>107552</v>
      </c>
      <c r="K750" s="276">
        <f>ROUND(S68,0)</f>
        <v>104086</v>
      </c>
      <c r="L750" s="276">
        <f>ROUND(S69,0)</f>
        <v>97059</v>
      </c>
      <c r="M750" s="276">
        <f>ROUND(S70,0)</f>
        <v>0</v>
      </c>
      <c r="N750" s="276">
        <f>ROUND(S75,0)</f>
        <v>1499</v>
      </c>
      <c r="O750" s="276">
        <f>ROUND(S73,0)</f>
        <v>1238</v>
      </c>
      <c r="P750" s="276">
        <f>IF(S76&gt;0,ROUND(S76,0),0)</f>
        <v>4690</v>
      </c>
      <c r="Q750" s="276">
        <f>IF(S77&gt;0,ROUND(S77,0),0)</f>
        <v>0</v>
      </c>
      <c r="R750" s="276">
        <f>IF(S78&gt;0,ROUND(S78,0),0)</f>
        <v>1784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8"/>
        <v>315038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180*2017*7060*A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8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180*2017*7070*A</v>
      </c>
      <c r="B752" s="276">
        <f>ROUND(U59,0)</f>
        <v>346146</v>
      </c>
      <c r="C752" s="278">
        <f>ROUND(U60,2)</f>
        <v>22.51</v>
      </c>
      <c r="D752" s="276">
        <f>ROUND(U61,0)</f>
        <v>1298750</v>
      </c>
      <c r="E752" s="276">
        <f>ROUND(U62,0)</f>
        <v>355946</v>
      </c>
      <c r="F752" s="276">
        <f>ROUND(U63,0)</f>
        <v>15975</v>
      </c>
      <c r="G752" s="276">
        <f>ROUND(U64,0)</f>
        <v>1458857</v>
      </c>
      <c r="H752" s="276">
        <f>ROUND(U65,0)</f>
        <v>0</v>
      </c>
      <c r="I752" s="276">
        <f>ROUND(U66,0)</f>
        <v>547534</v>
      </c>
      <c r="J752" s="276">
        <f>ROUND(U67,0)</f>
        <v>86661</v>
      </c>
      <c r="K752" s="276">
        <f>ROUND(U68,0)</f>
        <v>87542</v>
      </c>
      <c r="L752" s="276">
        <f>ROUND(U69,0)</f>
        <v>85356</v>
      </c>
      <c r="M752" s="276">
        <f>ROUND(U70,0)</f>
        <v>0</v>
      </c>
      <c r="N752" s="276">
        <f>ROUND(U75,0)</f>
        <v>47907388</v>
      </c>
      <c r="O752" s="276">
        <f>ROUND(U73,0)</f>
        <v>23638127</v>
      </c>
      <c r="P752" s="276">
        <f>IF(U76&gt;0,ROUND(U76,0),0)</f>
        <v>3779</v>
      </c>
      <c r="Q752" s="276">
        <f>IF(U77&gt;0,ROUND(U77,0),0)</f>
        <v>0</v>
      </c>
      <c r="R752" s="276">
        <f>IF(U78&gt;0,ROUND(U78,0),0)</f>
        <v>1437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8"/>
        <v>1106947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180*2017*7110*A</v>
      </c>
      <c r="B753" s="276">
        <f>ROUND(V59,0)</f>
        <v>15198</v>
      </c>
      <c r="C753" s="278">
        <f>ROUND(V60,2)</f>
        <v>23.85</v>
      </c>
      <c r="D753" s="276">
        <f>ROUND(V61,0)</f>
        <v>670082</v>
      </c>
      <c r="E753" s="276">
        <f>ROUND(V62,0)</f>
        <v>183648</v>
      </c>
      <c r="F753" s="276">
        <f>ROUND(V63,0)</f>
        <v>26450</v>
      </c>
      <c r="G753" s="276">
        <f>ROUND(V64,0)</f>
        <v>44703</v>
      </c>
      <c r="H753" s="276">
        <f>ROUND(V65,0)</f>
        <v>0</v>
      </c>
      <c r="I753" s="276">
        <f>ROUND(V66,0)</f>
        <v>0</v>
      </c>
      <c r="J753" s="276">
        <f>ROUND(V67,0)</f>
        <v>37059</v>
      </c>
      <c r="K753" s="276">
        <f>ROUND(V68,0)</f>
        <v>0</v>
      </c>
      <c r="L753" s="276">
        <f>ROUND(V69,0)</f>
        <v>5263</v>
      </c>
      <c r="M753" s="276">
        <f>ROUND(V70,0)</f>
        <v>0</v>
      </c>
      <c r="N753" s="276">
        <f>ROUND(V75,0)</f>
        <v>15338530</v>
      </c>
      <c r="O753" s="276">
        <f>ROUND(V73,0)</f>
        <v>4880155</v>
      </c>
      <c r="P753" s="276">
        <f>IF(V76&gt;0,ROUND(V76,0),0)</f>
        <v>1616</v>
      </c>
      <c r="Q753" s="276">
        <f>IF(V77&gt;0,ROUND(V77,0),0)</f>
        <v>0</v>
      </c>
      <c r="R753" s="276">
        <f>IF(V78&gt;0,ROUND(V78,0),0)</f>
        <v>615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8"/>
        <v>365780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180*2017*7120*A</v>
      </c>
      <c r="B754" s="276">
        <f>ROUND(W59,0)</f>
        <v>1739</v>
      </c>
      <c r="C754" s="278">
        <f>ROUND(W60,2)</f>
        <v>2.5099999999999998</v>
      </c>
      <c r="D754" s="276">
        <f>ROUND(W61,0)</f>
        <v>234517</v>
      </c>
      <c r="E754" s="276">
        <f>ROUND(W62,0)</f>
        <v>64274</v>
      </c>
      <c r="F754" s="276">
        <f>ROUND(W63,0)</f>
        <v>0</v>
      </c>
      <c r="G754" s="276">
        <f>ROUND(W64,0)</f>
        <v>6843</v>
      </c>
      <c r="H754" s="276">
        <f>ROUND(W65,0)</f>
        <v>0</v>
      </c>
      <c r="I754" s="276">
        <f>ROUND(W66,0)</f>
        <v>54466</v>
      </c>
      <c r="J754" s="276">
        <f>ROUND(W67,0)</f>
        <v>35522</v>
      </c>
      <c r="K754" s="276">
        <f>ROUND(W68,0)</f>
        <v>0</v>
      </c>
      <c r="L754" s="276">
        <f>ROUND(W69,0)</f>
        <v>82427</v>
      </c>
      <c r="M754" s="276">
        <f>ROUND(W70,0)</f>
        <v>0</v>
      </c>
      <c r="N754" s="276">
        <f>ROUND(W75,0)</f>
        <v>12566317</v>
      </c>
      <c r="O754" s="276">
        <f>ROUND(W73,0)</f>
        <v>4044166</v>
      </c>
      <c r="P754" s="276">
        <f>IF(W76&gt;0,ROUND(W76,0),0)</f>
        <v>1549</v>
      </c>
      <c r="Q754" s="276">
        <f>IF(W77&gt;0,ROUND(W77,0),0)</f>
        <v>0</v>
      </c>
      <c r="R754" s="276">
        <f>IF(W78&gt;0,ROUND(W78,0),0)</f>
        <v>589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8"/>
        <v>285711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180*2017*7130*A</v>
      </c>
      <c r="B755" s="276">
        <f>ROUND(X59,0)</f>
        <v>15131</v>
      </c>
      <c r="C755" s="278">
        <f>ROUND(X60,2)</f>
        <v>5.68</v>
      </c>
      <c r="D755" s="276">
        <f>ROUND(X61,0)</f>
        <v>448774</v>
      </c>
      <c r="E755" s="276">
        <f>ROUND(X62,0)</f>
        <v>122995</v>
      </c>
      <c r="F755" s="276">
        <f>ROUND(X63,0)</f>
        <v>0</v>
      </c>
      <c r="G755" s="276">
        <f>ROUND(X64,0)</f>
        <v>126470</v>
      </c>
      <c r="H755" s="276">
        <f>ROUND(X65,0)</f>
        <v>0</v>
      </c>
      <c r="I755" s="276">
        <f>ROUND(X66,0)</f>
        <v>0</v>
      </c>
      <c r="J755" s="276">
        <f>ROUND(X67,0)</f>
        <v>13117</v>
      </c>
      <c r="K755" s="276">
        <f>ROUND(X68,0)</f>
        <v>0</v>
      </c>
      <c r="L755" s="276">
        <f>ROUND(X69,0)</f>
        <v>73270</v>
      </c>
      <c r="M755" s="276">
        <f>ROUND(X70,0)</f>
        <v>0</v>
      </c>
      <c r="N755" s="276">
        <f>ROUND(X75,0)</f>
        <v>106944388</v>
      </c>
      <c r="O755" s="276">
        <f>ROUND(X73,0)</f>
        <v>31288657</v>
      </c>
      <c r="P755" s="276">
        <f>IF(X76&gt;0,ROUND(X76,0),0)</f>
        <v>572</v>
      </c>
      <c r="Q755" s="276">
        <f>IF(X77&gt;0,ROUND(X77,0),0)</f>
        <v>0</v>
      </c>
      <c r="R755" s="276">
        <f>IF(X78&gt;0,ROUND(X78,0),0)</f>
        <v>218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8"/>
        <v>1646665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180*2017*7140*A</v>
      </c>
      <c r="B756" s="276">
        <f>ROUND(Y59,0)</f>
        <v>27215</v>
      </c>
      <c r="C756" s="278">
        <f>ROUND(Y60,2)</f>
        <v>18.190000000000001</v>
      </c>
      <c r="D756" s="276">
        <f>ROUND(Y61,0)</f>
        <v>2022060</v>
      </c>
      <c r="E756" s="276">
        <f>ROUND(Y62,0)</f>
        <v>554182</v>
      </c>
      <c r="F756" s="276">
        <f>ROUND(Y63,0)</f>
        <v>9000</v>
      </c>
      <c r="G756" s="276">
        <f>ROUND(Y64,0)</f>
        <v>839525</v>
      </c>
      <c r="H756" s="276">
        <f>ROUND(Y65,0)</f>
        <v>0</v>
      </c>
      <c r="I756" s="276">
        <f>ROUND(Y66,0)</f>
        <v>-15088</v>
      </c>
      <c r="J756" s="276">
        <f>ROUND(Y67,0)</f>
        <v>239711</v>
      </c>
      <c r="K756" s="276">
        <f>ROUND(Y68,0)</f>
        <v>51049</v>
      </c>
      <c r="L756" s="276">
        <f>ROUND(Y69,0)</f>
        <v>165242</v>
      </c>
      <c r="M756" s="276">
        <f>ROUND(Y70,0)</f>
        <v>0</v>
      </c>
      <c r="N756" s="276">
        <f>ROUND(Y75,0)</f>
        <v>42800681</v>
      </c>
      <c r="O756" s="276">
        <f>ROUND(Y73,0)</f>
        <v>14493067</v>
      </c>
      <c r="P756" s="276">
        <f>IF(Y76&gt;0,ROUND(Y76,0),0)</f>
        <v>10453</v>
      </c>
      <c r="Q756" s="276">
        <f>IF(Y77&gt;0,ROUND(Y77,0),0)</f>
        <v>0</v>
      </c>
      <c r="R756" s="276">
        <f>IF(Y78&gt;0,ROUND(Y78,0),0)</f>
        <v>3975</v>
      </c>
      <c r="S756" s="276">
        <f>IF(Y79&gt;0,ROUND(Y79,0),0)</f>
        <v>0</v>
      </c>
      <c r="T756" s="278">
        <f>IF(Y80&gt;0,ROUND(Y80,2),0)</f>
        <v>0.1</v>
      </c>
      <c r="U756" s="276"/>
      <c r="V756" s="277"/>
      <c r="W756" s="276"/>
      <c r="X756" s="276"/>
      <c r="Y756" s="276">
        <f t="shared" si="28"/>
        <v>1356150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180*2017*7150*A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8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180*2017*7160*A</v>
      </c>
      <c r="B758" s="276">
        <f>ROUND(AA59,0)</f>
        <v>1371</v>
      </c>
      <c r="C758" s="278">
        <f>ROUND(AA60,2)</f>
        <v>2.73</v>
      </c>
      <c r="D758" s="276">
        <f>ROUND(AA61,0)</f>
        <v>258532</v>
      </c>
      <c r="E758" s="276">
        <f>ROUND(AA62,0)</f>
        <v>70855</v>
      </c>
      <c r="F758" s="276">
        <f>ROUND(AA63,0)</f>
        <v>0</v>
      </c>
      <c r="G758" s="276">
        <f>ROUND(AA64,0)</f>
        <v>385270</v>
      </c>
      <c r="H758" s="276">
        <f>ROUND(AA65,0)</f>
        <v>0</v>
      </c>
      <c r="I758" s="276">
        <f>ROUND(AA66,0)</f>
        <v>6989</v>
      </c>
      <c r="J758" s="276">
        <f>ROUND(AA67,0)</f>
        <v>22955</v>
      </c>
      <c r="K758" s="276">
        <f>ROUND(AA68,0)</f>
        <v>0</v>
      </c>
      <c r="L758" s="276">
        <f>ROUND(AA69,0)</f>
        <v>43274</v>
      </c>
      <c r="M758" s="276">
        <f>ROUND(AA70,0)</f>
        <v>0</v>
      </c>
      <c r="N758" s="276">
        <f>ROUND(AA75,0)</f>
        <v>13783473</v>
      </c>
      <c r="O758" s="276">
        <f>ROUND(AA73,0)</f>
        <v>2631733</v>
      </c>
      <c r="P758" s="276">
        <f>IF(AA76&gt;0,ROUND(AA76,0),0)</f>
        <v>1001</v>
      </c>
      <c r="Q758" s="276">
        <f>IF(AA77&gt;0,ROUND(AA77,0),0)</f>
        <v>0</v>
      </c>
      <c r="R758" s="276">
        <f>IF(AA78&gt;0,ROUND(AA78,0),0)</f>
        <v>381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8"/>
        <v>297265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180*2017*7170*A</v>
      </c>
      <c r="B759" s="276"/>
      <c r="C759" s="278">
        <f>ROUND(AB60,2)</f>
        <v>12.95</v>
      </c>
      <c r="D759" s="276">
        <f>ROUND(AB61,0)</f>
        <v>1308633</v>
      </c>
      <c r="E759" s="276">
        <f>ROUND(AB62,0)</f>
        <v>358654</v>
      </c>
      <c r="F759" s="276">
        <f>ROUND(AB63,0)</f>
        <v>0</v>
      </c>
      <c r="G759" s="276">
        <f>ROUND(AB64,0)</f>
        <v>2873478</v>
      </c>
      <c r="H759" s="276">
        <f>ROUND(AB65,0)</f>
        <v>0</v>
      </c>
      <c r="I759" s="276">
        <f>ROUND(AB66,0)</f>
        <v>61155</v>
      </c>
      <c r="J759" s="276">
        <f>ROUND(AB67,0)</f>
        <v>76112</v>
      </c>
      <c r="K759" s="276">
        <f>ROUND(AB68,0)</f>
        <v>81936</v>
      </c>
      <c r="L759" s="276">
        <f>ROUND(AB69,0)</f>
        <v>57377</v>
      </c>
      <c r="M759" s="276">
        <f>ROUND(AB70,0)</f>
        <v>0</v>
      </c>
      <c r="N759" s="276">
        <f>ROUND(AB75,0)</f>
        <v>59626298</v>
      </c>
      <c r="O759" s="276">
        <f>ROUND(AB73,0)</f>
        <v>36873333</v>
      </c>
      <c r="P759" s="276">
        <f>IF(AB76&gt;0,ROUND(AB76,0),0)</f>
        <v>3319</v>
      </c>
      <c r="Q759" s="276">
        <f>IF(AB77&gt;0,ROUND(AB77,0),0)</f>
        <v>0</v>
      </c>
      <c r="R759" s="276">
        <f>IF(AB78&gt;0,ROUND(AB78,0),0)</f>
        <v>1262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8"/>
        <v>1319700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180*2017*7180*A</v>
      </c>
      <c r="B760" s="276">
        <f>ROUND(AE59,0)</f>
        <v>11264</v>
      </c>
      <c r="C760" s="278">
        <f>ROUND(AC60,2)</f>
        <v>14.98</v>
      </c>
      <c r="D760" s="276">
        <f>ROUND(AC61,0)</f>
        <v>1212120</v>
      </c>
      <c r="E760" s="276">
        <f>ROUND(AC62,0)</f>
        <v>332203</v>
      </c>
      <c r="F760" s="276">
        <f>ROUND(AC63,0)</f>
        <v>0</v>
      </c>
      <c r="G760" s="276">
        <f>ROUND(AC64,0)</f>
        <v>138762</v>
      </c>
      <c r="H760" s="276">
        <f>ROUND(AC65,0)</f>
        <v>0</v>
      </c>
      <c r="I760" s="276">
        <f>ROUND(AC66,0)</f>
        <v>0</v>
      </c>
      <c r="J760" s="276">
        <f>ROUND(AC67,0)</f>
        <v>25845</v>
      </c>
      <c r="K760" s="276">
        <f>ROUND(AC68,0)</f>
        <v>75327</v>
      </c>
      <c r="L760" s="276">
        <f>ROUND(AC69,0)</f>
        <v>12040</v>
      </c>
      <c r="M760" s="276">
        <f>ROUND(AC70,0)</f>
        <v>0</v>
      </c>
      <c r="N760" s="276">
        <f>ROUND(AC75,0)</f>
        <v>10900162</v>
      </c>
      <c r="O760" s="276">
        <f>ROUND(AC73,0)</f>
        <v>9858651</v>
      </c>
      <c r="P760" s="276">
        <f>IF(AC76&gt;0,ROUND(AC76,0),0)</f>
        <v>1127</v>
      </c>
      <c r="Q760" s="276">
        <f>IF(AC77&gt;0,ROUND(AC77,0),0)</f>
        <v>0</v>
      </c>
      <c r="R760" s="276">
        <f>IF(AC78&gt;0,ROUND(AC78,0),0)</f>
        <v>429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8"/>
        <v>302000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180*2017*7190*A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165375</v>
      </c>
      <c r="J761" s="276">
        <f>ROUND(AD67,0)</f>
        <v>9494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1663048</v>
      </c>
      <c r="O761" s="276">
        <f>ROUND(AD73,0)</f>
        <v>1537764</v>
      </c>
      <c r="P761" s="276">
        <f>IF(AD76&gt;0,ROUND(AD76,0),0)</f>
        <v>414</v>
      </c>
      <c r="Q761" s="276">
        <f>IF(AD77&gt;0,ROUND(AD77,0),0)</f>
        <v>0</v>
      </c>
      <c r="R761" s="276">
        <f>IF(AD78&gt;0,ROUND(AD78,0),0)</f>
        <v>157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8"/>
        <v>52533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180*2017*7200*A</v>
      </c>
      <c r="B762" s="276" t="e">
        <f>ROUND(#REF!,0)</f>
        <v>#REF!</v>
      </c>
      <c r="C762" s="278">
        <f>ROUND(AE60,2)</f>
        <v>5.38</v>
      </c>
      <c r="D762" s="276">
        <f>ROUND(AE61,0)</f>
        <v>502775</v>
      </c>
      <c r="E762" s="276">
        <f>ROUND(AE62,0)</f>
        <v>137795</v>
      </c>
      <c r="F762" s="276">
        <f>ROUND(AE63,0)</f>
        <v>0</v>
      </c>
      <c r="G762" s="276">
        <f>ROUND(AE64,0)</f>
        <v>3003</v>
      </c>
      <c r="H762" s="276">
        <f>ROUND(AE65,0)</f>
        <v>0</v>
      </c>
      <c r="I762" s="276">
        <f>ROUND(AE66,0)</f>
        <v>0</v>
      </c>
      <c r="J762" s="276">
        <f>ROUND(AE67,0)</f>
        <v>12017</v>
      </c>
      <c r="K762" s="276">
        <f>ROUND(AE68,0)</f>
        <v>0</v>
      </c>
      <c r="L762" s="276">
        <f>ROUND(AE69,0)</f>
        <v>2090</v>
      </c>
      <c r="M762" s="276">
        <f>ROUND(AE70,0)</f>
        <v>0</v>
      </c>
      <c r="N762" s="276">
        <f>ROUND(AE75,0)</f>
        <v>2975067</v>
      </c>
      <c r="O762" s="276">
        <f>ROUND(AE73,0)</f>
        <v>2788391</v>
      </c>
      <c r="P762" s="276">
        <f>IF(AE76&gt;0,ROUND(AE76,0),0)</f>
        <v>524</v>
      </c>
      <c r="Q762" s="276">
        <f>IF(AE77&gt;0,ROUND(AE77,0),0)</f>
        <v>0</v>
      </c>
      <c r="R762" s="276">
        <f>IF(AE78&gt;0,ROUND(AE78,0),0)</f>
        <v>199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8"/>
        <v>99971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180*2017*7220*A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8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180*2017*7230*A</v>
      </c>
      <c r="B764" s="276">
        <f>ROUND(AG59,0)</f>
        <v>43236</v>
      </c>
      <c r="C764" s="278">
        <f>ROUND(AG60,2)</f>
        <v>53.47</v>
      </c>
      <c r="D764" s="276">
        <f>ROUND(AG61,0)</f>
        <v>4393433</v>
      </c>
      <c r="E764" s="276">
        <f>ROUND(AG62,0)</f>
        <v>1204099</v>
      </c>
      <c r="F764" s="276">
        <f>ROUND(AG63,0)</f>
        <v>1794775</v>
      </c>
      <c r="G764" s="276">
        <f>ROUND(AG64,0)</f>
        <v>598090</v>
      </c>
      <c r="H764" s="276">
        <f>ROUND(AG65,0)</f>
        <v>0</v>
      </c>
      <c r="I764" s="276">
        <f>ROUND(AG66,0)</f>
        <v>1099</v>
      </c>
      <c r="J764" s="276">
        <f>ROUND(AG67,0)</f>
        <v>248655</v>
      </c>
      <c r="K764" s="276">
        <f>ROUND(AG68,0)</f>
        <v>1280</v>
      </c>
      <c r="L764" s="276">
        <f>ROUND(AG69,0)</f>
        <v>54999</v>
      </c>
      <c r="M764" s="276">
        <f>ROUND(AG70,0)</f>
        <v>25013</v>
      </c>
      <c r="N764" s="276">
        <f>ROUND(AG75,0)</f>
        <v>76949111</v>
      </c>
      <c r="O764" s="276">
        <f>ROUND(AG73,0)</f>
        <v>12275600</v>
      </c>
      <c r="P764" s="276">
        <f>IF(AG76&gt;0,ROUND(AG76,0),0)</f>
        <v>10843</v>
      </c>
      <c r="Q764" s="276">
        <f>IF(AG77&gt;0,ROUND(AG77,0),0)</f>
        <v>8706</v>
      </c>
      <c r="R764" s="276">
        <f>IF(AG78&gt;0,ROUND(AG78,0),0)</f>
        <v>4123</v>
      </c>
      <c r="S764" s="276">
        <f>IF(AG79&gt;0,ROUND(AG79,0),0)</f>
        <v>212060</v>
      </c>
      <c r="T764" s="278">
        <f>IF(AG80&gt;0,ROUND(AG80,2),0)</f>
        <v>26.7</v>
      </c>
      <c r="U764" s="276"/>
      <c r="V764" s="277"/>
      <c r="W764" s="276"/>
      <c r="X764" s="276"/>
      <c r="Y764" s="276">
        <f t="shared" si="28"/>
        <v>2931637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180*2017*7240*A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8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180*2017*7250*A</v>
      </c>
      <c r="B766" s="276">
        <f>ROUND(AI59,0)</f>
        <v>3862</v>
      </c>
      <c r="C766" s="278">
        <f>ROUND(AI60,2)</f>
        <v>14.1</v>
      </c>
      <c r="D766" s="276">
        <f>ROUND(AI61,0)</f>
        <v>1454004</v>
      </c>
      <c r="E766" s="276">
        <f>ROUND(AI62,0)</f>
        <v>398496</v>
      </c>
      <c r="F766" s="276">
        <f>ROUND(AI63,0)</f>
        <v>0</v>
      </c>
      <c r="G766" s="276">
        <f>ROUND(AI64,0)</f>
        <v>814996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279811</v>
      </c>
      <c r="L766" s="276">
        <f>ROUND(AI69,0)</f>
        <v>82468</v>
      </c>
      <c r="M766" s="276">
        <f>ROUND(AI70,0)</f>
        <v>0</v>
      </c>
      <c r="N766" s="276">
        <f>ROUND(AI75,0)</f>
        <v>21492029</v>
      </c>
      <c r="O766" s="276">
        <f>ROUND(AI73,0)</f>
        <v>3204176</v>
      </c>
      <c r="P766" s="276">
        <f>IF(AI76&gt;0,ROUND(AI76,0),0)</f>
        <v>0</v>
      </c>
      <c r="Q766" s="276">
        <f>IF(AI77&gt;0,ROUND(AI77,0),0)</f>
        <v>4921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11.7</v>
      </c>
      <c r="U766" s="276"/>
      <c r="V766" s="277"/>
      <c r="W766" s="276"/>
      <c r="X766" s="276"/>
      <c r="Y766" s="276">
        <f t="shared" si="28"/>
        <v>784940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180*2017*7260*A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8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180*2017*7310*A</v>
      </c>
      <c r="B768" s="276">
        <f>ROUND(AK59,0)</f>
        <v>3105</v>
      </c>
      <c r="C768" s="278">
        <f>ROUND(AK60,2)</f>
        <v>0</v>
      </c>
      <c r="D768" s="276">
        <f>ROUND(AK61,0)</f>
        <v>130</v>
      </c>
      <c r="E768" s="276">
        <f>ROUND(AK62,0)</f>
        <v>36</v>
      </c>
      <c r="F768" s="276">
        <f>ROUND(AK63,0)</f>
        <v>0</v>
      </c>
      <c r="G768" s="276">
        <f>ROUND(AK64,0)</f>
        <v>134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1156953</v>
      </c>
      <c r="O768" s="276">
        <f>ROUND(AK73,0)</f>
        <v>1097068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8"/>
        <v>17107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180*2017*7320*A</v>
      </c>
      <c r="B769" s="276">
        <f>ROUND(AL59,0)</f>
        <v>931</v>
      </c>
      <c r="C769" s="278">
        <f>ROUND(AL60,2)</f>
        <v>0</v>
      </c>
      <c r="D769" s="276">
        <f>ROUND(AL61,0)</f>
        <v>-139</v>
      </c>
      <c r="E769" s="276">
        <f>ROUND(AL62,0)</f>
        <v>-38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644891</v>
      </c>
      <c r="O769" s="276">
        <f>ROUND(AL73,0)</f>
        <v>567311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8"/>
        <v>9520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180*2017*7330*A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8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180*2017*7340*A</v>
      </c>
      <c r="B771" s="276">
        <f>ROUND(AN59,0)</f>
        <v>4158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2.1</v>
      </c>
      <c r="U771" s="276"/>
      <c r="V771" s="277"/>
      <c r="W771" s="276"/>
      <c r="X771" s="276"/>
      <c r="Y771" s="276">
        <f t="shared" si="28"/>
        <v>52814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180*2017*7350*A</v>
      </c>
      <c r="B772" s="276">
        <f>ROUND(AO59,0)</f>
        <v>0</v>
      </c>
      <c r="C772" s="278">
        <f>ROUND(AO60,2)</f>
        <v>8.2799999999999994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8"/>
        <v>6283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180*2017*7380*A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8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180*2017*7390*A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8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180*2017*7400*A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8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180*2017*7410*A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8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180*2017*7420*A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8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180*2017*7430*A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8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180*2017*7490*A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8.6</v>
      </c>
      <c r="U779" s="276"/>
      <c r="V779" s="277"/>
      <c r="W779" s="276"/>
      <c r="X779" s="276"/>
      <c r="Y779" s="276">
        <f t="shared" si="28"/>
        <v>216284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180*2017*8200*A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180*2017*8310*A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180*2017*8320*A</v>
      </c>
      <c r="B782" s="276">
        <f>ROUND(AY59,0)</f>
        <v>378514</v>
      </c>
      <c r="C782" s="278">
        <f>ROUND(AY60,2)</f>
        <v>24.7</v>
      </c>
      <c r="D782" s="276">
        <f>ROUND(AY61,0)</f>
        <v>1024441</v>
      </c>
      <c r="E782" s="276">
        <f>ROUND(AY62,0)</f>
        <v>280766</v>
      </c>
      <c r="F782" s="276">
        <f>ROUND(AY63,0)</f>
        <v>0</v>
      </c>
      <c r="G782" s="276">
        <f>ROUND(AY64,0)</f>
        <v>706498</v>
      </c>
      <c r="H782" s="276">
        <f>ROUND(AY65,0)</f>
        <v>0</v>
      </c>
      <c r="I782" s="276">
        <f>ROUND(AY66,0)</f>
        <v>8671</v>
      </c>
      <c r="J782" s="276">
        <f>ROUND(AY67,0)</f>
        <v>122894</v>
      </c>
      <c r="K782" s="276">
        <f>ROUND(AY68,0)</f>
        <v>575</v>
      </c>
      <c r="L782" s="276">
        <f>ROUND(AY69,0)</f>
        <v>5967</v>
      </c>
      <c r="M782" s="276">
        <f>ROUND(AY70,0)</f>
        <v>405345</v>
      </c>
      <c r="N782" s="276"/>
      <c r="O782" s="276"/>
      <c r="P782" s="276">
        <f>IF(AY76&gt;0,ROUND(AY76,0),0)</f>
        <v>5359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180*2017*8330*A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180*2017*8350*A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2237</v>
      </c>
      <c r="H784" s="276">
        <f>ROUND(BA65,0)</f>
        <v>0</v>
      </c>
      <c r="I784" s="276">
        <f>ROUND(BA66,0)</f>
        <v>492345</v>
      </c>
      <c r="J784" s="276">
        <f>ROUND(BA67,0)</f>
        <v>8944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390</v>
      </c>
      <c r="Q784" s="276">
        <f>IF(BA77&gt;0,ROUND(BA77,0),0)</f>
        <v>0</v>
      </c>
      <c r="R784" s="276">
        <f>IF(BA78&gt;0,ROUND(BA78,0),0)</f>
        <v>148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180*2017*8360*A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180*2017*8370*A</v>
      </c>
      <c r="B786" s="276"/>
      <c r="C786" s="278">
        <f>ROUND(BC60,2)</f>
        <v>5.89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180*2017*8420*A</v>
      </c>
      <c r="B787" s="276"/>
      <c r="C787" s="278">
        <f>ROUND(BD60,2)</f>
        <v>0</v>
      </c>
      <c r="D787" s="276">
        <f>ROUND(BD61,0)</f>
        <v>101307</v>
      </c>
      <c r="E787" s="276">
        <f>ROUND(BD62,0)</f>
        <v>27765</v>
      </c>
      <c r="F787" s="276">
        <f>ROUND(BD63,0)</f>
        <v>0</v>
      </c>
      <c r="G787" s="276">
        <f>ROUND(BD64,0)</f>
        <v>54</v>
      </c>
      <c r="H787" s="276">
        <f>ROUND(BD65,0)</f>
        <v>0</v>
      </c>
      <c r="I787" s="276">
        <f>ROUND(BD66,0)</f>
        <v>373027</v>
      </c>
      <c r="J787" s="276">
        <f>ROUND(BD67,0)</f>
        <v>0</v>
      </c>
      <c r="K787" s="276">
        <f>ROUND(BD68,0)</f>
        <v>41571</v>
      </c>
      <c r="L787" s="276">
        <f>ROUND(BD69,0)</f>
        <v>30329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180*2017*8430*A</v>
      </c>
      <c r="B788" s="276">
        <f>ROUND(BE59,0)</f>
        <v>201872</v>
      </c>
      <c r="C788" s="278">
        <f>ROUND(BE60,2)</f>
        <v>9.4700000000000006</v>
      </c>
      <c r="D788" s="276">
        <f>ROUND(BE61,0)</f>
        <v>703978</v>
      </c>
      <c r="E788" s="276">
        <f>ROUND(BE62,0)</f>
        <v>192938</v>
      </c>
      <c r="F788" s="276">
        <f>ROUND(BE63,0)</f>
        <v>0</v>
      </c>
      <c r="G788" s="276">
        <f>ROUND(BE64,0)</f>
        <v>17090</v>
      </c>
      <c r="H788" s="276">
        <f>ROUND(BE65,0)</f>
        <v>610692</v>
      </c>
      <c r="I788" s="276">
        <f>ROUND(BE66,0)</f>
        <v>55050</v>
      </c>
      <c r="J788" s="276">
        <f>ROUND(BE67,0)</f>
        <v>1118430</v>
      </c>
      <c r="K788" s="276">
        <f>ROUND(BE68,0)</f>
        <v>0</v>
      </c>
      <c r="L788" s="276">
        <f>ROUND(BE69,0)</f>
        <v>643324</v>
      </c>
      <c r="M788" s="276">
        <f>ROUND(BE70,0)</f>
        <v>0</v>
      </c>
      <c r="N788" s="276"/>
      <c r="O788" s="276"/>
      <c r="P788" s="276">
        <f>IF(BE76&gt;0,ROUND(BE76,0),0)</f>
        <v>48771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180*2017*8460*A</v>
      </c>
      <c r="B789" s="276"/>
      <c r="C789" s="278">
        <f>ROUND(BF60,2)</f>
        <v>24.85</v>
      </c>
      <c r="D789" s="276">
        <f>ROUND(BF61,0)</f>
        <v>853285</v>
      </c>
      <c r="E789" s="276">
        <f>ROUND(BF62,0)</f>
        <v>233858</v>
      </c>
      <c r="F789" s="276">
        <f>ROUND(BF63,0)</f>
        <v>0</v>
      </c>
      <c r="G789" s="276">
        <f>ROUND(BF64,0)</f>
        <v>101224</v>
      </c>
      <c r="H789" s="276">
        <f>ROUND(BF65,0)</f>
        <v>0</v>
      </c>
      <c r="I789" s="276">
        <f>ROUND(BF66,0)</f>
        <v>1225</v>
      </c>
      <c r="J789" s="276">
        <f>ROUND(BF67,0)</f>
        <v>55313</v>
      </c>
      <c r="K789" s="276">
        <f>ROUND(BF68,0)</f>
        <v>0</v>
      </c>
      <c r="L789" s="276">
        <f>ROUND(BF69,0)</f>
        <v>10996</v>
      </c>
      <c r="M789" s="276">
        <f>ROUND(BF70,0)</f>
        <v>0</v>
      </c>
      <c r="N789" s="276"/>
      <c r="O789" s="276"/>
      <c r="P789" s="276">
        <f>IF(BF76&gt;0,ROUND(BF76,0),0)</f>
        <v>2412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180*2017*8470*A</v>
      </c>
      <c r="B790" s="276"/>
      <c r="C790" s="278">
        <f>ROUND(BG60,2)</f>
        <v>1.45</v>
      </c>
      <c r="D790" s="276">
        <f>ROUND(BG61,0)</f>
        <v>30104</v>
      </c>
      <c r="E790" s="276">
        <f>ROUND(BG62,0)</f>
        <v>8251</v>
      </c>
      <c r="F790" s="276">
        <f>ROUND(BG63,0)</f>
        <v>0</v>
      </c>
      <c r="G790" s="276">
        <f>ROUND(BG64,0)</f>
        <v>50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180*2017*8480*A</v>
      </c>
      <c r="B791" s="276"/>
      <c r="C791" s="278">
        <f>ROUND(BH60,2)</f>
        <v>0</v>
      </c>
      <c r="D791" s="276">
        <f>ROUND(BH61,0)</f>
        <v>539196</v>
      </c>
      <c r="E791" s="276">
        <f>ROUND(BH62,0)</f>
        <v>147776</v>
      </c>
      <c r="F791" s="276">
        <f>ROUND(BH63,0)</f>
        <v>0</v>
      </c>
      <c r="G791" s="276">
        <f>ROUND(BH64,0)</f>
        <v>14392</v>
      </c>
      <c r="H791" s="276">
        <f>ROUND(BH65,0)</f>
        <v>0</v>
      </c>
      <c r="I791" s="276">
        <f>ROUND(BH66,0)</f>
        <v>2005174</v>
      </c>
      <c r="J791" s="276">
        <f>ROUND(BH67,0)</f>
        <v>0</v>
      </c>
      <c r="K791" s="276">
        <f>ROUND(BH68,0)</f>
        <v>46004</v>
      </c>
      <c r="L791" s="276">
        <f>ROUND(BH69,0)</f>
        <v>109511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180*2017*8490*A</v>
      </c>
      <c r="B792" s="276"/>
      <c r="C792" s="278">
        <f>ROUND(BI60,2)</f>
        <v>0.19</v>
      </c>
      <c r="D792" s="276">
        <f>ROUND(BI61,0)</f>
        <v>216542</v>
      </c>
      <c r="E792" s="276">
        <f>ROUND(BI62,0)</f>
        <v>59347</v>
      </c>
      <c r="F792" s="276">
        <f>ROUND(BI63,0)</f>
        <v>0</v>
      </c>
      <c r="G792" s="276">
        <f>ROUND(BI64,0)</f>
        <v>17244</v>
      </c>
      <c r="H792" s="276">
        <f>ROUND(BI65,0)</f>
        <v>66475</v>
      </c>
      <c r="I792" s="276">
        <f>ROUND(BI66,0)</f>
        <v>524999</v>
      </c>
      <c r="J792" s="276">
        <f>ROUND(BI67,0)</f>
        <v>0</v>
      </c>
      <c r="K792" s="276">
        <f>ROUND(BI68,0)</f>
        <v>0</v>
      </c>
      <c r="L792" s="276">
        <f>ROUND(BI69,0)</f>
        <v>1355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180*2017*8510*A</v>
      </c>
      <c r="B793" s="276"/>
      <c r="C793" s="278">
        <f>ROUND(BJ60,2)</f>
        <v>0</v>
      </c>
      <c r="D793" s="276">
        <f>ROUND(BJ61,0)</f>
        <v>88807</v>
      </c>
      <c r="E793" s="276">
        <f>ROUND(BJ62,0)</f>
        <v>24339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96691</v>
      </c>
      <c r="J793" s="276">
        <f>ROUND(BJ67,0)</f>
        <v>0</v>
      </c>
      <c r="K793" s="276">
        <f>ROUND(BJ68,0)</f>
        <v>0</v>
      </c>
      <c r="L793" s="276">
        <f>ROUND(BJ69,0)</f>
        <v>1514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180*2017*8530*A</v>
      </c>
      <c r="B794" s="276"/>
      <c r="C794" s="278">
        <f>ROUND(BK60,2)</f>
        <v>13</v>
      </c>
      <c r="D794" s="276">
        <f>ROUND(BK61,0)</f>
        <v>444001</v>
      </c>
      <c r="E794" s="276">
        <f>ROUND(BK62,0)</f>
        <v>121686</v>
      </c>
      <c r="F794" s="276">
        <f>ROUND(BK63,0)</f>
        <v>0</v>
      </c>
      <c r="G794" s="276">
        <f>ROUND(BK64,0)</f>
        <v>219</v>
      </c>
      <c r="H794" s="276">
        <f>ROUND(BK65,0)</f>
        <v>0</v>
      </c>
      <c r="I794" s="276">
        <f>ROUND(BK66,0)</f>
        <v>1490503</v>
      </c>
      <c r="J794" s="276">
        <f>ROUND(BK67,0)</f>
        <v>0</v>
      </c>
      <c r="K794" s="276">
        <f>ROUND(BK68,0)</f>
        <v>0</v>
      </c>
      <c r="L794" s="276">
        <f>ROUND(BK69,0)</f>
        <v>22950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180*2017*8560*A</v>
      </c>
      <c r="B795" s="276"/>
      <c r="C795" s="278">
        <f>ROUND(BL60,2)</f>
        <v>19.239999999999998</v>
      </c>
      <c r="D795" s="276">
        <f>ROUND(BL61,0)</f>
        <v>896993</v>
      </c>
      <c r="E795" s="276">
        <f>ROUND(BL62,0)</f>
        <v>245837</v>
      </c>
      <c r="F795" s="276">
        <f>ROUND(BL63,0)</f>
        <v>0</v>
      </c>
      <c r="G795" s="276">
        <f>ROUND(BL64,0)</f>
        <v>62412</v>
      </c>
      <c r="H795" s="276">
        <f>ROUND(BL65,0)</f>
        <v>0</v>
      </c>
      <c r="I795" s="276">
        <f>ROUND(BL66,0)</f>
        <v>88111</v>
      </c>
      <c r="J795" s="276">
        <f>ROUND(BL67,0)</f>
        <v>0</v>
      </c>
      <c r="K795" s="276">
        <f>ROUND(BL68,0)</f>
        <v>0</v>
      </c>
      <c r="L795" s="276">
        <f>ROUND(BL69,0)</f>
        <v>227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180*2017*8590*A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180*2017*8610*A</v>
      </c>
      <c r="B797" s="276"/>
      <c r="C797" s="278">
        <f>ROUND(BN60,2)</f>
        <v>7.2</v>
      </c>
      <c r="D797" s="276">
        <f>ROUND(BN61,0)</f>
        <v>1161226</v>
      </c>
      <c r="E797" s="276">
        <f>ROUND(BN62,0)</f>
        <v>318255</v>
      </c>
      <c r="F797" s="276">
        <f>ROUND(BN63,0)</f>
        <v>174228</v>
      </c>
      <c r="G797" s="276">
        <f>ROUND(BN64,0)</f>
        <v>36004</v>
      </c>
      <c r="H797" s="276">
        <f>ROUND(BN65,0)</f>
        <v>0</v>
      </c>
      <c r="I797" s="276">
        <f>ROUND(BN66,0)</f>
        <v>805008</v>
      </c>
      <c r="J797" s="276">
        <f>ROUND(BN67,0)</f>
        <v>193113</v>
      </c>
      <c r="K797" s="276">
        <f>ROUND(BN68,0)</f>
        <v>0</v>
      </c>
      <c r="L797" s="276">
        <f>ROUND(BN69,0)</f>
        <v>-5632978</v>
      </c>
      <c r="M797" s="276">
        <f>ROUND(BN70,0)</f>
        <v>46922</v>
      </c>
      <c r="N797" s="276"/>
      <c r="O797" s="276"/>
      <c r="P797" s="276">
        <f>IF(BN76&gt;0,ROUND(BN76,0),0)</f>
        <v>8421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180*2017*8620*A</v>
      </c>
      <c r="B798" s="276"/>
      <c r="C798" s="278">
        <f>ROUND(BO60,2)</f>
        <v>1.01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180*2017*8630*A</v>
      </c>
      <c r="B799" s="276"/>
      <c r="C799" s="278">
        <f>ROUND(BP60,2)</f>
        <v>0.35</v>
      </c>
      <c r="D799" s="276">
        <f>ROUND(BP61,0)</f>
        <v>24222</v>
      </c>
      <c r="E799" s="276">
        <f>ROUND(BP62,0)</f>
        <v>6638</v>
      </c>
      <c r="F799" s="276">
        <f>ROUND(BP63,0)</f>
        <v>0</v>
      </c>
      <c r="G799" s="276">
        <f>ROUND(BP64,0)</f>
        <v>6407</v>
      </c>
      <c r="H799" s="276">
        <f>ROUND(BP65,0)</f>
        <v>0</v>
      </c>
      <c r="I799" s="276">
        <f>ROUND(BP66,0)</f>
        <v>36172</v>
      </c>
      <c r="J799" s="276">
        <f>ROUND(BP67,0)</f>
        <v>0</v>
      </c>
      <c r="K799" s="276">
        <f>ROUND(BP68,0)</f>
        <v>0</v>
      </c>
      <c r="L799" s="276">
        <f>ROUND(BP69,0)</f>
        <v>255713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180*2017*8640*A</v>
      </c>
      <c r="B800" s="276"/>
      <c r="C800" s="278">
        <f>ROUND(BQ60,2)</f>
        <v>0.09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180*2017*8650*A</v>
      </c>
      <c r="B801" s="276"/>
      <c r="C801" s="278">
        <f>ROUND(BR60,2)</f>
        <v>2.84</v>
      </c>
      <c r="D801" s="276">
        <f>ROUND(BR61,0)</f>
        <v>185504</v>
      </c>
      <c r="E801" s="276">
        <f>ROUND(BR62,0)</f>
        <v>50841</v>
      </c>
      <c r="F801" s="276">
        <f>ROUND(BR63,0)</f>
        <v>0</v>
      </c>
      <c r="G801" s="276">
        <f>ROUND(BR64,0)</f>
        <v>5402</v>
      </c>
      <c r="H801" s="276">
        <f>ROUND(BR65,0)</f>
        <v>0</v>
      </c>
      <c r="I801" s="276">
        <f>ROUND(BR66,0)</f>
        <v>9074</v>
      </c>
      <c r="J801" s="276">
        <f>ROUND(BR67,0)</f>
        <v>25753</v>
      </c>
      <c r="K801" s="276">
        <f>ROUND(BR68,0)</f>
        <v>0</v>
      </c>
      <c r="L801" s="276">
        <f>ROUND(BR69,0)</f>
        <v>53468</v>
      </c>
      <c r="M801" s="276">
        <f>ROUND(BR70,0)</f>
        <v>0</v>
      </c>
      <c r="N801" s="276"/>
      <c r="O801" s="276"/>
      <c r="P801" s="276">
        <f>IF(BR76&gt;0,ROUND(BR76,0),0)</f>
        <v>1123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180*2017*8660*A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7217</v>
      </c>
      <c r="H802" s="276">
        <f>ROUND(BS65,0)</f>
        <v>0</v>
      </c>
      <c r="I802" s="276">
        <f>ROUND(BS66,0)</f>
        <v>-10076</v>
      </c>
      <c r="J802" s="276">
        <f>ROUND(BS67,0)</f>
        <v>22841</v>
      </c>
      <c r="K802" s="276">
        <f>ROUND(BS68,0)</f>
        <v>3550</v>
      </c>
      <c r="L802" s="276">
        <f>ROUND(BS69,0)</f>
        <v>17996</v>
      </c>
      <c r="M802" s="276">
        <f>ROUND(BS70,0)</f>
        <v>0</v>
      </c>
      <c r="N802" s="276"/>
      <c r="O802" s="276"/>
      <c r="P802" s="276">
        <f>IF(BS76&gt;0,ROUND(BS76,0),0)</f>
        <v>996</v>
      </c>
      <c r="Q802" s="276">
        <f>IF(BS77&gt;0,ROUND(BS77,0),0)</f>
        <v>0</v>
      </c>
      <c r="R802" s="276">
        <f>IF(BS78&gt;0,ROUND(BS78,0),0)</f>
        <v>379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180*2017*8670*A</v>
      </c>
      <c r="B803" s="276"/>
      <c r="C803" s="278">
        <f>ROUND(BT60,2)</f>
        <v>0.69</v>
      </c>
      <c r="D803" s="276">
        <f>ROUND(BT61,0)</f>
        <v>47004</v>
      </c>
      <c r="E803" s="276">
        <f>ROUND(BT62,0)</f>
        <v>12882</v>
      </c>
      <c r="F803" s="276">
        <f>ROUND(BT63,0)</f>
        <v>0</v>
      </c>
      <c r="G803" s="276">
        <f>ROUND(BT64,0)</f>
        <v>119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180*2017*8680*A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180*2017*8690*A</v>
      </c>
      <c r="B805" s="276"/>
      <c r="C805" s="278">
        <f>ROUND(BV60,2)</f>
        <v>15.55</v>
      </c>
      <c r="D805" s="276">
        <f>ROUND(BV61,0)</f>
        <v>840963</v>
      </c>
      <c r="E805" s="276">
        <f>ROUND(BV62,0)</f>
        <v>230481</v>
      </c>
      <c r="F805" s="276">
        <f>ROUND(BV63,0)</f>
        <v>0</v>
      </c>
      <c r="G805" s="276">
        <f>ROUND(BV64,0)</f>
        <v>25485</v>
      </c>
      <c r="H805" s="276">
        <f>ROUND(BV65,0)</f>
        <v>0</v>
      </c>
      <c r="I805" s="276">
        <f>ROUND(BV66,0)</f>
        <v>560068</v>
      </c>
      <c r="J805" s="276">
        <f>ROUND(BV67,0)</f>
        <v>59532</v>
      </c>
      <c r="K805" s="276">
        <f>ROUND(BV68,0)</f>
        <v>0</v>
      </c>
      <c r="L805" s="276">
        <f>ROUND(BV69,0)</f>
        <v>17802</v>
      </c>
      <c r="M805" s="276">
        <f>ROUND(BV70,0)</f>
        <v>2980</v>
      </c>
      <c r="N805" s="276"/>
      <c r="O805" s="276"/>
      <c r="P805" s="276">
        <f>IF(BV76&gt;0,ROUND(BV76,0),0)</f>
        <v>2596</v>
      </c>
      <c r="Q805" s="276">
        <f>IF(BV77&gt;0,ROUND(BV77,0),0)</f>
        <v>0</v>
      </c>
      <c r="R805" s="276">
        <f>IF(BV78&gt;0,ROUND(BV78,0),0)</f>
        <v>987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180*2017*8700*A</v>
      </c>
      <c r="B806" s="276"/>
      <c r="C806" s="278">
        <f>ROUND(BW60,2)</f>
        <v>3.52</v>
      </c>
      <c r="D806" s="276">
        <f>ROUND(BW61,0)</f>
        <v>174112</v>
      </c>
      <c r="E806" s="276">
        <f>ROUND(BW62,0)</f>
        <v>47719</v>
      </c>
      <c r="F806" s="276">
        <f>ROUND(BW63,0)</f>
        <v>1250</v>
      </c>
      <c r="G806" s="276">
        <f>ROUND(BW64,0)</f>
        <v>6118</v>
      </c>
      <c r="H806" s="276">
        <f>ROUND(BW65,0)</f>
        <v>0</v>
      </c>
      <c r="I806" s="276">
        <f>ROUND(BW66,0)</f>
        <v>26071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180*2017*8710*A</v>
      </c>
      <c r="B807" s="276"/>
      <c r="C807" s="278">
        <f>ROUND(BX60,2)</f>
        <v>10.52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180*2017*8720*A</v>
      </c>
      <c r="B808" s="276"/>
      <c r="C808" s="278">
        <f>ROUND(BY60,2)</f>
        <v>12.84</v>
      </c>
      <c r="D808" s="276">
        <f>ROUND(BY61,0)</f>
        <v>1611859</v>
      </c>
      <c r="E808" s="276">
        <f>ROUND(BY62,0)</f>
        <v>441759</v>
      </c>
      <c r="F808" s="276">
        <f>ROUND(BY63,0)</f>
        <v>7482</v>
      </c>
      <c r="G808" s="276">
        <f>ROUND(BY64,0)</f>
        <v>2455</v>
      </c>
      <c r="H808" s="276">
        <f>ROUND(BY65,0)</f>
        <v>0</v>
      </c>
      <c r="I808" s="276">
        <f>ROUND(BY66,0)</f>
        <v>74156</v>
      </c>
      <c r="J808" s="276">
        <f>ROUND(BY67,0)</f>
        <v>166511</v>
      </c>
      <c r="K808" s="276">
        <f>ROUND(BY68,0)</f>
        <v>171782</v>
      </c>
      <c r="L808" s="276">
        <f>ROUND(BY69,0)</f>
        <v>13958</v>
      </c>
      <c r="M808" s="276">
        <f>ROUND(BY70,0)</f>
        <v>0</v>
      </c>
      <c r="N808" s="276"/>
      <c r="O808" s="276"/>
      <c r="P808" s="276">
        <f>IF(BY76&gt;0,ROUND(BY76,0),0)</f>
        <v>7261</v>
      </c>
      <c r="Q808" s="276">
        <f>IF(BY77&gt;0,ROUND(BY77,0),0)</f>
        <v>0</v>
      </c>
      <c r="R808" s="276">
        <f>IF(BY78&gt;0,ROUND(BY78,0),0)</f>
        <v>2761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180*2017*8730*A</v>
      </c>
      <c r="B809" s="276"/>
      <c r="C809" s="278">
        <f>ROUND(BZ60,2)</f>
        <v>1.05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180*2017*8740*A</v>
      </c>
      <c r="B810" s="276"/>
      <c r="C810" s="278">
        <f>ROUND(CA60,2)</f>
        <v>8.73</v>
      </c>
      <c r="D810" s="276">
        <f>ROUND(CA61,0)</f>
        <v>737147</v>
      </c>
      <c r="E810" s="276">
        <f>ROUND(CA62,0)</f>
        <v>202028</v>
      </c>
      <c r="F810" s="276">
        <f>ROUND(CA63,0)</f>
        <v>0</v>
      </c>
      <c r="G810" s="276">
        <f>ROUND(CA64,0)</f>
        <v>3648</v>
      </c>
      <c r="H810" s="276">
        <f>ROUND(CA65,0)</f>
        <v>0</v>
      </c>
      <c r="I810" s="276">
        <f>ROUND(CA66,0)</f>
        <v>2835</v>
      </c>
      <c r="J810" s="276">
        <f>ROUND(CA67,0)</f>
        <v>0</v>
      </c>
      <c r="K810" s="276">
        <f>ROUND(CA68,0)</f>
        <v>0</v>
      </c>
      <c r="L810" s="276">
        <f>ROUND(CA69,0)</f>
        <v>5984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180*2017*8770*A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180*2017*8790*A</v>
      </c>
      <c r="B812" s="276"/>
      <c r="C812" s="278">
        <f>ROUND(CC60,2)</f>
        <v>0</v>
      </c>
      <c r="D812" s="276">
        <f>ROUND(CC61,0)</f>
        <v>102225</v>
      </c>
      <c r="E812" s="276">
        <f>ROUND(CC62,0)</f>
        <v>28017</v>
      </c>
      <c r="F812" s="276">
        <f>ROUND(CC63,0)</f>
        <v>0</v>
      </c>
      <c r="G812" s="276">
        <f>ROUND(CC64,0)</f>
        <v>266846</v>
      </c>
      <c r="H812" s="276">
        <f>ROUND(CC65,0)</f>
        <v>52811</v>
      </c>
      <c r="I812" s="276">
        <f>ROUND(CC66,0)</f>
        <v>122415</v>
      </c>
      <c r="J812" s="276">
        <f>ROUND(CC67,0)</f>
        <v>0</v>
      </c>
      <c r="K812" s="276">
        <f>ROUND(CC68,0)</f>
        <v>0</v>
      </c>
      <c r="L812" s="276">
        <f>ROUND(CC69,0)</f>
        <v>5144729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180*2017*9000*A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2751214</v>
      </c>
      <c r="V813" s="277">
        <f>ROUND(CD70,0)</f>
        <v>25357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9">SUM(C734:C813)</f>
        <v>559.30999999999995</v>
      </c>
      <c r="D815" s="277">
        <f t="shared" si="29"/>
        <v>44116279</v>
      </c>
      <c r="E815" s="277">
        <f t="shared" si="29"/>
        <v>12090860</v>
      </c>
      <c r="F815" s="277">
        <f t="shared" si="29"/>
        <v>2179160</v>
      </c>
      <c r="G815" s="277">
        <f t="shared" si="29"/>
        <v>22858906</v>
      </c>
      <c r="H815" s="277">
        <f t="shared" si="29"/>
        <v>729978</v>
      </c>
      <c r="I815" s="277">
        <f t="shared" si="29"/>
        <v>8380357</v>
      </c>
      <c r="J815" s="277">
        <f t="shared" si="29"/>
        <v>4629386</v>
      </c>
      <c r="K815" s="277">
        <f t="shared" si="29"/>
        <v>1009586</v>
      </c>
      <c r="L815" s="277">
        <f>SUM(L734:L813)+SUM(U734:U813)</f>
        <v>4570010</v>
      </c>
      <c r="M815" s="277">
        <f>SUM(M734:M813)+SUM(V734:V813)</f>
        <v>505617</v>
      </c>
      <c r="N815" s="277">
        <f t="shared" ref="N815:Y815" si="30">SUM(N734:N813)</f>
        <v>663204245</v>
      </c>
      <c r="O815" s="277">
        <f t="shared" si="30"/>
        <v>300882516</v>
      </c>
      <c r="P815" s="277">
        <f t="shared" si="30"/>
        <v>201872</v>
      </c>
      <c r="Q815" s="277">
        <f t="shared" si="30"/>
        <v>378514</v>
      </c>
      <c r="R815" s="277">
        <f t="shared" si="30"/>
        <v>51637</v>
      </c>
      <c r="S815" s="277">
        <f t="shared" si="30"/>
        <v>776777</v>
      </c>
      <c r="T815" s="281">
        <f t="shared" si="30"/>
        <v>157.59999999999997</v>
      </c>
      <c r="U815" s="277">
        <f t="shared" si="30"/>
        <v>2751214</v>
      </c>
      <c r="V815" s="277">
        <f t="shared" si="30"/>
        <v>25357</v>
      </c>
      <c r="W815" s="277">
        <f t="shared" si="30"/>
        <v>0</v>
      </c>
      <c r="X815" s="277">
        <f t="shared" si="30"/>
        <v>0</v>
      </c>
      <c r="Y815" s="277">
        <f t="shared" si="30"/>
        <v>26429947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559.22499999999991</v>
      </c>
      <c r="D816" s="277">
        <f>CE61</f>
        <v>44116278.560000002</v>
      </c>
      <c r="E816" s="277">
        <f>CE62</f>
        <v>12090860</v>
      </c>
      <c r="F816" s="277">
        <f>CE63</f>
        <v>2179160</v>
      </c>
      <c r="G816" s="277">
        <f>CE64</f>
        <v>22858906.379999999</v>
      </c>
      <c r="H816" s="280">
        <f>CE65</f>
        <v>729978</v>
      </c>
      <c r="I816" s="280">
        <f>CE66</f>
        <v>8380357.04</v>
      </c>
      <c r="J816" s="280">
        <f>CE67</f>
        <v>4629386</v>
      </c>
      <c r="K816" s="280">
        <f>CE68</f>
        <v>1009586</v>
      </c>
      <c r="L816" s="280">
        <f>CE69</f>
        <v>4570010</v>
      </c>
      <c r="M816" s="280">
        <f>CE70</f>
        <v>505617</v>
      </c>
      <c r="N816" s="277">
        <f>CE75</f>
        <v>663204245</v>
      </c>
      <c r="O816" s="277">
        <f>CE73</f>
        <v>300882516</v>
      </c>
      <c r="P816" s="277">
        <f>CE76</f>
        <v>201872</v>
      </c>
      <c r="Q816" s="277">
        <f>CE77</f>
        <v>378514</v>
      </c>
      <c r="R816" s="277">
        <f>CE78</f>
        <v>51636.999999999985</v>
      </c>
      <c r="S816" s="277">
        <f>CE79</f>
        <v>776778</v>
      </c>
      <c r="T816" s="281">
        <f>CE80</f>
        <v>157.59999999999997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26429945.379999999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44116278.560000002</v>
      </c>
      <c r="E817" s="180">
        <f>C379</f>
        <v>12090860</v>
      </c>
      <c r="F817" s="180">
        <f>C380</f>
        <v>2179160</v>
      </c>
      <c r="G817" s="240">
        <f>C381</f>
        <v>22858906.379999999</v>
      </c>
      <c r="H817" s="240">
        <f>C382</f>
        <v>729978</v>
      </c>
      <c r="I817" s="240">
        <f>C383</f>
        <v>8380357.04</v>
      </c>
      <c r="J817" s="240">
        <f>C384</f>
        <v>4629385</v>
      </c>
      <c r="K817" s="240">
        <f>C385</f>
        <v>1009586</v>
      </c>
      <c r="L817" s="240">
        <f>C386+C387+C388+C389</f>
        <v>4570012</v>
      </c>
      <c r="M817" s="240">
        <f>C370</f>
        <v>379238</v>
      </c>
      <c r="N817" s="180">
        <f>D361</f>
        <v>663204244</v>
      </c>
      <c r="O817" s="180">
        <f>C359</f>
        <v>300882515</v>
      </c>
    </row>
  </sheetData>
  <customSheetViews>
    <customSheetView guid="{AF224140-1822-4D55-AA68-8E6ECE9F00FA}" scale="75" showGridLines="0" fitToPage="1" topLeftCell="A94">
      <selection activeCell="C128" sqref="C128:C129"/>
      <pageMargins left="0.25" right="0.25" top="0.5" bottom="0.5" header="0.5" footer="0.5"/>
      <printOptions horizontalCentered="1"/>
      <pageSetup scale="95" orientation="portrait" r:id="rId1"/>
      <headerFooter alignWithMargins="0"/>
    </customSheetView>
    <customSheetView guid="{29C7D28D-A8D9-464F-A1BE-6E19ABDAC2B2}" scale="75" showGridLines="0" fitToPage="1" topLeftCell="A142">
      <selection activeCell="F12" sqref="F12"/>
      <pageMargins left="0.25" right="0.25" top="0.5" bottom="0.5" header="0.5" footer="0.5"/>
      <printOptions horizontalCentered="1"/>
      <pageSetup scale="95" orientation="portrait" r:id="rId2"/>
      <headerFooter alignWithMargins="0"/>
    </customSheetView>
    <customSheetView guid="{1565D254-C65C-4A11-B9EA-4BF10C869FB8}" scale="75" showGridLines="0" fitToPage="1" topLeftCell="A142">
      <selection activeCell="F12" sqref="F12"/>
      <pageMargins left="0.25" right="0.25" top="0.5" bottom="0.5" header="0.5" footer="0.5"/>
      <printOptions horizontalCentered="1"/>
      <pageSetup scale="95" orientation="portrait" r:id="rId3"/>
      <headerFooter alignWithMargins="0"/>
    </customSheetView>
    <customSheetView guid="{A66A08DC-EE53-4B68-9567-69AEF466998B}" scale="75" showGridLines="0" fitToPage="1" topLeftCell="A94">
      <selection activeCell="C128" sqref="C128:C129"/>
      <pageMargins left="0.25" right="0.25" top="0.5" bottom="0.5" header="0.5" footer="0.5"/>
      <printOptions horizontalCentered="1"/>
      <pageSetup scale="95" orientation="portrait" r:id="rId4"/>
      <headerFooter alignWithMargins="0"/>
    </customSheetView>
  </customSheetViews>
  <mergeCells count="1">
    <mergeCell ref="B220:C220"/>
  </mergeCells>
  <phoneticPr fontId="0" type="noConversion"/>
  <hyperlinks>
    <hyperlink ref="E16" r:id="rId5"/>
    <hyperlink ref="C17" r:id="rId6"/>
  </hyperlinks>
  <printOptions horizontalCentered="1" gridLinesSet="0"/>
  <pageMargins left="0.25" right="0.25" top="0.5" bottom="0.5" header="0.5" footer="0.5"/>
  <pageSetup scale="95" orientation="portrait" r:id="rId7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VALLEY HOSPITAL AND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H-180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 xml:space="preserve">12606 E MISSION AVE 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 xml:space="preserve">12606 E MISSION AVE 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SPOKANE WA 99210-0248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customSheetViews>
    <customSheetView guid="{AF224140-1822-4D55-AA68-8E6ECE9F00FA}" scale="75" showGridLines="0" fitToPage="1">
      <selection activeCell="I12" sqref="I12"/>
      <pageMargins left="0.75" right="0.75" top="1" bottom="1" header="0.5" footer="0.5"/>
      <pageSetup scale="87" orientation="portrait" r:id="rId1"/>
      <headerFooter alignWithMargins="0"/>
    </customSheetView>
    <customSheetView guid="{29C7D28D-A8D9-464F-A1BE-6E19ABDAC2B2}" scale="75" showGridLines="0" fitToPage="1">
      <selection activeCell="I12" sqref="I12"/>
      <pageMargins left="0.75" right="0.75" top="1" bottom="1" header="0.5" footer="0.5"/>
      <pageSetup scale="87" orientation="portrait" r:id="rId2"/>
      <headerFooter alignWithMargins="0"/>
    </customSheetView>
    <customSheetView guid="{1565D254-C65C-4A11-B9EA-4BF10C869FB8}" scale="75" showGridLines="0" fitToPage="1">
      <selection activeCell="I12" sqref="I12"/>
      <pageMargins left="0.75" right="0.75" top="1" bottom="1" header="0.5" footer="0.5"/>
      <pageSetup scale="87" orientation="portrait" r:id="rId3"/>
      <headerFooter alignWithMargins="0"/>
    </customSheetView>
    <customSheetView guid="{A66A08DC-EE53-4B68-9567-69AEF466998B}" scale="75" showGridLines="0" fitToPage="1">
      <selection activeCell="I12" sqref="I12"/>
      <pageMargins left="0.75" right="0.75" top="1" bottom="1" header="0.5" footer="0.5"/>
      <pageSetup scale="87" orientation="portrait" r:id="rId4"/>
      <headerFooter alignWithMargins="0"/>
    </customSheetView>
  </customSheetViews>
  <phoneticPr fontId="0" type="noConversion"/>
  <pageMargins left="0.75" right="0.75" top="1" bottom="1" header="0.5" footer="0.5"/>
  <pageSetup scale="87" orientation="portrait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H-180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VALLEY HOSPITAL AND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GREG REPETTI (INTERIM)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JUSTIN VOELKER 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FRANK TOMBARI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473-5291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473-5731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5635</v>
      </c>
      <c r="G23" s="21">
        <f>data!D111</f>
        <v>21765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651</v>
      </c>
      <c r="G26" s="13">
        <f>data!D114</f>
        <v>995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16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44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14</v>
      </c>
      <c r="E33" s="49" t="s">
        <v>1047</v>
      </c>
      <c r="F33" s="24"/>
      <c r="G33" s="21">
        <f>data!C126</f>
        <v>19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10</v>
      </c>
      <c r="E34" s="49" t="s">
        <v>291</v>
      </c>
      <c r="F34" s="24"/>
      <c r="G34" s="21">
        <f>data!E127</f>
        <v>113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123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customSheetViews>
    <customSheetView guid="{AF224140-1822-4D55-AA68-8E6ECE9F00FA}" scale="75" showGridLines="0" fitToPage="1">
      <selection activeCell="D9" sqref="D9"/>
      <pageMargins left="0" right="0" top="0" bottom="0" header="0" footer="0"/>
      <printOptions horizontalCentered="1" verticalCentered="1"/>
      <pageSetup scale="90" orientation="portrait" r:id="rId1"/>
      <headerFooter alignWithMargins="0"/>
    </customSheetView>
    <customSheetView guid="{29C7D28D-A8D9-464F-A1BE-6E19ABDAC2B2}" scale="75" showGridLines="0" fitToPage="1">
      <selection activeCell="D9" sqref="D9"/>
      <pageMargins left="0" right="0" top="0" bottom="0" header="0" footer="0"/>
      <printOptions horizontalCentered="1" verticalCentered="1"/>
      <pageSetup scale="90" orientation="portrait" r:id="rId2"/>
      <headerFooter alignWithMargins="0"/>
    </customSheetView>
    <customSheetView guid="{1565D254-C65C-4A11-B9EA-4BF10C869FB8}" scale="75" showGridLines="0" fitToPage="1">
      <selection activeCell="D9" sqref="D9"/>
      <pageMargins left="0" right="0" top="0" bottom="0" header="0" footer="0"/>
      <printOptions horizontalCentered="1" verticalCentered="1"/>
      <pageSetup scale="90" orientation="portrait" r:id="rId3"/>
      <headerFooter alignWithMargins="0"/>
    </customSheetView>
    <customSheetView guid="{A66A08DC-EE53-4B68-9567-69AEF466998B}" scale="75" showGridLines="0" fitToPage="1">
      <selection activeCell="D9" sqref="D9"/>
      <pageMargins left="0" right="0" top="0" bottom="0" header="0" footer="0"/>
      <printOptions horizontalCentered="1" verticalCentered="1"/>
      <pageSetup scale="90" orientation="portrait" r:id="rId4"/>
      <headerFooter alignWithMargins="0"/>
    </customSheetView>
  </customSheetViews>
  <phoneticPr fontId="0" type="noConversion"/>
  <printOptions horizontalCentered="1" verticalCentered="1" gridLinesSet="0"/>
  <pageMargins left="0" right="0" top="0" bottom="0" header="0" footer="0"/>
  <pageSetup scale="90" orientation="portrait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VALLEY HOSPITAL AND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2881</v>
      </c>
      <c r="C7" s="48">
        <f>data!B139</f>
        <v>11794</v>
      </c>
      <c r="D7" s="48">
        <f>data!B140</f>
        <v>15990</v>
      </c>
      <c r="E7" s="48">
        <f>data!B141</f>
        <v>117340001.38565001</v>
      </c>
      <c r="F7" s="48">
        <f>data!B142</f>
        <v>89789560.537192389</v>
      </c>
      <c r="G7" s="48">
        <f>data!B141+data!B142</f>
        <v>207129561.92284238</v>
      </c>
    </row>
    <row r="8" spans="1:13" ht="20.100000000000001" customHeight="1" x14ac:dyDescent="0.25">
      <c r="A8" s="23" t="s">
        <v>297</v>
      </c>
      <c r="B8" s="48">
        <f>data!C138</f>
        <v>1168</v>
      </c>
      <c r="C8" s="48">
        <f>data!C139</f>
        <v>4303</v>
      </c>
      <c r="D8" s="48">
        <f>data!C140</f>
        <v>18542</v>
      </c>
      <c r="E8" s="48">
        <f>data!C141</f>
        <v>5560769.6025461843</v>
      </c>
      <c r="F8" s="48">
        <f>data!C142</f>
        <v>4589583.1947066961</v>
      </c>
      <c r="G8" s="48">
        <f>data!C141+data!C142</f>
        <v>10150352.79725288</v>
      </c>
    </row>
    <row r="9" spans="1:13" ht="20.100000000000001" customHeight="1" x14ac:dyDescent="0.25">
      <c r="A9" s="23" t="s">
        <v>1058</v>
      </c>
      <c r="B9" s="48">
        <f>data!D138</f>
        <v>1586</v>
      </c>
      <c r="C9" s="48">
        <f>data!D139</f>
        <v>5668</v>
      </c>
      <c r="D9" s="48">
        <f>data!D140</f>
        <v>20522</v>
      </c>
      <c r="E9" s="48">
        <f>data!D141</f>
        <v>172915643.04180378</v>
      </c>
      <c r="F9" s="48">
        <f>data!D142</f>
        <v>309675553.30810082</v>
      </c>
      <c r="G9" s="48">
        <f>data!D141+data!D142</f>
        <v>482591196.3499046</v>
      </c>
    </row>
    <row r="10" spans="1:13" ht="20.100000000000001" customHeight="1" x14ac:dyDescent="0.25">
      <c r="A10" s="111" t="s">
        <v>203</v>
      </c>
      <c r="B10" s="48">
        <f>data!E138</f>
        <v>5635</v>
      </c>
      <c r="C10" s="48">
        <f>data!E139</f>
        <v>21765</v>
      </c>
      <c r="D10" s="48">
        <f>data!E140</f>
        <v>55054</v>
      </c>
      <c r="E10" s="48">
        <f>data!E141</f>
        <v>295816414.02999997</v>
      </c>
      <c r="F10" s="48">
        <f>data!E142</f>
        <v>404054697.0399999</v>
      </c>
      <c r="G10" s="48">
        <f>data!E141+data!E142</f>
        <v>699871111.06999993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customSheetViews>
    <customSheetView guid="{AF224140-1822-4D55-AA68-8E6ECE9F00FA}" scale="75" showGridLines="0" fitToPage="1">
      <selection activeCell="F69" sqref="F69"/>
      <pageMargins left="0" right="0" top="0" bottom="0" header="0" footer="0"/>
      <printOptions horizontalCentered="1" verticalCentered="1"/>
      <pageSetup scale="85" orientation="landscape" r:id="rId1"/>
      <headerFooter alignWithMargins="0"/>
    </customSheetView>
    <customSheetView guid="{29C7D28D-A8D9-464F-A1BE-6E19ABDAC2B2}" scale="75" showGridLines="0" fitToPage="1">
      <selection activeCell="F69" sqref="F69"/>
      <pageMargins left="0" right="0" top="0" bottom="0" header="0" footer="0"/>
      <printOptions horizontalCentered="1" verticalCentered="1"/>
      <pageSetup scale="85" orientation="landscape" r:id="rId2"/>
      <headerFooter alignWithMargins="0"/>
    </customSheetView>
    <customSheetView guid="{1565D254-C65C-4A11-B9EA-4BF10C869FB8}" scale="75" showGridLines="0" fitToPage="1">
      <selection activeCell="F69" sqref="F69"/>
      <pageMargins left="0" right="0" top="0" bottom="0" header="0" footer="0"/>
      <printOptions horizontalCentered="1" verticalCentered="1"/>
      <pageSetup scale="85" orientation="landscape" r:id="rId3"/>
      <headerFooter alignWithMargins="0"/>
    </customSheetView>
    <customSheetView guid="{A66A08DC-EE53-4B68-9567-69AEF466998B}" scale="75" showGridLines="0" fitToPage="1">
      <selection activeCell="F69" sqref="F69"/>
      <pageMargins left="0" right="0" top="0" bottom="0" header="0" footer="0"/>
      <printOptions horizontalCentered="1" verticalCentered="1"/>
      <pageSetup scale="85" orientation="landscape" r:id="rId4"/>
      <headerFooter alignWithMargins="0"/>
    </customSheetView>
  </customSheetViews>
  <phoneticPr fontId="0" type="noConversion"/>
  <printOptions horizontalCentered="1" verticalCentered="1" gridLinesSet="0"/>
  <pageMargins left="0" right="0" top="0" bottom="0" header="0" footer="0"/>
  <pageSetup scale="85" orientation="landscape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VALLEY HOSPITAL AND MEDICAL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3483885.2699999996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15936.820000000009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7002138.0899999999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852385.94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634840.28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26608.05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12015794.449999999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787439.62000000011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787439.62000000011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1019357.3600000001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1019357.3600000001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8752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-198663.50000000012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-189911.50000000012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3067282.3600000008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3067282.3600000008</v>
      </c>
    </row>
    <row r="41" spans="1:3" x14ac:dyDescent="0.25">
      <c r="A41" s="3"/>
      <c r="B41" s="3"/>
      <c r="C41" s="3"/>
    </row>
  </sheetData>
  <sheetProtection sheet="1" objects="1" scenarios="1"/>
  <customSheetViews>
    <customSheetView guid="{AF224140-1822-4D55-AA68-8E6ECE9F00FA}" scale="75" showGridLines="0" fitToPage="1">
      <selection activeCell="C14" sqref="C14"/>
      <pageMargins left="0" right="0" top="0" bottom="0" header="0" footer="0"/>
      <printOptions horizontalCentered="1" verticalCentered="1"/>
      <pageSetup scale="90" orientation="portrait" r:id="rId1"/>
      <headerFooter alignWithMargins="0"/>
    </customSheetView>
    <customSheetView guid="{29C7D28D-A8D9-464F-A1BE-6E19ABDAC2B2}" scale="75" showGridLines="0" fitToPage="1">
      <selection activeCell="C14" sqref="C14"/>
      <pageMargins left="0" right="0" top="0" bottom="0" header="0" footer="0"/>
      <printOptions horizontalCentered="1" verticalCentered="1"/>
      <pageSetup scale="90" orientation="portrait" r:id="rId2"/>
      <headerFooter alignWithMargins="0"/>
    </customSheetView>
    <customSheetView guid="{1565D254-C65C-4A11-B9EA-4BF10C869FB8}" scale="75" showGridLines="0" fitToPage="1">
      <selection activeCell="C14" sqref="C14"/>
      <pageMargins left="0" right="0" top="0" bottom="0" header="0" footer="0"/>
      <printOptions horizontalCentered="1" verticalCentered="1"/>
      <pageSetup scale="90" orientation="portrait" r:id="rId3"/>
      <headerFooter alignWithMargins="0"/>
    </customSheetView>
    <customSheetView guid="{A66A08DC-EE53-4B68-9567-69AEF466998B}" scale="75" showGridLines="0" fitToPage="1">
      <selection activeCell="C14" sqref="C14"/>
      <pageMargins left="0" right="0" top="0" bottom="0" header="0" footer="0"/>
      <printOptions horizontalCentered="1" verticalCentered="1"/>
      <pageSetup scale="90" orientation="portrait" r:id="rId4"/>
      <headerFooter alignWithMargins="0"/>
    </customSheetView>
  </customSheetViews>
  <phoneticPr fontId="0" type="noConversion"/>
  <printOptions horizontalCentered="1" verticalCentered="1" gridLinesSet="0"/>
  <pageMargins left="0" right="0" top="0" bottom="0" header="0" footer="0"/>
  <pageSetup scale="90" orientation="portrait" r:id="rId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VALLEY HOSPITAL AND MEDICAL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8979210</v>
      </c>
      <c r="D7" s="21">
        <f>data!C195</f>
        <v>0</v>
      </c>
      <c r="E7" s="21">
        <f>data!D195</f>
        <v>0</v>
      </c>
      <c r="F7" s="21">
        <f>data!E195</f>
        <v>8979210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766764</v>
      </c>
      <c r="D8" s="21">
        <f>data!C196</f>
        <v>0</v>
      </c>
      <c r="E8" s="21">
        <f>data!D196</f>
        <v>0</v>
      </c>
      <c r="F8" s="21">
        <f>data!E196</f>
        <v>766764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31013046.300000001</v>
      </c>
      <c r="D9" s="21">
        <f>data!C197</f>
        <v>1169674.0900000001</v>
      </c>
      <c r="E9" s="21">
        <f>data!D197</f>
        <v>0</v>
      </c>
      <c r="F9" s="21">
        <f>data!E197</f>
        <v>32182720.390000001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986580</v>
      </c>
      <c r="D10" s="21">
        <f>data!C198</f>
        <v>57583.49</v>
      </c>
      <c r="E10" s="21">
        <f>data!D198</f>
        <v>0</v>
      </c>
      <c r="F10" s="21">
        <f>data!E198</f>
        <v>1044163.49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10797512.459999993</v>
      </c>
      <c r="D12" s="21">
        <f>data!C200</f>
        <v>3411695.13</v>
      </c>
      <c r="E12" s="21">
        <f>data!D200</f>
        <v>438737.28</v>
      </c>
      <c r="F12" s="21">
        <f>data!E200</f>
        <v>13770470.309999993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135000</v>
      </c>
      <c r="D14" s="21">
        <f>data!C202</f>
        <v>0</v>
      </c>
      <c r="E14" s="21">
        <f>data!D202</f>
        <v>0</v>
      </c>
      <c r="F14" s="21">
        <f>data!E202</f>
        <v>135000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52678112.75999999</v>
      </c>
      <c r="D16" s="21">
        <f>data!C204</f>
        <v>4638952.71</v>
      </c>
      <c r="E16" s="21">
        <f>data!D204</f>
        <v>438737.28</v>
      </c>
      <c r="F16" s="21">
        <f>data!E204</f>
        <v>56878328.189999998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54768.869999999995</v>
      </c>
      <c r="D24" s="21">
        <f>data!C209</f>
        <v>109537.70999999999</v>
      </c>
      <c r="E24" s="21">
        <f>data!D209</f>
        <v>0</v>
      </c>
      <c r="F24" s="21">
        <f>data!E209</f>
        <v>164306.57999999999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775193.52999999933</v>
      </c>
      <c r="D25" s="21">
        <f>data!C210</f>
        <v>1575569.6900000002</v>
      </c>
      <c r="E25" s="21">
        <f>data!D210</f>
        <v>0</v>
      </c>
      <c r="F25" s="21">
        <f>data!E210</f>
        <v>2350763.2199999997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41107.5</v>
      </c>
      <c r="D26" s="21">
        <f>data!C211</f>
        <v>85895.61</v>
      </c>
      <c r="E26" s="21">
        <f>data!D211</f>
        <v>0</v>
      </c>
      <c r="F26" s="21">
        <f>data!E211</f>
        <v>127003.11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1170793.1099999994</v>
      </c>
      <c r="D28" s="21">
        <f>data!C213</f>
        <v>2807006.7300000004</v>
      </c>
      <c r="E28" s="21">
        <f>data!D213</f>
        <v>92059.349999999991</v>
      </c>
      <c r="F28" s="21">
        <f>data!E213</f>
        <v>3885740.4899999998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9315.4899999999907</v>
      </c>
      <c r="D30" s="21">
        <f>data!C215</f>
        <v>18630.95</v>
      </c>
      <c r="E30" s="21">
        <f>data!D215</f>
        <v>0</v>
      </c>
      <c r="F30" s="21">
        <f>data!E215</f>
        <v>27946.439999999991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2051178.4999999988</v>
      </c>
      <c r="D32" s="21">
        <f>data!C217</f>
        <v>4596640.6900000004</v>
      </c>
      <c r="E32" s="21">
        <f>data!D217</f>
        <v>92059.349999999991</v>
      </c>
      <c r="F32" s="21">
        <f>data!E217</f>
        <v>6555759.8399999999</v>
      </c>
    </row>
  </sheetData>
  <sheetProtection sheet="1" objects="1" scenarios="1"/>
  <customSheetViews>
    <customSheetView guid="{AF224140-1822-4D55-AA68-8E6ECE9F00FA}" scale="75" showGridLines="0" fitToPage="1">
      <selection activeCell="J37" sqref="J37"/>
      <pageMargins left="0" right="0" top="0" bottom="0" header="0" footer="0"/>
      <printOptions horizontalCentered="1" verticalCentered="1"/>
      <pageSetup scale="93" orientation="portrait" r:id="rId1"/>
      <headerFooter alignWithMargins="0"/>
    </customSheetView>
    <customSheetView guid="{29C7D28D-A8D9-464F-A1BE-6E19ABDAC2B2}" scale="75" showGridLines="0" fitToPage="1">
      <selection activeCell="J37" sqref="J37"/>
      <pageMargins left="0" right="0" top="0" bottom="0" header="0" footer="0"/>
      <printOptions horizontalCentered="1" verticalCentered="1"/>
      <pageSetup scale="93" orientation="portrait" r:id="rId2"/>
      <headerFooter alignWithMargins="0"/>
    </customSheetView>
    <customSheetView guid="{1565D254-C65C-4A11-B9EA-4BF10C869FB8}" scale="75" showGridLines="0" fitToPage="1">
      <selection activeCell="J37" sqref="J37"/>
      <pageMargins left="0" right="0" top="0" bottom="0" header="0" footer="0"/>
      <printOptions horizontalCentered="1" verticalCentered="1"/>
      <pageSetup scale="93" orientation="portrait" r:id="rId3"/>
      <headerFooter alignWithMargins="0"/>
    </customSheetView>
    <customSheetView guid="{A66A08DC-EE53-4B68-9567-69AEF466998B}" scale="75" showGridLines="0" fitToPage="1">
      <selection activeCell="J37" sqref="J37"/>
      <pageMargins left="0" right="0" top="0" bottom="0" header="0" footer="0"/>
      <printOptions horizontalCentered="1" verticalCentered="1"/>
      <pageSetup scale="93" orientation="portrait" r:id="rId4"/>
      <headerFooter alignWithMargins="0"/>
    </customSheetView>
  </customSheetViews>
  <phoneticPr fontId="0" type="noConversion"/>
  <printOptions horizontalCentered="1" verticalCentered="1" gridLinesSet="0"/>
  <pageMargins left="0" right="0" top="0" bottom="0" header="0" footer="0"/>
  <pageSetup scale="93" orientation="portrait" r:id="rId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VALLEY HOSPITAL AND MEDICAL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5706270.2500000009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166365592.62153047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7855147.7856802195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9505158.6496296413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404122.06196344621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371989578.13119632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556119599.25000012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2561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2622615.4652816295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3582222.1047183699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6204837.5699999994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3244406.399999998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571275113.47000015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customSheetViews>
    <customSheetView guid="{AF224140-1822-4D55-AA68-8E6ECE9F00FA}" scale="75" showGridLines="0" fitToPage="1">
      <selection activeCell="E43" sqref="E43"/>
      <pageMargins left="0" right="0" top="0" bottom="0" header="0" footer="0"/>
      <printOptions horizontalCentered="1" verticalCentered="1"/>
      <pageSetup orientation="portrait" r:id="rId1"/>
      <headerFooter alignWithMargins="0"/>
    </customSheetView>
    <customSheetView guid="{29C7D28D-A8D9-464F-A1BE-6E19ABDAC2B2}" scale="75" showGridLines="0" fitToPage="1">
      <selection activeCell="E43" sqref="E43"/>
      <pageMargins left="0" right="0" top="0" bottom="0" header="0" footer="0"/>
      <printOptions horizontalCentered="1" verticalCentered="1"/>
      <pageSetup orientation="portrait" r:id="rId2"/>
      <headerFooter alignWithMargins="0"/>
    </customSheetView>
    <customSheetView guid="{1565D254-C65C-4A11-B9EA-4BF10C869FB8}" scale="75" showGridLines="0" fitToPage="1">
      <selection activeCell="E43" sqref="E43"/>
      <pageMargins left="0" right="0" top="0" bottom="0" header="0" footer="0"/>
      <printOptions horizontalCentered="1" verticalCentered="1"/>
      <pageSetup orientation="portrait" r:id="rId3"/>
      <headerFooter alignWithMargins="0"/>
    </customSheetView>
    <customSheetView guid="{A66A08DC-EE53-4B68-9567-69AEF466998B}" scale="75" showGridLines="0" fitToPage="1">
      <selection activeCell="E43" sqref="E43"/>
      <pageMargins left="0" right="0" top="0" bottom="0" header="0" footer="0"/>
      <printOptions horizontalCentered="1" verticalCentered="1"/>
      <pageSetup orientation="portrait" r:id="rId4"/>
      <headerFooter alignWithMargins="0"/>
    </customSheetView>
  </customSheetViews>
  <phoneticPr fontId="0" type="noConversion"/>
  <printOptions horizontalCentered="1" verticalCentered="1" gridLinesSet="0"/>
  <pageMargins left="0" right="0" top="0" bottom="0" header="0" footer="0"/>
  <pageSetup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Sheet1</vt:lpstr>
      <vt:lpstr>data</vt:lpstr>
      <vt:lpstr>Prior Year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Valley Hospital Year End Report</dc:title>
  <dc:subject>2018 Valley Hospital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2019-06-20T20:05:41Z</dcterms:modified>
</cp:coreProperties>
</file>