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data!$DR$822:$DR$867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C325" i="1" l="1"/>
  <c r="C312" i="1"/>
  <c r="L80" i="1" l="1"/>
  <c r="C200" i="1" l="1"/>
  <c r="AV73" i="1" l="1"/>
  <c r="AV74" i="1"/>
  <c r="BN69" i="1"/>
  <c r="Y66" i="1"/>
  <c r="Y63" i="1"/>
  <c r="AB60" i="1"/>
  <c r="BH60" i="1"/>
  <c r="AV60" i="1"/>
  <c r="AP60" i="1"/>
  <c r="AE60" i="1"/>
  <c r="P59" i="1" l="1"/>
  <c r="AL76" i="1"/>
  <c r="AK76" i="1"/>
  <c r="AJ76" i="1"/>
  <c r="AE76" i="1"/>
  <c r="Y76" i="1"/>
  <c r="X76" i="1"/>
  <c r="W76" i="1"/>
  <c r="P76" i="1"/>
  <c r="L76" i="1"/>
  <c r="E76" i="1"/>
  <c r="C389" i="1"/>
  <c r="C387" i="1"/>
  <c r="C383" i="1"/>
  <c r="C370" i="1"/>
  <c r="C364" i="1"/>
  <c r="C365" i="1"/>
  <c r="C363" i="1"/>
  <c r="C360" i="1"/>
  <c r="C255" i="1"/>
  <c r="C250" i="1"/>
  <c r="C227" i="1" l="1"/>
  <c r="C234" i="1"/>
  <c r="C226" i="1"/>
  <c r="C221" i="1"/>
  <c r="C211" i="1"/>
  <c r="C209" i="1"/>
  <c r="C197" i="1"/>
  <c r="C180" i="1"/>
  <c r="C175" i="1" l="1"/>
  <c r="C171" i="1"/>
  <c r="C168" i="1"/>
  <c r="D145" i="1"/>
  <c r="B145" i="1"/>
  <c r="D144" i="1"/>
  <c r="B142" i="1"/>
  <c r="D147" i="1"/>
  <c r="B147" i="1"/>
  <c r="D141" i="1"/>
  <c r="B141" i="1"/>
  <c r="D139" i="1" l="1"/>
  <c r="O817" i="10" l="1"/>
  <c r="K817" i="10"/>
  <c r="J817" i="10"/>
  <c r="H817" i="10"/>
  <c r="G817" i="10"/>
  <c r="E817" i="10"/>
  <c r="D817" i="10"/>
  <c r="X813" i="10"/>
  <c r="X815" i="10" s="1"/>
  <c r="W813" i="10"/>
  <c r="W815" i="10" s="1"/>
  <c r="V813" i="10"/>
  <c r="V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Q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Q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Q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Q762" i="10"/>
  <c r="O762" i="10"/>
  <c r="M762" i="10"/>
  <c r="L762" i="10"/>
  <c r="K762" i="10"/>
  <c r="I762" i="10"/>
  <c r="H762" i="10"/>
  <c r="G762" i="10"/>
  <c r="F762" i="10"/>
  <c r="D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Q756" i="10"/>
  <c r="O756" i="10"/>
  <c r="M756" i="10"/>
  <c r="L756" i="10"/>
  <c r="K756" i="10"/>
  <c r="H756" i="10"/>
  <c r="G756" i="10"/>
  <c r="D756" i="10"/>
  <c r="C756" i="10"/>
  <c r="B756" i="10"/>
  <c r="A756" i="10"/>
  <c r="T755" i="10"/>
  <c r="S755" i="10"/>
  <c r="Q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Q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Q747" i="10"/>
  <c r="O747" i="10"/>
  <c r="M747" i="10"/>
  <c r="L747" i="10"/>
  <c r="K747" i="10"/>
  <c r="I747" i="10"/>
  <c r="H747" i="10"/>
  <c r="G747" i="10"/>
  <c r="F747" i="10"/>
  <c r="D747" i="10"/>
  <c r="C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Q743" i="10"/>
  <c r="O743" i="10"/>
  <c r="M743" i="10"/>
  <c r="K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Q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Q815" i="10" s="1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A730" i="10"/>
  <c r="BY730" i="10"/>
  <c r="BX730" i="10"/>
  <c r="BW730" i="10"/>
  <c r="BU730" i="10"/>
  <c r="BT730" i="10"/>
  <c r="BR730" i="10"/>
  <c r="BQ730" i="10"/>
  <c r="BP730" i="10"/>
  <c r="BN730" i="10"/>
  <c r="BL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E730" i="10"/>
  <c r="D730" i="10"/>
  <c r="C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Y726" i="10"/>
  <c r="AX726" i="10"/>
  <c r="AW726" i="10"/>
  <c r="AV726" i="10"/>
  <c r="AT726" i="10"/>
  <c r="AS726" i="10"/>
  <c r="AR726" i="10"/>
  <c r="AQ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K722" i="10"/>
  <c r="J722" i="10"/>
  <c r="H722" i="10"/>
  <c r="G722" i="10"/>
  <c r="F722" i="10"/>
  <c r="D722" i="10"/>
  <c r="C722" i="10"/>
  <c r="B722" i="10"/>
  <c r="A722" i="10"/>
  <c r="E550" i="10"/>
  <c r="E546" i="10"/>
  <c r="E545" i="10"/>
  <c r="F544" i="10"/>
  <c r="F540" i="10"/>
  <c r="E540" i="10"/>
  <c r="H540" i="10"/>
  <c r="E539" i="10"/>
  <c r="H538" i="10"/>
  <c r="E538" i="10"/>
  <c r="F538" i="10"/>
  <c r="H537" i="10"/>
  <c r="E537" i="10"/>
  <c r="F537" i="10"/>
  <c r="F536" i="10"/>
  <c r="E536" i="10"/>
  <c r="H536" i="10"/>
  <c r="F535" i="10"/>
  <c r="E535" i="10"/>
  <c r="H534" i="10"/>
  <c r="F534" i="10"/>
  <c r="E534" i="10"/>
  <c r="H533" i="10"/>
  <c r="F533" i="10"/>
  <c r="E533" i="10"/>
  <c r="F532" i="10"/>
  <c r="E532" i="10"/>
  <c r="E531" i="10"/>
  <c r="E530" i="10"/>
  <c r="E529" i="10"/>
  <c r="F529" i="10"/>
  <c r="H528" i="10"/>
  <c r="F528" i="10"/>
  <c r="E528" i="10"/>
  <c r="H527" i="10"/>
  <c r="F527" i="10"/>
  <c r="E527" i="10"/>
  <c r="E526" i="10"/>
  <c r="F526" i="10"/>
  <c r="H525" i="10"/>
  <c r="F525" i="10"/>
  <c r="E525" i="10"/>
  <c r="E524" i="10"/>
  <c r="F524" i="10"/>
  <c r="E523" i="10"/>
  <c r="H523" i="10"/>
  <c r="H522" i="10"/>
  <c r="E522" i="10"/>
  <c r="F522" i="10"/>
  <c r="F521" i="10"/>
  <c r="H520" i="10"/>
  <c r="F520" i="10"/>
  <c r="E520" i="10"/>
  <c r="H519" i="10"/>
  <c r="F519" i="10"/>
  <c r="E519" i="10"/>
  <c r="E518" i="10"/>
  <c r="F518" i="10"/>
  <c r="E517" i="10"/>
  <c r="E516" i="10"/>
  <c r="F516" i="10"/>
  <c r="E515" i="10"/>
  <c r="F515" i="10"/>
  <c r="E514" i="10"/>
  <c r="H513" i="10"/>
  <c r="F513" i="10"/>
  <c r="F512" i="10"/>
  <c r="E511" i="10"/>
  <c r="H510" i="10"/>
  <c r="E510" i="10"/>
  <c r="F510" i="10"/>
  <c r="F509" i="10"/>
  <c r="H508" i="10"/>
  <c r="F508" i="10"/>
  <c r="E508" i="10"/>
  <c r="H507" i="10"/>
  <c r="F507" i="10"/>
  <c r="E507" i="10"/>
  <c r="E506" i="10"/>
  <c r="F505" i="10"/>
  <c r="E505" i="10"/>
  <c r="E504" i="10"/>
  <c r="F504" i="10"/>
  <c r="E503" i="10"/>
  <c r="H502" i="10"/>
  <c r="E502" i="10"/>
  <c r="F502" i="10"/>
  <c r="H501" i="10"/>
  <c r="F501" i="10"/>
  <c r="E501" i="10"/>
  <c r="H500" i="10"/>
  <c r="F500" i="10"/>
  <c r="E500" i="10"/>
  <c r="H499" i="10"/>
  <c r="F499" i="10"/>
  <c r="E499" i="10"/>
  <c r="E498" i="10"/>
  <c r="F497" i="10"/>
  <c r="E497" i="10"/>
  <c r="H497" i="10"/>
  <c r="E496" i="10"/>
  <c r="F496" i="10"/>
  <c r="G493" i="10"/>
  <c r="E493" i="10"/>
  <c r="C493" i="10"/>
  <c r="A493" i="10"/>
  <c r="B476" i="10"/>
  <c r="B475" i="10"/>
  <c r="B474" i="10"/>
  <c r="B473" i="10"/>
  <c r="B472" i="10"/>
  <c r="B471" i="10"/>
  <c r="C470" i="10"/>
  <c r="B470" i="10"/>
  <c r="C469" i="10"/>
  <c r="B469" i="10"/>
  <c r="B468" i="10"/>
  <c r="B463" i="10"/>
  <c r="C459" i="10"/>
  <c r="B459" i="10"/>
  <c r="B455" i="10"/>
  <c r="B454" i="10"/>
  <c r="B453" i="10"/>
  <c r="C447" i="10"/>
  <c r="C445" i="10"/>
  <c r="B437" i="10"/>
  <c r="B435" i="10"/>
  <c r="B434" i="10"/>
  <c r="B433" i="10"/>
  <c r="B431" i="10"/>
  <c r="B430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C389" i="10"/>
  <c r="CC730" i="10" s="1"/>
  <c r="C387" i="10"/>
  <c r="B438" i="10" s="1"/>
  <c r="C383" i="10"/>
  <c r="B432" i="10" s="1"/>
  <c r="C380" i="10"/>
  <c r="C370" i="10"/>
  <c r="B458" i="10" s="1"/>
  <c r="C365" i="10"/>
  <c r="BM730" i="10" s="1"/>
  <c r="C363" i="10"/>
  <c r="CB730" i="10" s="1"/>
  <c r="C360" i="10"/>
  <c r="D329" i="10"/>
  <c r="D328" i="10"/>
  <c r="D319" i="10"/>
  <c r="C307" i="10"/>
  <c r="D290" i="10"/>
  <c r="D283" i="10"/>
  <c r="D275" i="10"/>
  <c r="D265" i="10"/>
  <c r="C255" i="10"/>
  <c r="G730" i="10" s="1"/>
  <c r="C254" i="10"/>
  <c r="F730" i="10" s="1"/>
  <c r="C250" i="10"/>
  <c r="D240" i="10"/>
  <c r="B447" i="10" s="1"/>
  <c r="D236" i="10"/>
  <c r="B446" i="10" s="1"/>
  <c r="C227" i="10"/>
  <c r="C221" i="10"/>
  <c r="D221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E196" i="10"/>
  <c r="E195" i="10"/>
  <c r="C468" i="10" s="1"/>
  <c r="D190" i="10"/>
  <c r="D437" i="10" s="1"/>
  <c r="D186" i="10"/>
  <c r="D436" i="10" s="1"/>
  <c r="C180" i="10"/>
  <c r="D177" i="10"/>
  <c r="D434" i="10" s="1"/>
  <c r="C175" i="10"/>
  <c r="I722" i="10" s="1"/>
  <c r="C168" i="10"/>
  <c r="E722" i="10" s="1"/>
  <c r="E154" i="10"/>
  <c r="E153" i="10"/>
  <c r="E152" i="10"/>
  <c r="E151" i="10"/>
  <c r="C421" i="10" s="1"/>
  <c r="E150" i="10"/>
  <c r="C420" i="10" s="1"/>
  <c r="E148" i="10"/>
  <c r="D147" i="10"/>
  <c r="AZ726" i="10" s="1"/>
  <c r="C147" i="10"/>
  <c r="AU726" i="10" s="1"/>
  <c r="B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CF79" i="10"/>
  <c r="CE79" i="10"/>
  <c r="L79" i="10"/>
  <c r="S743" i="10" s="1"/>
  <c r="CE77" i="10"/>
  <c r="Q816" i="10" s="1"/>
  <c r="AL76" i="10"/>
  <c r="P769" i="10" s="1"/>
  <c r="AK76" i="10"/>
  <c r="AJ76" i="10"/>
  <c r="P767" i="10" s="1"/>
  <c r="AE76" i="10"/>
  <c r="P762" i="10" s="1"/>
  <c r="Y76" i="10"/>
  <c r="P756" i="10" s="1"/>
  <c r="X76" i="10"/>
  <c r="P755" i="10" s="1"/>
  <c r="W76" i="10"/>
  <c r="P754" i="10" s="1"/>
  <c r="P76" i="10"/>
  <c r="P747" i="10" s="1"/>
  <c r="L76" i="10"/>
  <c r="P743" i="10" s="1"/>
  <c r="E76" i="10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AV74" i="10"/>
  <c r="AV75" i="10" s="1"/>
  <c r="N779" i="10" s="1"/>
  <c r="CE73" i="10"/>
  <c r="O816" i="10" s="1"/>
  <c r="CE70" i="10"/>
  <c r="M816" i="10" s="1"/>
  <c r="CD69" i="10"/>
  <c r="L69" i="10"/>
  <c r="CE68" i="10"/>
  <c r="K816" i="10" s="1"/>
  <c r="Y66" i="10"/>
  <c r="I756" i="10" s="1"/>
  <c r="L66" i="10"/>
  <c r="I743" i="10" s="1"/>
  <c r="L65" i="10"/>
  <c r="H743" i="10" s="1"/>
  <c r="L64" i="10"/>
  <c r="G743" i="10" s="1"/>
  <c r="Y63" i="10"/>
  <c r="F756" i="10" s="1"/>
  <c r="L63" i="10"/>
  <c r="F743" i="10" s="1"/>
  <c r="BH61" i="10"/>
  <c r="L61" i="10"/>
  <c r="CC60" i="10"/>
  <c r="C812" i="10" s="1"/>
  <c r="BH60" i="10"/>
  <c r="C791" i="10" s="1"/>
  <c r="AV60" i="10"/>
  <c r="C779" i="10" s="1"/>
  <c r="AP60" i="10"/>
  <c r="C773" i="10" s="1"/>
  <c r="AE60" i="10"/>
  <c r="C762" i="10" s="1"/>
  <c r="AY59" i="10"/>
  <c r="P59" i="10"/>
  <c r="B53" i="10"/>
  <c r="CE51" i="10"/>
  <c r="B49" i="10"/>
  <c r="AV47" i="10"/>
  <c r="L47" i="10"/>
  <c r="CE64" i="10" l="1"/>
  <c r="D464" i="10"/>
  <c r="D367" i="10"/>
  <c r="C448" i="10" s="1"/>
  <c r="C444" i="10"/>
  <c r="G612" i="10"/>
  <c r="E217" i="10"/>
  <c r="CE69" i="10"/>
  <c r="C440" i="10" s="1"/>
  <c r="C463" i="10"/>
  <c r="CE74" i="10"/>
  <c r="C464" i="10" s="1"/>
  <c r="D372" i="10"/>
  <c r="C473" i="10"/>
  <c r="CE66" i="10"/>
  <c r="I816" i="10" s="1"/>
  <c r="D330" i="10"/>
  <c r="C276" i="10"/>
  <c r="C478" i="10"/>
  <c r="L816" i="10"/>
  <c r="D743" i="10"/>
  <c r="CE61" i="10"/>
  <c r="B782" i="10"/>
  <c r="CF77" i="10"/>
  <c r="C438" i="10"/>
  <c r="F546" i="10"/>
  <c r="H546" i="10"/>
  <c r="AP726" i="10"/>
  <c r="E147" i="10"/>
  <c r="D463" i="10" s="1"/>
  <c r="D465" i="10" s="1"/>
  <c r="E544" i="10"/>
  <c r="CD722" i="10"/>
  <c r="B444" i="10"/>
  <c r="P736" i="10"/>
  <c r="CE76" i="10"/>
  <c r="E78" i="10" s="1"/>
  <c r="CE47" i="10"/>
  <c r="F511" i="10"/>
  <c r="H511" i="10"/>
  <c r="C432" i="10"/>
  <c r="P768" i="10"/>
  <c r="P815" i="10" s="1"/>
  <c r="CE60" i="10"/>
  <c r="G816" i="10"/>
  <c r="F612" i="10"/>
  <c r="C430" i="10"/>
  <c r="E204" i="10"/>
  <c r="C476" i="10" s="1"/>
  <c r="F503" i="10"/>
  <c r="H503" i="10"/>
  <c r="U813" i="10"/>
  <c r="U815" i="10" s="1"/>
  <c r="C615" i="10"/>
  <c r="CD71" i="10"/>
  <c r="C575" i="10" s="1"/>
  <c r="B730" i="10"/>
  <c r="D260" i="10"/>
  <c r="B747" i="10"/>
  <c r="E509" i="10"/>
  <c r="H506" i="10"/>
  <c r="F506" i="10"/>
  <c r="D791" i="10"/>
  <c r="CE65" i="10"/>
  <c r="F498" i="10"/>
  <c r="BK730" i="10"/>
  <c r="B464" i="10"/>
  <c r="D361" i="10"/>
  <c r="C434" i="10"/>
  <c r="H539" i="10"/>
  <c r="F539" i="10"/>
  <c r="D173" i="10"/>
  <c r="D428" i="10" s="1"/>
  <c r="AJ730" i="10"/>
  <c r="D314" i="10"/>
  <c r="B439" i="10"/>
  <c r="C446" i="10"/>
  <c r="H496" i="10"/>
  <c r="H504" i="10"/>
  <c r="F530" i="10"/>
  <c r="CE75" i="10"/>
  <c r="S816" i="10"/>
  <c r="J612" i="10"/>
  <c r="BX722" i="10"/>
  <c r="D229" i="10"/>
  <c r="B445" i="10" s="1"/>
  <c r="BZ730" i="10"/>
  <c r="L817" i="10"/>
  <c r="B436" i="10"/>
  <c r="C458" i="10"/>
  <c r="F514" i="10"/>
  <c r="H515" i="10"/>
  <c r="CE63" i="10"/>
  <c r="N815" i="10"/>
  <c r="T816" i="10"/>
  <c r="L612" i="10"/>
  <c r="L722" i="10"/>
  <c r="D181" i="10"/>
  <c r="D390" i="10"/>
  <c r="B441" i="10" s="1"/>
  <c r="F517" i="10"/>
  <c r="F523" i="10"/>
  <c r="L743" i="10"/>
  <c r="C439" i="10"/>
  <c r="M817" i="10"/>
  <c r="BO730" i="10"/>
  <c r="F545" i="10"/>
  <c r="F550" i="10"/>
  <c r="B440" i="10"/>
  <c r="F531" i="10"/>
  <c r="H815" i="10"/>
  <c r="F817" i="10"/>
  <c r="BS730" i="10"/>
  <c r="B429" i="10"/>
  <c r="X78" i="10"/>
  <c r="R755" i="10" s="1"/>
  <c r="BV730" i="10"/>
  <c r="I817" i="10"/>
  <c r="C815" i="10"/>
  <c r="M815" i="10"/>
  <c r="G815" i="10"/>
  <c r="I815" i="10"/>
  <c r="S815" i="10"/>
  <c r="K815" i="10"/>
  <c r="T815" i="10"/>
  <c r="D815" i="10"/>
  <c r="O815" i="10"/>
  <c r="F815" i="10"/>
  <c r="AE78" i="10" l="1"/>
  <c r="R762" i="10" s="1"/>
  <c r="D339" i="10"/>
  <c r="C482" i="10" s="1"/>
  <c r="L815" i="10"/>
  <c r="R736" i="10"/>
  <c r="H816" i="10"/>
  <c r="C431" i="10"/>
  <c r="F816" i="10"/>
  <c r="C429" i="10"/>
  <c r="N817" i="10"/>
  <c r="D368" i="10"/>
  <c r="D373" i="10" s="1"/>
  <c r="D391" i="10" s="1"/>
  <c r="D393" i="10" s="1"/>
  <c r="D396" i="10" s="1"/>
  <c r="B465" i="10"/>
  <c r="BI730" i="10"/>
  <c r="C816" i="10"/>
  <c r="H612" i="10"/>
  <c r="D816" i="10"/>
  <c r="BW48" i="10"/>
  <c r="BW62" i="10" s="1"/>
  <c r="BO48" i="10"/>
  <c r="BO62" i="10" s="1"/>
  <c r="BG48" i="10"/>
  <c r="BG62" i="10" s="1"/>
  <c r="C427" i="10"/>
  <c r="CB48" i="10"/>
  <c r="CB62" i="10" s="1"/>
  <c r="BT48" i="10"/>
  <c r="BT62" i="10" s="1"/>
  <c r="BL48" i="10"/>
  <c r="BL62" i="10" s="1"/>
  <c r="BK48" i="10"/>
  <c r="BK62" i="10" s="1"/>
  <c r="AT48" i="10"/>
  <c r="AT62" i="10" s="1"/>
  <c r="AD48" i="10"/>
  <c r="AD62" i="10" s="1"/>
  <c r="F48" i="10"/>
  <c r="F62" i="10" s="1"/>
  <c r="BU48" i="10"/>
  <c r="BU62" i="10" s="1"/>
  <c r="AS48" i="10"/>
  <c r="AS62" i="10" s="1"/>
  <c r="AC48" i="10"/>
  <c r="AC62" i="10" s="1"/>
  <c r="AR48" i="10"/>
  <c r="AR62" i="10" s="1"/>
  <c r="BN48" i="10"/>
  <c r="BN62" i="10" s="1"/>
  <c r="X48" i="10"/>
  <c r="X62" i="10" s="1"/>
  <c r="BA48" i="10"/>
  <c r="BA62" i="10" s="1"/>
  <c r="M48" i="10"/>
  <c r="M62" i="10" s="1"/>
  <c r="BS48" i="10"/>
  <c r="BS62" i="10" s="1"/>
  <c r="AB48" i="10"/>
  <c r="AB62" i="10" s="1"/>
  <c r="D48" i="10"/>
  <c r="D62" i="10" s="1"/>
  <c r="BY48" i="10"/>
  <c r="BY62" i="10" s="1"/>
  <c r="AN48" i="10"/>
  <c r="AN62" i="10" s="1"/>
  <c r="AZ48" i="10"/>
  <c r="AZ62" i="10" s="1"/>
  <c r="T48" i="10"/>
  <c r="T62" i="10" s="1"/>
  <c r="AV48" i="10"/>
  <c r="AV62" i="10" s="1"/>
  <c r="CC48" i="10"/>
  <c r="CC62" i="10" s="1"/>
  <c r="BR48" i="10"/>
  <c r="BR62" i="10" s="1"/>
  <c r="BH48" i="10"/>
  <c r="BH62" i="10" s="1"/>
  <c r="AY48" i="10"/>
  <c r="AY62" i="10" s="1"/>
  <c r="AQ48" i="10"/>
  <c r="AQ62" i="10" s="1"/>
  <c r="AI48" i="10"/>
  <c r="AI62" i="10" s="1"/>
  <c r="AA48" i="10"/>
  <c r="AA62" i="10" s="1"/>
  <c r="S48" i="10"/>
  <c r="S62" i="10" s="1"/>
  <c r="K48" i="10"/>
  <c r="K62" i="10" s="1"/>
  <c r="C48" i="10"/>
  <c r="BP48" i="10"/>
  <c r="BP62" i="10" s="1"/>
  <c r="AW48" i="10"/>
  <c r="AW62" i="10" s="1"/>
  <c r="AG48" i="10"/>
  <c r="AG62" i="10" s="1"/>
  <c r="H48" i="10"/>
  <c r="H62" i="10" s="1"/>
  <c r="CA48" i="10"/>
  <c r="CA62" i="10" s="1"/>
  <c r="BQ48" i="10"/>
  <c r="BQ62" i="10" s="1"/>
  <c r="BF48" i="10"/>
  <c r="BF62" i="10" s="1"/>
  <c r="AX48" i="10"/>
  <c r="AX62" i="10" s="1"/>
  <c r="AP48" i="10"/>
  <c r="AP62" i="10" s="1"/>
  <c r="AH48" i="10"/>
  <c r="AH62" i="10" s="1"/>
  <c r="Z48" i="10"/>
  <c r="Z62" i="10" s="1"/>
  <c r="R48" i="10"/>
  <c r="R62" i="10" s="1"/>
  <c r="J48" i="10"/>
  <c r="J62" i="10" s="1"/>
  <c r="BE48" i="10"/>
  <c r="BE62" i="10" s="1"/>
  <c r="Y48" i="10"/>
  <c r="Y62" i="10" s="1"/>
  <c r="Q48" i="10"/>
  <c r="Q62" i="10" s="1"/>
  <c r="BZ48" i="10"/>
  <c r="BZ62" i="10" s="1"/>
  <c r="AO48" i="10"/>
  <c r="AO62" i="10" s="1"/>
  <c r="I48" i="10"/>
  <c r="I62" i="10" s="1"/>
  <c r="BD48" i="10"/>
  <c r="BD62" i="10" s="1"/>
  <c r="P48" i="10"/>
  <c r="P62" i="10" s="1"/>
  <c r="BX48" i="10"/>
  <c r="BX62" i="10" s="1"/>
  <c r="BM48" i="10"/>
  <c r="BM62" i="10" s="1"/>
  <c r="BC48" i="10"/>
  <c r="BC62" i="10" s="1"/>
  <c r="AU48" i="10"/>
  <c r="AU62" i="10" s="1"/>
  <c r="AM48" i="10"/>
  <c r="AM62" i="10" s="1"/>
  <c r="AE48" i="10"/>
  <c r="AE62" i="10" s="1"/>
  <c r="W48" i="10"/>
  <c r="W62" i="10" s="1"/>
  <c r="O48" i="10"/>
  <c r="O62" i="10" s="1"/>
  <c r="G48" i="10"/>
  <c r="G62" i="10" s="1"/>
  <c r="BV48" i="10"/>
  <c r="BV62" i="10" s="1"/>
  <c r="BB48" i="10"/>
  <c r="BB62" i="10" s="1"/>
  <c r="AL48" i="10"/>
  <c r="AL62" i="10" s="1"/>
  <c r="V48" i="10"/>
  <c r="V62" i="10" s="1"/>
  <c r="N48" i="10"/>
  <c r="N62" i="10" s="1"/>
  <c r="BJ48" i="10"/>
  <c r="BJ62" i="10" s="1"/>
  <c r="AK48" i="10"/>
  <c r="AK62" i="10" s="1"/>
  <c r="U48" i="10"/>
  <c r="U62" i="10" s="1"/>
  <c r="E48" i="10"/>
  <c r="E62" i="10" s="1"/>
  <c r="BI48" i="10"/>
  <c r="BI62" i="10" s="1"/>
  <c r="AJ48" i="10"/>
  <c r="AJ62" i="10" s="1"/>
  <c r="L48" i="10"/>
  <c r="L62" i="10" s="1"/>
  <c r="AF48" i="10"/>
  <c r="AF62" i="10" s="1"/>
  <c r="AK78" i="10"/>
  <c r="R768" i="10" s="1"/>
  <c r="P816" i="10"/>
  <c r="BB78" i="10"/>
  <c r="R785" i="10" s="1"/>
  <c r="AL78" i="10"/>
  <c r="R769" i="10" s="1"/>
  <c r="U78" i="10"/>
  <c r="R752" i="10" s="1"/>
  <c r="S78" i="10"/>
  <c r="R750" i="10" s="1"/>
  <c r="BE52" i="10"/>
  <c r="BE67" i="10" s="1"/>
  <c r="J788" i="10" s="1"/>
  <c r="AG78" i="10"/>
  <c r="R764" i="10" s="1"/>
  <c r="L78" i="10"/>
  <c r="R743" i="10" s="1"/>
  <c r="AL52" i="10"/>
  <c r="AL67" i="10" s="1"/>
  <c r="J769" i="10" s="1"/>
  <c r="AB78" i="10"/>
  <c r="R759" i="10" s="1"/>
  <c r="AZ52" i="10"/>
  <c r="AZ67" i="10" s="1"/>
  <c r="J783" i="10" s="1"/>
  <c r="CF76" i="10"/>
  <c r="Y52" i="10" s="1"/>
  <c r="Y67" i="10" s="1"/>
  <c r="J756" i="10" s="1"/>
  <c r="BT52" i="10"/>
  <c r="BT67" i="10" s="1"/>
  <c r="J803" i="10" s="1"/>
  <c r="BV78" i="10"/>
  <c r="R805" i="10" s="1"/>
  <c r="AA52" i="10"/>
  <c r="AA67" i="10" s="1"/>
  <c r="J758" i="10" s="1"/>
  <c r="AJ78" i="10"/>
  <c r="R767" i="10" s="1"/>
  <c r="BY78" i="10"/>
  <c r="R808" i="10" s="1"/>
  <c r="G52" i="10"/>
  <c r="G67" i="10" s="1"/>
  <c r="J738" i="10" s="1"/>
  <c r="D612" i="10"/>
  <c r="Y78" i="10"/>
  <c r="R756" i="10" s="1"/>
  <c r="BO52" i="10"/>
  <c r="BO67" i="10" s="1"/>
  <c r="J798" i="10" s="1"/>
  <c r="AS52" i="10"/>
  <c r="AS67" i="10" s="1"/>
  <c r="J776" i="10" s="1"/>
  <c r="W52" i="10"/>
  <c r="W67" i="10" s="1"/>
  <c r="J754" i="10" s="1"/>
  <c r="P78" i="10"/>
  <c r="R747" i="10" s="1"/>
  <c r="D435" i="10"/>
  <c r="D438" i="10"/>
  <c r="D242" i="10"/>
  <c r="B448" i="10" s="1"/>
  <c r="D292" i="10"/>
  <c r="D341" i="10" s="1"/>
  <c r="C481" i="10" s="1"/>
  <c r="W78" i="10"/>
  <c r="R754" i="10" s="1"/>
  <c r="N816" i="10"/>
  <c r="K612" i="10"/>
  <c r="C465" i="10"/>
  <c r="X730" i="10"/>
  <c r="B478" i="10"/>
  <c r="D277" i="10"/>
  <c r="BG52" i="10" l="1"/>
  <c r="BG67" i="10" s="1"/>
  <c r="J790" i="10" s="1"/>
  <c r="BJ52" i="10"/>
  <c r="BJ67" i="10" s="1"/>
  <c r="J793" i="10" s="1"/>
  <c r="D52" i="10"/>
  <c r="D67" i="10" s="1"/>
  <c r="J735" i="10" s="1"/>
  <c r="BC52" i="10"/>
  <c r="BC67" i="10" s="1"/>
  <c r="J786" i="10" s="1"/>
  <c r="BY52" i="10"/>
  <c r="BY67" i="10" s="1"/>
  <c r="J808" i="10" s="1"/>
  <c r="AB52" i="10"/>
  <c r="AB67" i="10" s="1"/>
  <c r="J759" i="10" s="1"/>
  <c r="BQ52" i="10"/>
  <c r="BQ67" i="10" s="1"/>
  <c r="J800" i="10" s="1"/>
  <c r="AE52" i="10"/>
  <c r="AE67" i="10" s="1"/>
  <c r="J762" i="10" s="1"/>
  <c r="BA52" i="10"/>
  <c r="BA67" i="10" s="1"/>
  <c r="J784" i="10" s="1"/>
  <c r="BR52" i="10"/>
  <c r="BR67" i="10" s="1"/>
  <c r="J801" i="10" s="1"/>
  <c r="BU52" i="10"/>
  <c r="BU67" i="10" s="1"/>
  <c r="J804" i="10" s="1"/>
  <c r="U52" i="10"/>
  <c r="U67" i="10" s="1"/>
  <c r="J752" i="10" s="1"/>
  <c r="Z52" i="10"/>
  <c r="Z67" i="10" s="1"/>
  <c r="J757" i="10" s="1"/>
  <c r="BK52" i="10"/>
  <c r="BK67" i="10" s="1"/>
  <c r="J794" i="10" s="1"/>
  <c r="C52" i="10"/>
  <c r="C67" i="10" s="1"/>
  <c r="AJ52" i="10"/>
  <c r="AJ67" i="10" s="1"/>
  <c r="J767" i="10" s="1"/>
  <c r="AX52" i="10"/>
  <c r="AX67" i="10" s="1"/>
  <c r="J781" i="10" s="1"/>
  <c r="S52" i="10"/>
  <c r="S67" i="10" s="1"/>
  <c r="J750" i="10" s="1"/>
  <c r="AP52" i="10"/>
  <c r="AP67" i="10" s="1"/>
  <c r="J773" i="10" s="1"/>
  <c r="BM52" i="10"/>
  <c r="BM67" i="10" s="1"/>
  <c r="J796" i="10" s="1"/>
  <c r="L52" i="10"/>
  <c r="L67" i="10" s="1"/>
  <c r="J743" i="10" s="1"/>
  <c r="AF52" i="10"/>
  <c r="AF67" i="10" s="1"/>
  <c r="J763" i="10" s="1"/>
  <c r="P52" i="10"/>
  <c r="P67" i="10" s="1"/>
  <c r="J747" i="10" s="1"/>
  <c r="BH52" i="10"/>
  <c r="BH67" i="10" s="1"/>
  <c r="J791" i="10" s="1"/>
  <c r="AC52" i="10"/>
  <c r="AC67" i="10" s="1"/>
  <c r="J760" i="10" s="1"/>
  <c r="K52" i="10"/>
  <c r="K67" i="10" s="1"/>
  <c r="J742" i="10" s="1"/>
  <c r="F52" i="10"/>
  <c r="F67" i="10" s="1"/>
  <c r="J737" i="10" s="1"/>
  <c r="I52" i="10"/>
  <c r="I67" i="10" s="1"/>
  <c r="J740" i="10" s="1"/>
  <c r="J52" i="10"/>
  <c r="J67" i="10" s="1"/>
  <c r="J741" i="10" s="1"/>
  <c r="M52" i="10"/>
  <c r="M67" i="10" s="1"/>
  <c r="J744" i="10" s="1"/>
  <c r="AQ52" i="10"/>
  <c r="AQ67" i="10" s="1"/>
  <c r="J774" i="10" s="1"/>
  <c r="X52" i="10"/>
  <c r="X67" i="10" s="1"/>
  <c r="J755" i="10" s="1"/>
  <c r="AV52" i="10"/>
  <c r="AV67" i="10" s="1"/>
  <c r="J779" i="10" s="1"/>
  <c r="BL52" i="10"/>
  <c r="BL67" i="10" s="1"/>
  <c r="J795" i="10" s="1"/>
  <c r="BN52" i="10"/>
  <c r="BN67" i="10" s="1"/>
  <c r="J797" i="10" s="1"/>
  <c r="AM52" i="10"/>
  <c r="AM67" i="10" s="1"/>
  <c r="J770" i="10" s="1"/>
  <c r="AY52" i="10"/>
  <c r="AY67" i="10" s="1"/>
  <c r="J782" i="10" s="1"/>
  <c r="V52" i="10"/>
  <c r="V67" i="10" s="1"/>
  <c r="J753" i="10" s="1"/>
  <c r="AG52" i="10"/>
  <c r="AG67" i="10" s="1"/>
  <c r="J764" i="10" s="1"/>
  <c r="BW52" i="10"/>
  <c r="BW67" i="10" s="1"/>
  <c r="J806" i="10" s="1"/>
  <c r="AI52" i="10"/>
  <c r="AI67" i="10" s="1"/>
  <c r="J766" i="10" s="1"/>
  <c r="CB52" i="10"/>
  <c r="CB67" i="10" s="1"/>
  <c r="J811" i="10" s="1"/>
  <c r="BI52" i="10"/>
  <c r="BI67" i="10" s="1"/>
  <c r="J792" i="10" s="1"/>
  <c r="T52" i="10"/>
  <c r="T67" i="10" s="1"/>
  <c r="J751" i="10" s="1"/>
  <c r="AD52" i="10"/>
  <c r="AD67" i="10" s="1"/>
  <c r="J761" i="10" s="1"/>
  <c r="AO52" i="10"/>
  <c r="AO67" i="10" s="1"/>
  <c r="J772" i="10" s="1"/>
  <c r="E792" i="10"/>
  <c r="BI71" i="10"/>
  <c r="E786" i="10"/>
  <c r="BC71" i="10"/>
  <c r="C62" i="10"/>
  <c r="CE48" i="10"/>
  <c r="E805" i="10"/>
  <c r="BV71" i="10"/>
  <c r="E756" i="10"/>
  <c r="Y71" i="10"/>
  <c r="E742" i="10"/>
  <c r="K71" i="10"/>
  <c r="E812" i="10"/>
  <c r="R52" i="10"/>
  <c r="R67" i="10" s="1"/>
  <c r="J749" i="10" s="1"/>
  <c r="E52" i="10"/>
  <c r="E67" i="10" s="1"/>
  <c r="J736" i="10" s="1"/>
  <c r="AN52" i="10"/>
  <c r="AN67" i="10" s="1"/>
  <c r="J771" i="10" s="1"/>
  <c r="CA52" i="10"/>
  <c r="CA67" i="10" s="1"/>
  <c r="J810" i="10" s="1"/>
  <c r="BV52" i="10"/>
  <c r="BV67" i="10" s="1"/>
  <c r="J805" i="10" s="1"/>
  <c r="N52" i="10"/>
  <c r="N67" i="10" s="1"/>
  <c r="J745" i="10" s="1"/>
  <c r="BZ52" i="10"/>
  <c r="BZ67" i="10" s="1"/>
  <c r="J809" i="10" s="1"/>
  <c r="AW52" i="10"/>
  <c r="AW67" i="10" s="1"/>
  <c r="J780" i="10" s="1"/>
  <c r="E752" i="10"/>
  <c r="U71" i="10"/>
  <c r="E738" i="10"/>
  <c r="G71" i="10"/>
  <c r="E807" i="10"/>
  <c r="E788" i="10"/>
  <c r="BE71" i="10"/>
  <c r="E800" i="10"/>
  <c r="E750" i="10"/>
  <c r="S71" i="10"/>
  <c r="E779" i="10"/>
  <c r="AV71" i="10"/>
  <c r="E744" i="10"/>
  <c r="E737" i="10"/>
  <c r="F71" i="10"/>
  <c r="E790" i="10"/>
  <c r="BG71" i="10"/>
  <c r="E746" i="10"/>
  <c r="O71" i="10"/>
  <c r="E758" i="10"/>
  <c r="AA71" i="10"/>
  <c r="E798" i="10"/>
  <c r="BO71" i="10"/>
  <c r="E793" i="10"/>
  <c r="BJ71" i="10"/>
  <c r="E754" i="10"/>
  <c r="W71" i="10"/>
  <c r="E787" i="10"/>
  <c r="E749" i="10"/>
  <c r="E739" i="10"/>
  <c r="H71" i="10"/>
  <c r="E766" i="10"/>
  <c r="AI71" i="10"/>
  <c r="E783" i="10"/>
  <c r="AZ71" i="10"/>
  <c r="E755" i="10"/>
  <c r="E777" i="10"/>
  <c r="E806" i="10"/>
  <c r="BW71" i="10"/>
  <c r="E747" i="10"/>
  <c r="E751" i="10"/>
  <c r="T71" i="10"/>
  <c r="E741" i="10"/>
  <c r="J71" i="10"/>
  <c r="E761" i="10"/>
  <c r="AD71" i="10"/>
  <c r="E763" i="10"/>
  <c r="E762" i="10"/>
  <c r="E764" i="10"/>
  <c r="E797" i="10"/>
  <c r="BN71" i="10"/>
  <c r="O52" i="10"/>
  <c r="O67" i="10" s="1"/>
  <c r="J746" i="10" s="1"/>
  <c r="AR52" i="10"/>
  <c r="AR67" i="10" s="1"/>
  <c r="J775" i="10" s="1"/>
  <c r="AT52" i="10"/>
  <c r="AT67" i="10" s="1"/>
  <c r="J777" i="10" s="1"/>
  <c r="Q52" i="10"/>
  <c r="Q67" i="10" s="1"/>
  <c r="J748" i="10" s="1"/>
  <c r="CC52" i="10"/>
  <c r="CC67" i="10" s="1"/>
  <c r="J812" i="10" s="1"/>
  <c r="E743" i="10"/>
  <c r="L71" i="10"/>
  <c r="E753" i="10"/>
  <c r="E770" i="10"/>
  <c r="AM71" i="10"/>
  <c r="E772" i="10"/>
  <c r="E765" i="10"/>
  <c r="E780" i="10"/>
  <c r="E782" i="10"/>
  <c r="AY71" i="10"/>
  <c r="E808" i="10"/>
  <c r="BY71" i="10"/>
  <c r="E775" i="10"/>
  <c r="E795" i="10"/>
  <c r="BL71" i="10"/>
  <c r="E768" i="10"/>
  <c r="AK71" i="10"/>
  <c r="E810" i="10"/>
  <c r="E784" i="10"/>
  <c r="BA71" i="10"/>
  <c r="E745" i="10"/>
  <c r="E740" i="10"/>
  <c r="I71" i="10"/>
  <c r="E757" i="10"/>
  <c r="Z71" i="10"/>
  <c r="E774" i="10"/>
  <c r="E771" i="10"/>
  <c r="E794" i="10"/>
  <c r="BK71" i="10"/>
  <c r="BF52" i="10"/>
  <c r="BF67" i="10" s="1"/>
  <c r="J789" i="10" s="1"/>
  <c r="AH52" i="10"/>
  <c r="AH67" i="10" s="1"/>
  <c r="J765" i="10" s="1"/>
  <c r="BD52" i="10"/>
  <c r="BD67" i="10" s="1"/>
  <c r="J787" i="10" s="1"/>
  <c r="AK52" i="10"/>
  <c r="AK67" i="10" s="1"/>
  <c r="J768" i="10" s="1"/>
  <c r="BS52" i="10"/>
  <c r="BS67" i="10" s="1"/>
  <c r="J802" i="10" s="1"/>
  <c r="H52" i="10"/>
  <c r="H67" i="10" s="1"/>
  <c r="J739" i="10" s="1"/>
  <c r="AU52" i="10"/>
  <c r="AU67" i="10" s="1"/>
  <c r="J778" i="10" s="1"/>
  <c r="BP52" i="10"/>
  <c r="BP67" i="10" s="1"/>
  <c r="J799" i="10" s="1"/>
  <c r="BX52" i="10"/>
  <c r="BX67" i="10" s="1"/>
  <c r="J807" i="10" s="1"/>
  <c r="BB52" i="10"/>
  <c r="BB67" i="10" s="1"/>
  <c r="J785" i="10" s="1"/>
  <c r="E767" i="10"/>
  <c r="E769" i="10"/>
  <c r="AL71" i="10"/>
  <c r="E778" i="10"/>
  <c r="AU71" i="10"/>
  <c r="E809" i="10"/>
  <c r="BZ71" i="10"/>
  <c r="E773" i="10"/>
  <c r="AP71" i="10"/>
  <c r="E799" i="10"/>
  <c r="E791" i="10"/>
  <c r="E735" i="10"/>
  <c r="D71" i="10"/>
  <c r="E760" i="10"/>
  <c r="AC71" i="10"/>
  <c r="E803" i="10"/>
  <c r="BT71" i="10"/>
  <c r="E748" i="10"/>
  <c r="E801" i="10"/>
  <c r="BR71" i="10"/>
  <c r="E759" i="10"/>
  <c r="AB71" i="10"/>
  <c r="E776" i="10"/>
  <c r="AS71" i="10"/>
  <c r="E811" i="10"/>
  <c r="CB71" i="10"/>
  <c r="CE78" i="10"/>
  <c r="E785" i="10"/>
  <c r="E781" i="10"/>
  <c r="AX71" i="10"/>
  <c r="E736" i="10"/>
  <c r="E796" i="10"/>
  <c r="BM71" i="10"/>
  <c r="E789" i="10"/>
  <c r="E802" i="10"/>
  <c r="BS71" i="10"/>
  <c r="E804" i="10"/>
  <c r="BU71" i="10"/>
  <c r="R815" i="10"/>
  <c r="BQ71" i="10" l="1"/>
  <c r="AO71" i="10"/>
  <c r="X71" i="10"/>
  <c r="R71" i="10"/>
  <c r="BB71" i="10"/>
  <c r="C632" i="10" s="1"/>
  <c r="AN71" i="10"/>
  <c r="AE71" i="10"/>
  <c r="C696" i="10" s="1"/>
  <c r="M71" i="10"/>
  <c r="C506" i="10" s="1"/>
  <c r="G506" i="10" s="1"/>
  <c r="CC71" i="10"/>
  <c r="AG71" i="10"/>
  <c r="BH71" i="10"/>
  <c r="AQ71" i="10"/>
  <c r="AF71" i="10"/>
  <c r="C697" i="10" s="1"/>
  <c r="P71" i="10"/>
  <c r="AJ71" i="10"/>
  <c r="C701" i="10" s="1"/>
  <c r="V71" i="10"/>
  <c r="C515" i="10" s="1"/>
  <c r="G515" i="10" s="1"/>
  <c r="R816" i="10"/>
  <c r="I612" i="10"/>
  <c r="C689" i="10"/>
  <c r="C517" i="10"/>
  <c r="C683" i="10"/>
  <c r="C511" i="10"/>
  <c r="G511" i="10" s="1"/>
  <c r="C562" i="10"/>
  <c r="C623" i="10"/>
  <c r="C634" i="10"/>
  <c r="C554" i="10"/>
  <c r="Q71" i="10"/>
  <c r="C635" i="10"/>
  <c r="C556" i="10"/>
  <c r="C702" i="10"/>
  <c r="C530" i="10"/>
  <c r="C641" i="10"/>
  <c r="C566" i="10"/>
  <c r="E71" i="10"/>
  <c r="C681" i="10"/>
  <c r="C509" i="10"/>
  <c r="C545" i="10"/>
  <c r="C628" i="10"/>
  <c r="BD71" i="10"/>
  <c r="C692" i="10"/>
  <c r="C520" i="10"/>
  <c r="G520" i="10" s="1"/>
  <c r="C614" i="10"/>
  <c r="C550" i="10"/>
  <c r="CE52" i="10"/>
  <c r="C642" i="10"/>
  <c r="C567" i="10"/>
  <c r="C710" i="10"/>
  <c r="C538" i="10"/>
  <c r="G538" i="10" s="1"/>
  <c r="C640" i="10"/>
  <c r="C565" i="10"/>
  <c r="BP71" i="10"/>
  <c r="C703" i="10"/>
  <c r="C531" i="10"/>
  <c r="C705" i="10"/>
  <c r="C533" i="10"/>
  <c r="G533" i="10" s="1"/>
  <c r="N71" i="10"/>
  <c r="C637" i="10"/>
  <c r="C557" i="10"/>
  <c r="AW71" i="10"/>
  <c r="C687" i="10"/>
  <c r="J734" i="10"/>
  <c r="J815" i="10" s="1"/>
  <c r="CE67" i="10"/>
  <c r="C524" i="10"/>
  <c r="C686" i="10"/>
  <c r="C514" i="10"/>
  <c r="C638" i="10"/>
  <c r="C558" i="10"/>
  <c r="C712" i="10"/>
  <c r="C540" i="10"/>
  <c r="G540" i="10" s="1"/>
  <c r="C674" i="10"/>
  <c r="C502" i="10"/>
  <c r="G502" i="10" s="1"/>
  <c r="C532" i="10"/>
  <c r="C704" i="10"/>
  <c r="C564" i="10"/>
  <c r="C639" i="10"/>
  <c r="C619" i="10"/>
  <c r="C559" i="10"/>
  <c r="C695" i="10"/>
  <c r="C523" i="10"/>
  <c r="G523" i="10" s="1"/>
  <c r="C568" i="10"/>
  <c r="C643" i="10"/>
  <c r="C700" i="10"/>
  <c r="C528" i="10"/>
  <c r="G528" i="10" s="1"/>
  <c r="C688" i="10"/>
  <c r="C516" i="10"/>
  <c r="C508" i="10"/>
  <c r="G508" i="10" s="1"/>
  <c r="C680" i="10"/>
  <c r="C713" i="10"/>
  <c r="C541" i="10"/>
  <c r="BX71" i="10"/>
  <c r="C574" i="10"/>
  <c r="C620" i="10"/>
  <c r="C693" i="10"/>
  <c r="C521" i="10"/>
  <c r="C694" i="10"/>
  <c r="C522" i="10"/>
  <c r="G522" i="10" s="1"/>
  <c r="C707" i="10"/>
  <c r="C535" i="10"/>
  <c r="C708" i="10"/>
  <c r="C536" i="10"/>
  <c r="G536" i="10" s="1"/>
  <c r="C630" i="10"/>
  <c r="C546" i="10"/>
  <c r="G546" i="10" s="1"/>
  <c r="AR71" i="10"/>
  <c r="AH71" i="10"/>
  <c r="C677" i="10"/>
  <c r="C505" i="10"/>
  <c r="E734" i="10"/>
  <c r="E815" i="10" s="1"/>
  <c r="C71" i="10"/>
  <c r="CE62" i="10"/>
  <c r="C685" i="10"/>
  <c r="C513" i="10"/>
  <c r="G513" i="10" s="1"/>
  <c r="C560" i="10"/>
  <c r="C627" i="10"/>
  <c r="C671" i="10"/>
  <c r="C499" i="10"/>
  <c r="G499" i="10" s="1"/>
  <c r="C690" i="10"/>
  <c r="C518" i="10"/>
  <c r="C636" i="10"/>
  <c r="C553" i="10"/>
  <c r="C616" i="10"/>
  <c r="C543" i="10"/>
  <c r="BF71" i="10"/>
  <c r="C698" i="10"/>
  <c r="C526" i="10"/>
  <c r="C675" i="10"/>
  <c r="C503" i="10"/>
  <c r="G503" i="10" s="1"/>
  <c r="AT71" i="10"/>
  <c r="C673" i="10"/>
  <c r="C501" i="10"/>
  <c r="G501" i="10" s="1"/>
  <c r="C555" i="10"/>
  <c r="C617" i="10"/>
  <c r="C552" i="10"/>
  <c r="C618" i="10"/>
  <c r="C684" i="10"/>
  <c r="C512" i="10"/>
  <c r="C500" i="10"/>
  <c r="G500" i="10" s="1"/>
  <c r="C672" i="10"/>
  <c r="C676" i="10"/>
  <c r="C504" i="10"/>
  <c r="G504" i="10" s="1"/>
  <c r="C633" i="10"/>
  <c r="C548" i="10"/>
  <c r="C563" i="10"/>
  <c r="C626" i="10"/>
  <c r="C669" i="10"/>
  <c r="C497" i="10"/>
  <c r="G497" i="10" s="1"/>
  <c r="C571" i="10"/>
  <c r="C646" i="10"/>
  <c r="C691" i="10"/>
  <c r="C519" i="10"/>
  <c r="G519" i="10" s="1"/>
  <c r="CA71" i="10"/>
  <c r="C570" i="10"/>
  <c r="C645" i="10"/>
  <c r="C706" i="10"/>
  <c r="C534" i="10"/>
  <c r="G534" i="10" s="1"/>
  <c r="C573" i="10"/>
  <c r="C622" i="10"/>
  <c r="C625" i="10"/>
  <c r="C544" i="10"/>
  <c r="C547" i="10" l="1"/>
  <c r="C678" i="10"/>
  <c r="C525" i="10"/>
  <c r="G525" i="10" s="1"/>
  <c r="C529" i="10"/>
  <c r="C670" i="10"/>
  <c r="C498" i="10"/>
  <c r="C711" i="10"/>
  <c r="C539" i="10"/>
  <c r="G539" i="10" s="1"/>
  <c r="G544" i="10"/>
  <c r="H544" i="10"/>
  <c r="C572" i="10"/>
  <c r="C647" i="10"/>
  <c r="C699" i="10"/>
  <c r="C527" i="10"/>
  <c r="G527" i="10" s="1"/>
  <c r="G535" i="10"/>
  <c r="H535" i="10" s="1"/>
  <c r="C644" i="10"/>
  <c r="C569" i="10"/>
  <c r="C709" i="10"/>
  <c r="C537" i="10"/>
  <c r="G537" i="10" s="1"/>
  <c r="G514" i="10"/>
  <c r="H514" i="10"/>
  <c r="C631" i="10"/>
  <c r="C542" i="10"/>
  <c r="C561" i="10"/>
  <c r="C621" i="10"/>
  <c r="G550" i="10"/>
  <c r="H550" i="10"/>
  <c r="G545" i="10"/>
  <c r="H545" i="10"/>
  <c r="G530" i="10"/>
  <c r="H530" i="10"/>
  <c r="D615" i="10"/>
  <c r="G512" i="10"/>
  <c r="H512" i="10"/>
  <c r="H526" i="10"/>
  <c r="G526" i="10"/>
  <c r="G532" i="10"/>
  <c r="H532" i="10"/>
  <c r="G509" i="10"/>
  <c r="H509" i="10" s="1"/>
  <c r="G518" i="10"/>
  <c r="H518" i="10"/>
  <c r="E816" i="10"/>
  <c r="C428" i="10"/>
  <c r="CE71" i="10"/>
  <c r="C716" i="10" s="1"/>
  <c r="G524" i="10"/>
  <c r="H524" i="10" s="1"/>
  <c r="C629" i="10"/>
  <c r="C551" i="10"/>
  <c r="G529" i="10"/>
  <c r="H529" i="10" s="1"/>
  <c r="C668" i="10"/>
  <c r="C496" i="10"/>
  <c r="G496" i="10" s="1"/>
  <c r="G521" i="10"/>
  <c r="H521" i="10"/>
  <c r="C679" i="10"/>
  <c r="C507" i="10"/>
  <c r="G507" i="10" s="1"/>
  <c r="G517" i="10"/>
  <c r="H517" i="10"/>
  <c r="G516" i="10"/>
  <c r="H516" i="10"/>
  <c r="J816" i="10"/>
  <c r="C433" i="10"/>
  <c r="C682" i="10"/>
  <c r="C510" i="10"/>
  <c r="G510" i="10" s="1"/>
  <c r="G505" i="10"/>
  <c r="H505" i="10" s="1"/>
  <c r="G531" i="10"/>
  <c r="H531" i="10" s="1"/>
  <c r="C624" i="10"/>
  <c r="C549" i="10"/>
  <c r="C648" i="10" l="1"/>
  <c r="M716" i="10" s="1"/>
  <c r="Y816" i="10" s="1"/>
  <c r="C715" i="10"/>
  <c r="C441" i="10"/>
  <c r="G498" i="10"/>
  <c r="H498" i="10"/>
  <c r="D712" i="10"/>
  <c r="D704" i="10"/>
  <c r="D696" i="10"/>
  <c r="D711" i="10"/>
  <c r="D703" i="10"/>
  <c r="D695" i="10"/>
  <c r="D687" i="10"/>
  <c r="D708" i="10"/>
  <c r="D700" i="10"/>
  <c r="D713" i="10"/>
  <c r="D716" i="10"/>
  <c r="D707" i="10"/>
  <c r="D699" i="10"/>
  <c r="D691" i="10"/>
  <c r="D709" i="10"/>
  <c r="D698" i="10"/>
  <c r="D690" i="10"/>
  <c r="D684" i="10"/>
  <c r="D676" i="10"/>
  <c r="D668" i="10"/>
  <c r="D628" i="10"/>
  <c r="D622" i="10"/>
  <c r="D618" i="10"/>
  <c r="D702" i="10"/>
  <c r="D692" i="10"/>
  <c r="D686" i="10"/>
  <c r="D678" i="10"/>
  <c r="D670" i="10"/>
  <c r="D647" i="10"/>
  <c r="D646" i="10"/>
  <c r="D645" i="10"/>
  <c r="D629" i="10"/>
  <c r="D710" i="10"/>
  <c r="D680" i="10"/>
  <c r="D672" i="10"/>
  <c r="D620" i="10"/>
  <c r="D616" i="10"/>
  <c r="D701" i="10"/>
  <c r="D694" i="10"/>
  <c r="D681" i="10"/>
  <c r="D674" i="10"/>
  <c r="D639" i="10"/>
  <c r="D631" i="10"/>
  <c r="D627" i="10"/>
  <c r="D625" i="10"/>
  <c r="D621" i="10"/>
  <c r="D682" i="10"/>
  <c r="D675" i="10"/>
  <c r="D642" i="10"/>
  <c r="D634" i="10"/>
  <c r="D705" i="10"/>
  <c r="D688" i="10"/>
  <c r="D683" i="10"/>
  <c r="D669" i="10"/>
  <c r="D637" i="10"/>
  <c r="D693" i="10"/>
  <c r="D677" i="10"/>
  <c r="D640" i="10"/>
  <c r="D632" i="10"/>
  <c r="D624" i="10"/>
  <c r="D619" i="10"/>
  <c r="D685" i="10"/>
  <c r="D643" i="10"/>
  <c r="D635" i="10"/>
  <c r="D626" i="10"/>
  <c r="D697" i="10"/>
  <c r="D689" i="10"/>
  <c r="D671" i="10"/>
  <c r="D638" i="10"/>
  <c r="D630" i="10"/>
  <c r="D623" i="10"/>
  <c r="D706" i="10"/>
  <c r="D673" i="10"/>
  <c r="D644" i="10"/>
  <c r="D636" i="10"/>
  <c r="D617" i="10"/>
  <c r="D641" i="10"/>
  <c r="D633" i="10"/>
  <c r="D679" i="10"/>
  <c r="E612" i="10" l="1"/>
  <c r="D715" i="10"/>
  <c r="E623" i="10"/>
  <c r="E709" i="10" l="1"/>
  <c r="E701" i="10"/>
  <c r="E693" i="10"/>
  <c r="E708" i="10"/>
  <c r="E700" i="10"/>
  <c r="E692" i="10"/>
  <c r="E713" i="10"/>
  <c r="E705" i="10"/>
  <c r="E697" i="10"/>
  <c r="E710" i="10"/>
  <c r="E712" i="10"/>
  <c r="E704" i="10"/>
  <c r="E696" i="10"/>
  <c r="E688" i="10"/>
  <c r="E707" i="10"/>
  <c r="E695" i="10"/>
  <c r="E681" i="10"/>
  <c r="E673" i="10"/>
  <c r="E699" i="10"/>
  <c r="E683" i="10"/>
  <c r="E67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706" i="10"/>
  <c r="E703" i="10"/>
  <c r="E685" i="10"/>
  <c r="E677" i="10"/>
  <c r="E669" i="10"/>
  <c r="E627" i="10"/>
  <c r="E690" i="10"/>
  <c r="E682" i="10"/>
  <c r="E668" i="10"/>
  <c r="E645" i="10"/>
  <c r="E629" i="10"/>
  <c r="E698" i="10"/>
  <c r="E676" i="10"/>
  <c r="E624" i="10"/>
  <c r="E711" i="10"/>
  <c r="E684" i="10"/>
  <c r="E670" i="10"/>
  <c r="E626" i="10"/>
  <c r="E702" i="10"/>
  <c r="E691" i="10"/>
  <c r="E689" i="10"/>
  <c r="E678" i="10"/>
  <c r="E671" i="10"/>
  <c r="E646" i="10"/>
  <c r="E716" i="10"/>
  <c r="E686" i="10"/>
  <c r="E679" i="10"/>
  <c r="E672" i="10"/>
  <c r="E628" i="10"/>
  <c r="E694" i="10"/>
  <c r="E687" i="10"/>
  <c r="E674" i="10"/>
  <c r="E647" i="10"/>
  <c r="E680" i="10"/>
  <c r="E625" i="10"/>
  <c r="E715" i="10" l="1"/>
  <c r="F624" i="10"/>
  <c r="F706" i="10" l="1"/>
  <c r="F698" i="10"/>
  <c r="F690" i="10"/>
  <c r="F711" i="10"/>
  <c r="F713" i="10"/>
  <c r="F705" i="10"/>
  <c r="F697" i="10"/>
  <c r="F689" i="10"/>
  <c r="F710" i="10"/>
  <c r="F702" i="10"/>
  <c r="F694" i="10"/>
  <c r="F716" i="10"/>
  <c r="F707" i="10"/>
  <c r="F709" i="10"/>
  <c r="F701" i="10"/>
  <c r="F693" i="10"/>
  <c r="F691" i="10"/>
  <c r="F686" i="10"/>
  <c r="F678" i="10"/>
  <c r="F670" i="10"/>
  <c r="F647" i="10"/>
  <c r="F646" i="10"/>
  <c r="F645" i="10"/>
  <c r="F629" i="10"/>
  <c r="F626" i="10"/>
  <c r="F696" i="10"/>
  <c r="F680" i="10"/>
  <c r="F672" i="10"/>
  <c r="F708" i="10"/>
  <c r="F700" i="10"/>
  <c r="F682" i="10"/>
  <c r="F674" i="10"/>
  <c r="F703" i="10"/>
  <c r="F675" i="10"/>
  <c r="F668" i="10"/>
  <c r="F642" i="10"/>
  <c r="F634" i="10"/>
  <c r="F712" i="10"/>
  <c r="F688" i="10"/>
  <c r="F683" i="10"/>
  <c r="F676" i="10"/>
  <c r="F669" i="10"/>
  <c r="F637" i="10"/>
  <c r="F684" i="10"/>
  <c r="F677" i="10"/>
  <c r="F640" i="10"/>
  <c r="F632" i="10"/>
  <c r="F685" i="10"/>
  <c r="F671" i="10"/>
  <c r="F643" i="10"/>
  <c r="F635" i="10"/>
  <c r="F695" i="10"/>
  <c r="F679" i="10"/>
  <c r="F638" i="10"/>
  <c r="F630" i="10"/>
  <c r="F628" i="10"/>
  <c r="F704" i="10"/>
  <c r="F641" i="10"/>
  <c r="F633" i="10"/>
  <c r="F692" i="10"/>
  <c r="F681" i="10"/>
  <c r="F631" i="10"/>
  <c r="F699" i="10"/>
  <c r="F636" i="10"/>
  <c r="F673" i="10"/>
  <c r="F627" i="10"/>
  <c r="F625" i="10"/>
  <c r="F639" i="10"/>
  <c r="F687" i="10"/>
  <c r="F644" i="10"/>
  <c r="F715" i="10" l="1"/>
  <c r="G625" i="10"/>
  <c r="G711" i="10" l="1"/>
  <c r="G703" i="10"/>
  <c r="G695" i="10"/>
  <c r="G710" i="10"/>
  <c r="G702" i="10"/>
  <c r="G694" i="10"/>
  <c r="G716" i="10"/>
  <c r="G707" i="10"/>
  <c r="G699" i="10"/>
  <c r="G712" i="10"/>
  <c r="G706" i="10"/>
  <c r="G698" i="10"/>
  <c r="G690" i="10"/>
  <c r="G705" i="10"/>
  <c r="G692" i="10"/>
  <c r="G683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693" i="10"/>
  <c r="G685" i="10"/>
  <c r="G677" i="10"/>
  <c r="G669" i="10"/>
  <c r="G627" i="10"/>
  <c r="G697" i="10"/>
  <c r="G679" i="10"/>
  <c r="G671" i="10"/>
  <c r="G696" i="10"/>
  <c r="G688" i="10"/>
  <c r="G676" i="10"/>
  <c r="G645" i="10"/>
  <c r="G629" i="10"/>
  <c r="G708" i="10"/>
  <c r="G684" i="10"/>
  <c r="G700" i="10"/>
  <c r="G670" i="10"/>
  <c r="G626" i="10"/>
  <c r="G691" i="10"/>
  <c r="G689" i="10"/>
  <c r="G678" i="10"/>
  <c r="G646" i="10"/>
  <c r="G628" i="10"/>
  <c r="H628" i="10" s="1"/>
  <c r="G704" i="10"/>
  <c r="G686" i="10"/>
  <c r="G672" i="10"/>
  <c r="G687" i="10"/>
  <c r="G680" i="10"/>
  <c r="G673" i="10"/>
  <c r="G713" i="10"/>
  <c r="G709" i="10"/>
  <c r="G701" i="10"/>
  <c r="G682" i="10"/>
  <c r="G674" i="10"/>
  <c r="G668" i="10"/>
  <c r="G647" i="10"/>
  <c r="G681" i="10"/>
  <c r="H708" i="10" l="1"/>
  <c r="H700" i="10"/>
  <c r="H692" i="10"/>
  <c r="H713" i="10"/>
  <c r="H716" i="10"/>
  <c r="H707" i="10"/>
  <c r="H699" i="10"/>
  <c r="H691" i="10"/>
  <c r="H712" i="10"/>
  <c r="H704" i="10"/>
  <c r="H696" i="10"/>
  <c r="H709" i="10"/>
  <c r="H711" i="10"/>
  <c r="H703" i="10"/>
  <c r="H695" i="10"/>
  <c r="H687" i="10"/>
  <c r="H702" i="10"/>
  <c r="H680" i="10"/>
  <c r="H672" i="10"/>
  <c r="H682" i="10"/>
  <c r="H674" i="10"/>
  <c r="H694" i="10"/>
  <c r="H689" i="10"/>
  <c r="H688" i="10"/>
  <c r="H684" i="10"/>
  <c r="H676" i="10"/>
  <c r="H668" i="10"/>
  <c r="H683" i="10"/>
  <c r="H669" i="10"/>
  <c r="H637" i="10"/>
  <c r="H705" i="10"/>
  <c r="H698" i="10"/>
  <c r="H677" i="10"/>
  <c r="H670" i="10"/>
  <c r="H640" i="10"/>
  <c r="H632" i="10"/>
  <c r="H693" i="10"/>
  <c r="H685" i="10"/>
  <c r="H678" i="10"/>
  <c r="H671" i="10"/>
  <c r="H646" i="10"/>
  <c r="H643" i="10"/>
  <c r="H635" i="10"/>
  <c r="H686" i="10"/>
  <c r="H679" i="10"/>
  <c r="H638" i="10"/>
  <c r="H630" i="10"/>
  <c r="H710" i="10"/>
  <c r="H697" i="10"/>
  <c r="H673" i="10"/>
  <c r="H641" i="10"/>
  <c r="H633" i="10"/>
  <c r="H681" i="10"/>
  <c r="H647" i="10"/>
  <c r="H644" i="10"/>
  <c r="H636" i="10"/>
  <c r="H690" i="10"/>
  <c r="H675" i="10"/>
  <c r="H701" i="10"/>
  <c r="H642" i="10"/>
  <c r="H629" i="10"/>
  <c r="H634" i="10"/>
  <c r="H639" i="10"/>
  <c r="H706" i="10"/>
  <c r="H645" i="10"/>
  <c r="H631" i="10"/>
  <c r="G715" i="10"/>
  <c r="H715" i="10" l="1"/>
  <c r="I629" i="10"/>
  <c r="I713" i="10" l="1"/>
  <c r="I705" i="10"/>
  <c r="I697" i="10"/>
  <c r="I689" i="10"/>
  <c r="I710" i="10"/>
  <c r="I716" i="10"/>
  <c r="I712" i="10"/>
  <c r="I704" i="10"/>
  <c r="I696" i="10"/>
  <c r="I688" i="10"/>
  <c r="I709" i="10"/>
  <c r="I701" i="10"/>
  <c r="I693" i="10"/>
  <c r="I706" i="10"/>
  <c r="I708" i="10"/>
  <c r="I700" i="10"/>
  <c r="I692" i="10"/>
  <c r="I711" i="10"/>
  <c r="I699" i="10"/>
  <c r="I685" i="10"/>
  <c r="I677" i="10"/>
  <c r="I669" i="10"/>
  <c r="I703" i="10"/>
  <c r="I679" i="10"/>
  <c r="I671" i="10"/>
  <c r="I687" i="10"/>
  <c r="I681" i="10"/>
  <c r="I673" i="10"/>
  <c r="I698" i="10"/>
  <c r="I684" i="10"/>
  <c r="I670" i="10"/>
  <c r="I640" i="10"/>
  <c r="I632" i="10"/>
  <c r="I678" i="10"/>
  <c r="I646" i="10"/>
  <c r="I643" i="10"/>
  <c r="I635" i="10"/>
  <c r="I691" i="10"/>
  <c r="I686" i="10"/>
  <c r="I638" i="10"/>
  <c r="I630" i="10"/>
  <c r="I702" i="10"/>
  <c r="I695" i="10"/>
  <c r="I672" i="10"/>
  <c r="I641" i="10"/>
  <c r="I633" i="10"/>
  <c r="I707" i="10"/>
  <c r="I680" i="10"/>
  <c r="I647" i="10"/>
  <c r="I644" i="10"/>
  <c r="I636" i="10"/>
  <c r="I674" i="10"/>
  <c r="I639" i="10"/>
  <c r="I631" i="10"/>
  <c r="I683" i="10"/>
  <c r="I676" i="10"/>
  <c r="I637" i="10"/>
  <c r="I675" i="10"/>
  <c r="I668" i="10"/>
  <c r="I642" i="10"/>
  <c r="I694" i="10"/>
  <c r="I682" i="10"/>
  <c r="I634" i="10"/>
  <c r="I690" i="10"/>
  <c r="I645" i="10"/>
  <c r="I715" i="10" l="1"/>
  <c r="J630" i="10"/>
  <c r="J710" i="10" l="1"/>
  <c r="J702" i="10"/>
  <c r="J694" i="10"/>
  <c r="J716" i="10"/>
  <c r="J709" i="10"/>
  <c r="J701" i="10"/>
  <c r="J693" i="10"/>
  <c r="J706" i="10"/>
  <c r="J698" i="10"/>
  <c r="J711" i="10"/>
  <c r="J713" i="10"/>
  <c r="J705" i="10"/>
  <c r="J697" i="10"/>
  <c r="J689" i="10"/>
  <c r="J696" i="10"/>
  <c r="J682" i="10"/>
  <c r="J674" i="10"/>
  <c r="J708" i="10"/>
  <c r="J700" i="10"/>
  <c r="J684" i="10"/>
  <c r="J676" i="10"/>
  <c r="J668" i="10"/>
  <c r="J704" i="10"/>
  <c r="J690" i="10"/>
  <c r="J686" i="10"/>
  <c r="J678" i="10"/>
  <c r="J670" i="10"/>
  <c r="J647" i="10"/>
  <c r="J646" i="10"/>
  <c r="J645" i="10"/>
  <c r="J712" i="10"/>
  <c r="J677" i="10"/>
  <c r="J643" i="10"/>
  <c r="J635" i="10"/>
  <c r="J691" i="10"/>
  <c r="J685" i="10"/>
  <c r="J671" i="10"/>
  <c r="J638" i="10"/>
  <c r="J695" i="10"/>
  <c r="J679" i="10"/>
  <c r="J672" i="10"/>
  <c r="J641" i="10"/>
  <c r="J633" i="10"/>
  <c r="J707" i="10"/>
  <c r="J680" i="10"/>
  <c r="J673" i="10"/>
  <c r="J644" i="10"/>
  <c r="J636" i="10"/>
  <c r="J687" i="10"/>
  <c r="J681" i="10"/>
  <c r="J639" i="10"/>
  <c r="J631" i="10"/>
  <c r="J699" i="10"/>
  <c r="J675" i="10"/>
  <c r="J642" i="10"/>
  <c r="J634" i="10"/>
  <c r="J703" i="10"/>
  <c r="J688" i="10"/>
  <c r="J669" i="10"/>
  <c r="J683" i="10"/>
  <c r="J692" i="10"/>
  <c r="J640" i="10"/>
  <c r="J632" i="10"/>
  <c r="J637" i="10"/>
  <c r="K644" i="10" l="1"/>
  <c r="K716" i="10"/>
  <c r="K707" i="10"/>
  <c r="K699" i="10"/>
  <c r="K691" i="10"/>
  <c r="K712" i="10"/>
  <c r="K706" i="10"/>
  <c r="K698" i="10"/>
  <c r="K690" i="10"/>
  <c r="K711" i="10"/>
  <c r="K703" i="10"/>
  <c r="K695" i="10"/>
  <c r="K708" i="10"/>
  <c r="K710" i="10"/>
  <c r="K702" i="10"/>
  <c r="K694" i="10"/>
  <c r="K693" i="10"/>
  <c r="K679" i="10"/>
  <c r="K671" i="10"/>
  <c r="K713" i="10"/>
  <c r="K697" i="10"/>
  <c r="K688" i="10"/>
  <c r="K687" i="10"/>
  <c r="K681" i="10"/>
  <c r="K673" i="10"/>
  <c r="K701" i="10"/>
  <c r="K683" i="10"/>
  <c r="K675" i="10"/>
  <c r="K705" i="10"/>
  <c r="K685" i="10"/>
  <c r="K678" i="10"/>
  <c r="K700" i="10"/>
  <c r="K686" i="10"/>
  <c r="K672" i="10"/>
  <c r="K689" i="10"/>
  <c r="K680" i="10"/>
  <c r="K704" i="10"/>
  <c r="K674" i="10"/>
  <c r="K692" i="10"/>
  <c r="K682" i="10"/>
  <c r="K668" i="10"/>
  <c r="K696" i="10"/>
  <c r="K684" i="10"/>
  <c r="K677" i="10"/>
  <c r="K676" i="10"/>
  <c r="K709" i="10"/>
  <c r="K670" i="10"/>
  <c r="K669" i="10"/>
  <c r="J715" i="10"/>
  <c r="L647" i="10"/>
  <c r="K715" i="10" l="1"/>
  <c r="L712" i="10"/>
  <c r="M712" i="10" s="1"/>
  <c r="Y778" i="10" s="1"/>
  <c r="L704" i="10"/>
  <c r="M704" i="10" s="1"/>
  <c r="Y770" i="10" s="1"/>
  <c r="L696" i="10"/>
  <c r="M696" i="10" s="1"/>
  <c r="Y762" i="10" s="1"/>
  <c r="L711" i="10"/>
  <c r="M711" i="10" s="1"/>
  <c r="Y777" i="10" s="1"/>
  <c r="L703" i="10"/>
  <c r="M703" i="10" s="1"/>
  <c r="Y769" i="10" s="1"/>
  <c r="L695" i="10"/>
  <c r="M695" i="10" s="1"/>
  <c r="Y761" i="10" s="1"/>
  <c r="L687" i="10"/>
  <c r="M687" i="10" s="1"/>
  <c r="Y753" i="10" s="1"/>
  <c r="L708" i="10"/>
  <c r="M708" i="10" s="1"/>
  <c r="Y774" i="10" s="1"/>
  <c r="L700" i="10"/>
  <c r="M700" i="10" s="1"/>
  <c r="Y766" i="10" s="1"/>
  <c r="L713" i="10"/>
  <c r="M713" i="10" s="1"/>
  <c r="Y779" i="10" s="1"/>
  <c r="L705" i="10"/>
  <c r="M705" i="10" s="1"/>
  <c r="Y771" i="10" s="1"/>
  <c r="L716" i="10"/>
  <c r="L707" i="10"/>
  <c r="M707" i="10" s="1"/>
  <c r="Y773" i="10" s="1"/>
  <c r="L699" i="10"/>
  <c r="M699" i="10" s="1"/>
  <c r="Y765" i="10" s="1"/>
  <c r="L691" i="10"/>
  <c r="M691" i="10" s="1"/>
  <c r="Y757" i="10" s="1"/>
  <c r="L684" i="10"/>
  <c r="M684" i="10" s="1"/>
  <c r="Y750" i="10" s="1"/>
  <c r="L676" i="10"/>
  <c r="M676" i="10" s="1"/>
  <c r="Y742" i="10" s="1"/>
  <c r="L668" i="10"/>
  <c r="L710" i="10"/>
  <c r="M710" i="10" s="1"/>
  <c r="Y776" i="10" s="1"/>
  <c r="L706" i="10"/>
  <c r="M706" i="10" s="1"/>
  <c r="Y772" i="10" s="1"/>
  <c r="L694" i="10"/>
  <c r="M694" i="10" s="1"/>
  <c r="Y760" i="10" s="1"/>
  <c r="L689" i="10"/>
  <c r="M689" i="10" s="1"/>
  <c r="Y755" i="10" s="1"/>
  <c r="L686" i="10"/>
  <c r="M686" i="10" s="1"/>
  <c r="Y752" i="10" s="1"/>
  <c r="L678" i="10"/>
  <c r="M678" i="10" s="1"/>
  <c r="Y744" i="10" s="1"/>
  <c r="L670" i="10"/>
  <c r="M670" i="10" s="1"/>
  <c r="Y736" i="10" s="1"/>
  <c r="L698" i="10"/>
  <c r="M698" i="10" s="1"/>
  <c r="Y764" i="10" s="1"/>
  <c r="L680" i="10"/>
  <c r="M680" i="10" s="1"/>
  <c r="Y746" i="10" s="1"/>
  <c r="L672" i="10"/>
  <c r="M672" i="10" s="1"/>
  <c r="Y738" i="10" s="1"/>
  <c r="L671" i="10"/>
  <c r="M671" i="10" s="1"/>
  <c r="Y737" i="10" s="1"/>
  <c r="L693" i="10"/>
  <c r="M693" i="10" s="1"/>
  <c r="Y759" i="10" s="1"/>
  <c r="L679" i="10"/>
  <c r="M679" i="10" s="1"/>
  <c r="Y745" i="10" s="1"/>
  <c r="L702" i="10"/>
  <c r="M702" i="10" s="1"/>
  <c r="Y768" i="10" s="1"/>
  <c r="L673" i="10"/>
  <c r="M673" i="10" s="1"/>
  <c r="Y739" i="10" s="1"/>
  <c r="L697" i="10"/>
  <c r="M697" i="10" s="1"/>
  <c r="Y763" i="10" s="1"/>
  <c r="L681" i="10"/>
  <c r="M681" i="10" s="1"/>
  <c r="Y747" i="10" s="1"/>
  <c r="L674" i="10"/>
  <c r="M674" i="10" s="1"/>
  <c r="Y740" i="10" s="1"/>
  <c r="L692" i="10"/>
  <c r="M692" i="10" s="1"/>
  <c r="Y758" i="10" s="1"/>
  <c r="L682" i="10"/>
  <c r="M682" i="10" s="1"/>
  <c r="Y748" i="10" s="1"/>
  <c r="L675" i="10"/>
  <c r="M675" i="10" s="1"/>
  <c r="Y741" i="10" s="1"/>
  <c r="L709" i="10"/>
  <c r="M709" i="10" s="1"/>
  <c r="Y775" i="10" s="1"/>
  <c r="L701" i="10"/>
  <c r="M701" i="10" s="1"/>
  <c r="Y767" i="10" s="1"/>
  <c r="L690" i="10"/>
  <c r="M690" i="10" s="1"/>
  <c r="Y756" i="10" s="1"/>
  <c r="L683" i="10"/>
  <c r="M683" i="10" s="1"/>
  <c r="Y749" i="10" s="1"/>
  <c r="L669" i="10"/>
  <c r="M669" i="10" s="1"/>
  <c r="Y735" i="10" s="1"/>
  <c r="L685" i="10"/>
  <c r="M685" i="10" s="1"/>
  <c r="Y751" i="10" s="1"/>
  <c r="L688" i="10"/>
  <c r="M688" i="10" s="1"/>
  <c r="Y754" i="10" s="1"/>
  <c r="L677" i="10"/>
  <c r="M677" i="10" s="1"/>
  <c r="Y743" i="10" s="1"/>
  <c r="L715" i="10" l="1"/>
  <c r="M668" i="10"/>
  <c r="M715" i="10" l="1"/>
  <c r="Y734" i="10"/>
  <c r="Y815" i="10" s="1"/>
  <c r="F493" i="1" l="1"/>
  <c r="D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A493" i="1" l="1"/>
  <c r="C115" i="8"/>
  <c r="C444" i="1"/>
  <c r="D367" i="1"/>
  <c r="C119" i="8" s="1"/>
  <c r="D221" i="1"/>
  <c r="B444" i="1" s="1"/>
  <c r="D5" i="7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F505" i="1" s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F350" i="9"/>
  <c r="E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G95" i="9"/>
  <c r="H95" i="9"/>
  <c r="I95" i="9"/>
  <c r="G96" i="9"/>
  <c r="H96" i="9"/>
  <c r="I96" i="9"/>
  <c r="E92" i="9"/>
  <c r="F92" i="9"/>
  <c r="E93" i="9"/>
  <c r="F93" i="9"/>
  <c r="F94" i="9"/>
  <c r="E95" i="9"/>
  <c r="F95" i="9"/>
  <c r="E96" i="9"/>
  <c r="C124" i="9"/>
  <c r="C125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F158" i="9"/>
  <c r="G158" i="9"/>
  <c r="D159" i="9"/>
  <c r="E159" i="9"/>
  <c r="F159" i="9"/>
  <c r="I159" i="9"/>
  <c r="D160" i="9"/>
  <c r="F160" i="9"/>
  <c r="H160" i="9"/>
  <c r="I160" i="9"/>
  <c r="C188" i="9"/>
  <c r="C189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H156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C218" i="9" s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I26" i="9" s="1"/>
  <c r="H75" i="1"/>
  <c r="H26" i="9"/>
  <c r="G75" i="1"/>
  <c r="F75" i="1"/>
  <c r="F26" i="9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CE73" i="1"/>
  <c r="CE74" i="1"/>
  <c r="C464" i="1" s="1"/>
  <c r="C75" i="1"/>
  <c r="C26" i="9" s="1"/>
  <c r="CE80" i="1"/>
  <c r="CE69" i="1"/>
  <c r="I371" i="9" s="1"/>
  <c r="D361" i="1"/>
  <c r="D372" i="1"/>
  <c r="C125" i="8" s="1"/>
  <c r="D260" i="1"/>
  <c r="C16" i="8" s="1"/>
  <c r="D265" i="1"/>
  <c r="C22" i="8" s="1"/>
  <c r="D275" i="1"/>
  <c r="D277" i="1" s="1"/>
  <c r="C35" i="8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D236" i="1"/>
  <c r="D240" i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D217" i="1"/>
  <c r="E32" i="6" s="1"/>
  <c r="C217" i="1"/>
  <c r="D433" i="1" s="1"/>
  <c r="E196" i="1"/>
  <c r="C469" i="1" s="1"/>
  <c r="E197" i="1"/>
  <c r="E198" i="1"/>
  <c r="E199" i="1"/>
  <c r="C472" i="1" s="1"/>
  <c r="E200" i="1"/>
  <c r="F12" i="6" s="1"/>
  <c r="E201" i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D436" i="1" s="1"/>
  <c r="D181" i="1"/>
  <c r="D435" i="1" s="1"/>
  <c r="D177" i="1"/>
  <c r="C20" i="5" s="1"/>
  <c r="E154" i="1"/>
  <c r="F28" i="4" s="1"/>
  <c r="E153" i="1"/>
  <c r="E28" i="4" s="1"/>
  <c r="E152" i="1"/>
  <c r="D28" i="4" s="1"/>
  <c r="E151" i="1"/>
  <c r="C28" i="4" s="1"/>
  <c r="E150" i="1"/>
  <c r="E148" i="1"/>
  <c r="E147" i="1"/>
  <c r="E146" i="1"/>
  <c r="D19" i="4" s="1"/>
  <c r="E145" i="1"/>
  <c r="C19" i="4" s="1"/>
  <c r="E144" i="1"/>
  <c r="C417" i="1" s="1"/>
  <c r="E141" i="1"/>
  <c r="E10" i="4" s="1"/>
  <c r="E140" i="1"/>
  <c r="D10" i="4" s="1"/>
  <c r="E139" i="1"/>
  <c r="C415" i="1" s="1"/>
  <c r="E127" i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C470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B445" i="1"/>
  <c r="C432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F13" i="6"/>
  <c r="E13" i="6"/>
  <c r="D13" i="6"/>
  <c r="E12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C34" i="5"/>
  <c r="G122" i="9"/>
  <c r="D366" i="9"/>
  <c r="CE64" i="1"/>
  <c r="F612" i="1" s="1"/>
  <c r="D368" i="9"/>
  <c r="C276" i="9"/>
  <c r="CE70" i="1"/>
  <c r="C458" i="1" s="1"/>
  <c r="CE76" i="1"/>
  <c r="CE77" i="1"/>
  <c r="I29" i="9"/>
  <c r="C95" i="9"/>
  <c r="CE79" i="1"/>
  <c r="J612" i="1" s="1"/>
  <c r="E142" i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C141" i="8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CD71" i="1"/>
  <c r="E373" i="9" s="1"/>
  <c r="AO48" i="1"/>
  <c r="AO62" i="1" s="1"/>
  <c r="C615" i="1"/>
  <c r="E372" i="9"/>
  <c r="I380" i="9"/>
  <c r="F10" i="4"/>
  <c r="F499" i="1"/>
  <c r="F517" i="1"/>
  <c r="H515" i="1"/>
  <c r="H501" i="1"/>
  <c r="F501" i="1"/>
  <c r="F497" i="1"/>
  <c r="H497" i="1"/>
  <c r="H499" i="1"/>
  <c r="H511" i="1"/>
  <c r="I372" i="9" l="1"/>
  <c r="C473" i="1"/>
  <c r="AX48" i="1"/>
  <c r="AX62" i="1" s="1"/>
  <c r="F15" i="6"/>
  <c r="CF77" i="1"/>
  <c r="I381" i="9"/>
  <c r="C575" i="1"/>
  <c r="D330" i="1"/>
  <c r="C86" i="8" s="1"/>
  <c r="G28" i="4"/>
  <c r="D186" i="9"/>
  <c r="BY78" i="1"/>
  <c r="U78" i="1"/>
  <c r="BV78" i="1"/>
  <c r="AB78" i="1"/>
  <c r="BB78" i="1"/>
  <c r="AG78" i="1"/>
  <c r="AP78" i="1"/>
  <c r="S78" i="1"/>
  <c r="AE78" i="1"/>
  <c r="L78" i="1"/>
  <c r="AJ78" i="1"/>
  <c r="P78" i="1"/>
  <c r="X78" i="1"/>
  <c r="AK78" i="1"/>
  <c r="W78" i="1"/>
  <c r="Y78" i="1"/>
  <c r="E78" i="1"/>
  <c r="AL78" i="1"/>
  <c r="F8" i="6"/>
  <c r="G19" i="4"/>
  <c r="C112" i="8"/>
  <c r="C448" i="1"/>
  <c r="CF76" i="1"/>
  <c r="I52" i="1" s="1"/>
  <c r="I67" i="1" s="1"/>
  <c r="G612" i="1"/>
  <c r="D612" i="1"/>
  <c r="B465" i="1"/>
  <c r="CA52" i="1"/>
  <c r="CA67" i="1" s="1"/>
  <c r="D32" i="6"/>
  <c r="I377" i="9"/>
  <c r="I90" i="9"/>
  <c r="E26" i="9"/>
  <c r="C440" i="1"/>
  <c r="C434" i="1"/>
  <c r="I366" i="9"/>
  <c r="C430" i="1"/>
  <c r="C429" i="1"/>
  <c r="BS48" i="1"/>
  <c r="BS62" i="1" s="1"/>
  <c r="W48" i="1"/>
  <c r="W62" i="1" s="1"/>
  <c r="AD48" i="1"/>
  <c r="AD62" i="1" s="1"/>
  <c r="I108" i="9" s="1"/>
  <c r="BP48" i="1"/>
  <c r="BP62" i="1" s="1"/>
  <c r="E300" i="9" s="1"/>
  <c r="AI48" i="1"/>
  <c r="AI62" i="1" s="1"/>
  <c r="C427" i="1"/>
  <c r="AJ48" i="1"/>
  <c r="AJ62" i="1" s="1"/>
  <c r="Q48" i="1"/>
  <c r="Q62" i="1" s="1"/>
  <c r="AM48" i="1"/>
  <c r="AM62" i="1" s="1"/>
  <c r="AB48" i="1"/>
  <c r="AB62" i="1" s="1"/>
  <c r="F48" i="1"/>
  <c r="F62" i="1" s="1"/>
  <c r="BJ48" i="1"/>
  <c r="BJ62" i="1" s="1"/>
  <c r="G48" i="1"/>
  <c r="G62" i="1" s="1"/>
  <c r="G12" i="9" s="1"/>
  <c r="R48" i="1"/>
  <c r="R62" i="1" s="1"/>
  <c r="BD48" i="1"/>
  <c r="BD62" i="1" s="1"/>
  <c r="K48" i="1"/>
  <c r="K62" i="1" s="1"/>
  <c r="AK48" i="1"/>
  <c r="AK62" i="1" s="1"/>
  <c r="BC48" i="1"/>
  <c r="BC62" i="1" s="1"/>
  <c r="F236" i="9" s="1"/>
  <c r="P48" i="1"/>
  <c r="P62" i="1" s="1"/>
  <c r="H300" i="9"/>
  <c r="J48" i="1"/>
  <c r="J62" i="1" s="1"/>
  <c r="AH48" i="1"/>
  <c r="AH62" i="1" s="1"/>
  <c r="AN48" i="1"/>
  <c r="AN62" i="1" s="1"/>
  <c r="E172" i="9" s="1"/>
  <c r="AT48" i="1"/>
  <c r="AT62" i="1" s="1"/>
  <c r="AZ48" i="1"/>
  <c r="AZ62" i="1" s="1"/>
  <c r="C236" i="9" s="1"/>
  <c r="BN48" i="1"/>
  <c r="BN62" i="1" s="1"/>
  <c r="BT48" i="1"/>
  <c r="BT62" i="1" s="1"/>
  <c r="BY48" i="1"/>
  <c r="BY62" i="1" s="1"/>
  <c r="G332" i="9" s="1"/>
  <c r="C48" i="1"/>
  <c r="C62" i="1" s="1"/>
  <c r="C12" i="9" s="1"/>
  <c r="AA48" i="1"/>
  <c r="AA62" i="1" s="1"/>
  <c r="F108" i="9" s="1"/>
  <c r="AY48" i="1"/>
  <c r="AY62" i="1" s="1"/>
  <c r="AG48" i="1"/>
  <c r="AG62" i="1" s="1"/>
  <c r="E140" i="9" s="1"/>
  <c r="BQ48" i="1"/>
  <c r="BQ62" i="1" s="1"/>
  <c r="BI48" i="1"/>
  <c r="BI62" i="1" s="1"/>
  <c r="O48" i="1"/>
  <c r="O62" i="1" s="1"/>
  <c r="H44" i="9" s="1"/>
  <c r="AE48" i="1"/>
  <c r="AE62" i="1" s="1"/>
  <c r="AU48" i="1"/>
  <c r="AU62" i="1" s="1"/>
  <c r="H48" i="1"/>
  <c r="H62" i="1" s="1"/>
  <c r="T48" i="1"/>
  <c r="T62" i="1" s="1"/>
  <c r="N48" i="1"/>
  <c r="N62" i="1" s="1"/>
  <c r="G44" i="9" s="1"/>
  <c r="Z48" i="1"/>
  <c r="Z62" i="1" s="1"/>
  <c r="AP48" i="1"/>
  <c r="AP62" i="1" s="1"/>
  <c r="G172" i="9" s="1"/>
  <c r="AV48" i="1"/>
  <c r="AV62" i="1" s="1"/>
  <c r="F204" i="9" s="1"/>
  <c r="BB48" i="1"/>
  <c r="BB62" i="1" s="1"/>
  <c r="BH48" i="1"/>
  <c r="BH62" i="1" s="1"/>
  <c r="BV48" i="1"/>
  <c r="BV62" i="1" s="1"/>
  <c r="CA48" i="1"/>
  <c r="CA62" i="1" s="1"/>
  <c r="I332" i="9" s="1"/>
  <c r="BG48" i="1"/>
  <c r="BG62" i="1" s="1"/>
  <c r="BW48" i="1"/>
  <c r="BW62" i="1" s="1"/>
  <c r="I48" i="1"/>
  <c r="I62" i="1" s="1"/>
  <c r="BE48" i="1"/>
  <c r="BE62" i="1" s="1"/>
  <c r="BU48" i="1"/>
  <c r="BU62" i="1" s="1"/>
  <c r="U48" i="1"/>
  <c r="U62" i="1" s="1"/>
  <c r="M48" i="1"/>
  <c r="M62" i="1" s="1"/>
  <c r="AC48" i="1"/>
  <c r="AC62" i="1" s="1"/>
  <c r="H108" i="9" s="1"/>
  <c r="L48" i="1"/>
  <c r="L62" i="1" s="1"/>
  <c r="X48" i="1"/>
  <c r="X62" i="1" s="1"/>
  <c r="AS48" i="1"/>
  <c r="AS62" i="1" s="1"/>
  <c r="V48" i="1"/>
  <c r="V62" i="1" s="1"/>
  <c r="AF48" i="1"/>
  <c r="AF62" i="1" s="1"/>
  <c r="D140" i="9" s="1"/>
  <c r="AL48" i="1"/>
  <c r="AL62" i="1" s="1"/>
  <c r="AR48" i="1"/>
  <c r="AR62" i="1" s="1"/>
  <c r="BF48" i="1"/>
  <c r="BF62" i="1" s="1"/>
  <c r="I236" i="9" s="1"/>
  <c r="BL48" i="1"/>
  <c r="BL62" i="1" s="1"/>
  <c r="BR48" i="1"/>
  <c r="BR62" i="1" s="1"/>
  <c r="BX48" i="1"/>
  <c r="BX62" i="1" s="1"/>
  <c r="CB48" i="1"/>
  <c r="CB62" i="1" s="1"/>
  <c r="C364" i="9" s="1"/>
  <c r="S48" i="1"/>
  <c r="S62" i="1" s="1"/>
  <c r="AQ48" i="1"/>
  <c r="AQ62" i="1" s="1"/>
  <c r="BO48" i="1"/>
  <c r="BO62" i="1" s="1"/>
  <c r="CC48" i="1"/>
  <c r="CC62" i="1" s="1"/>
  <c r="Y48" i="1"/>
  <c r="Y62" i="1" s="1"/>
  <c r="AW48" i="1"/>
  <c r="AW62" i="1" s="1"/>
  <c r="G204" i="9" s="1"/>
  <c r="BM48" i="1"/>
  <c r="BM62" i="1" s="1"/>
  <c r="E48" i="1"/>
  <c r="E62" i="1" s="1"/>
  <c r="E12" i="9" s="1"/>
  <c r="BA48" i="1"/>
  <c r="BA62" i="1" s="1"/>
  <c r="BZ48" i="1"/>
  <c r="BZ62" i="1" s="1"/>
  <c r="D48" i="1"/>
  <c r="D62" i="1" s="1"/>
  <c r="I363" i="9"/>
  <c r="F172" i="9"/>
  <c r="I362" i="9"/>
  <c r="B440" i="1"/>
  <c r="B441" i="1"/>
  <c r="D368" i="1"/>
  <c r="C120" i="8" s="1"/>
  <c r="C33" i="8"/>
  <c r="F11" i="6"/>
  <c r="C27" i="5"/>
  <c r="C14" i="5"/>
  <c r="B19" i="4"/>
  <c r="E19" i="4"/>
  <c r="D463" i="1"/>
  <c r="G10" i="4"/>
  <c r="C10" i="4"/>
  <c r="B10" i="4"/>
  <c r="H204" i="9"/>
  <c r="B446" i="1"/>
  <c r="D242" i="1"/>
  <c r="C418" i="1"/>
  <c r="D438" i="1"/>
  <c r="F14" i="6"/>
  <c r="C471" i="1"/>
  <c r="F10" i="6"/>
  <c r="D26" i="9"/>
  <c r="CE75" i="1"/>
  <c r="F7" i="6"/>
  <c r="E204" i="1"/>
  <c r="C468" i="1"/>
  <c r="I383" i="9"/>
  <c r="D22" i="7"/>
  <c r="C40" i="5"/>
  <c r="C420" i="1"/>
  <c r="B28" i="4"/>
  <c r="F186" i="9"/>
  <c r="BD52" i="1"/>
  <c r="BD67" i="1" s="1"/>
  <c r="BF52" i="1"/>
  <c r="BF67" i="1" s="1"/>
  <c r="F52" i="1"/>
  <c r="F67" i="1" s="1"/>
  <c r="CB52" i="1"/>
  <c r="CB67" i="1" s="1"/>
  <c r="T52" i="1"/>
  <c r="T67" i="1" s="1"/>
  <c r="M52" i="1"/>
  <c r="M67" i="1" s="1"/>
  <c r="AA52" i="1"/>
  <c r="AA67" i="1" s="1"/>
  <c r="AX52" i="1"/>
  <c r="AX67" i="1" s="1"/>
  <c r="AX71" i="1" s="1"/>
  <c r="BR52" i="1"/>
  <c r="BR67" i="1" s="1"/>
  <c r="I376" i="9"/>
  <c r="C463" i="1"/>
  <c r="D58" i="9"/>
  <c r="G26" i="9"/>
  <c r="E217" i="1"/>
  <c r="I384" i="9"/>
  <c r="L612" i="1"/>
  <c r="F218" i="9"/>
  <c r="D90" i="9"/>
  <c r="D464" i="1"/>
  <c r="H154" i="9"/>
  <c r="I367" i="9"/>
  <c r="D373" i="1"/>
  <c r="D434" i="1"/>
  <c r="D292" i="1"/>
  <c r="C58" i="9"/>
  <c r="AF52" i="1" l="1"/>
  <c r="AF67" i="1" s="1"/>
  <c r="D145" i="9" s="1"/>
  <c r="D52" i="1"/>
  <c r="D67" i="1" s="1"/>
  <c r="BM52" i="1"/>
  <c r="BM67" i="1" s="1"/>
  <c r="CC52" i="1"/>
  <c r="CC67" i="1" s="1"/>
  <c r="D369" i="9" s="1"/>
  <c r="P52" i="1"/>
  <c r="P67" i="1" s="1"/>
  <c r="BT52" i="1"/>
  <c r="BT67" i="1" s="1"/>
  <c r="I305" i="9" s="1"/>
  <c r="BV52" i="1"/>
  <c r="BV67" i="1" s="1"/>
  <c r="BV71" i="1" s="1"/>
  <c r="AY52" i="1"/>
  <c r="AY67" i="1" s="1"/>
  <c r="M71" i="1"/>
  <c r="BH52" i="1"/>
  <c r="BH67" i="1" s="1"/>
  <c r="D273" i="9" s="1"/>
  <c r="Q52" i="1"/>
  <c r="Q67" i="1" s="1"/>
  <c r="BL52" i="1"/>
  <c r="BL67" i="1" s="1"/>
  <c r="BL71" i="1" s="1"/>
  <c r="AK52" i="1"/>
  <c r="AK67" i="1" s="1"/>
  <c r="BY52" i="1"/>
  <c r="BY67" i="1" s="1"/>
  <c r="H52" i="1"/>
  <c r="H67" i="1" s="1"/>
  <c r="H71" i="1" s="1"/>
  <c r="Y52" i="1"/>
  <c r="Y67" i="1" s="1"/>
  <c r="D113" i="9" s="1"/>
  <c r="BS52" i="1"/>
  <c r="BS67" i="1" s="1"/>
  <c r="G52" i="1"/>
  <c r="G67" i="1" s="1"/>
  <c r="BN52" i="1"/>
  <c r="BN67" i="1" s="1"/>
  <c r="C305" i="9" s="1"/>
  <c r="BQ52" i="1"/>
  <c r="BQ67" i="1" s="1"/>
  <c r="BK52" i="1"/>
  <c r="BK67" i="1" s="1"/>
  <c r="AI52" i="1"/>
  <c r="AI67" i="1" s="1"/>
  <c r="G145" i="9" s="1"/>
  <c r="S52" i="1"/>
  <c r="S67" i="1" s="1"/>
  <c r="E81" i="9" s="1"/>
  <c r="O52" i="1"/>
  <c r="O67" i="1" s="1"/>
  <c r="BB52" i="1"/>
  <c r="BB67" i="1" s="1"/>
  <c r="E241" i="9" s="1"/>
  <c r="AO52" i="1"/>
  <c r="AO67" i="1" s="1"/>
  <c r="AG52" i="1"/>
  <c r="AG67" i="1" s="1"/>
  <c r="E145" i="9" s="1"/>
  <c r="AJ52" i="1"/>
  <c r="AJ67" i="1" s="1"/>
  <c r="H145" i="9" s="1"/>
  <c r="AU52" i="1"/>
  <c r="AU67" i="1" s="1"/>
  <c r="AU71" i="1" s="1"/>
  <c r="BE52" i="1"/>
  <c r="BE67" i="1" s="1"/>
  <c r="AW52" i="1"/>
  <c r="AW67" i="1" s="1"/>
  <c r="AM52" i="1"/>
  <c r="AM67" i="1" s="1"/>
  <c r="AM71" i="1" s="1"/>
  <c r="AR52" i="1"/>
  <c r="AR67" i="1" s="1"/>
  <c r="I177" i="9" s="1"/>
  <c r="R52" i="1"/>
  <c r="R67" i="1" s="1"/>
  <c r="D81" i="9" s="1"/>
  <c r="J52" i="1"/>
  <c r="J67" i="1" s="1"/>
  <c r="C49" i="9" s="1"/>
  <c r="BW52" i="1"/>
  <c r="BW67" i="1" s="1"/>
  <c r="E337" i="9" s="1"/>
  <c r="D339" i="1"/>
  <c r="C102" i="8" s="1"/>
  <c r="F71" i="1"/>
  <c r="F21" i="9" s="1"/>
  <c r="I49" i="9"/>
  <c r="I62" i="9"/>
  <c r="G126" i="9"/>
  <c r="D465" i="1"/>
  <c r="I17" i="9"/>
  <c r="C81" i="9"/>
  <c r="H158" i="9"/>
  <c r="D350" i="9"/>
  <c r="E209" i="9"/>
  <c r="AH71" i="1"/>
  <c r="BC71" i="1"/>
  <c r="C548" i="1" s="1"/>
  <c r="BC52" i="1"/>
  <c r="BC67" i="1" s="1"/>
  <c r="AV52" i="1"/>
  <c r="AV67" i="1" s="1"/>
  <c r="BA52" i="1"/>
  <c r="BA67" i="1" s="1"/>
  <c r="AP52" i="1"/>
  <c r="AP67" i="1" s="1"/>
  <c r="BP52" i="1"/>
  <c r="BP67" i="1" s="1"/>
  <c r="K52" i="1"/>
  <c r="K67" i="1" s="1"/>
  <c r="AE52" i="1"/>
  <c r="AE67" i="1" s="1"/>
  <c r="AQ52" i="1"/>
  <c r="AQ67" i="1" s="1"/>
  <c r="C52" i="1"/>
  <c r="C67" i="1" s="1"/>
  <c r="AB52" i="1"/>
  <c r="AB67" i="1" s="1"/>
  <c r="AB71" i="1" s="1"/>
  <c r="W52" i="1"/>
  <c r="W67" i="1" s="1"/>
  <c r="X52" i="1"/>
  <c r="X67" i="1" s="1"/>
  <c r="BJ52" i="1"/>
  <c r="BJ67" i="1" s="1"/>
  <c r="BI52" i="1"/>
  <c r="BI67" i="1" s="1"/>
  <c r="N52" i="1"/>
  <c r="N67" i="1" s="1"/>
  <c r="L52" i="1"/>
  <c r="L67" i="1" s="1"/>
  <c r="AL52" i="1"/>
  <c r="AL67" i="1" s="1"/>
  <c r="AH52" i="1"/>
  <c r="AH67" i="1" s="1"/>
  <c r="AT52" i="1"/>
  <c r="AT67" i="1" s="1"/>
  <c r="E52" i="1"/>
  <c r="E67" i="1" s="1"/>
  <c r="BX52" i="1"/>
  <c r="BX67" i="1" s="1"/>
  <c r="BX71" i="1" s="1"/>
  <c r="AN52" i="1"/>
  <c r="AN67" i="1" s="1"/>
  <c r="Z52" i="1"/>
  <c r="Z67" i="1" s="1"/>
  <c r="BG52" i="1"/>
  <c r="BG67" i="1" s="1"/>
  <c r="BG71" i="1" s="1"/>
  <c r="AD52" i="1"/>
  <c r="AD67" i="1" s="1"/>
  <c r="V52" i="1"/>
  <c r="V67" i="1" s="1"/>
  <c r="V71" i="1" s="1"/>
  <c r="E30" i="9"/>
  <c r="CE78" i="1"/>
  <c r="C158" i="9"/>
  <c r="G350" i="9"/>
  <c r="BO52" i="1"/>
  <c r="BO67" i="1" s="1"/>
  <c r="E254" i="9"/>
  <c r="W71" i="1"/>
  <c r="C190" i="9"/>
  <c r="I337" i="9"/>
  <c r="Y71" i="1"/>
  <c r="C690" i="1" s="1"/>
  <c r="X71" i="1"/>
  <c r="BW71" i="1"/>
  <c r="C643" i="1" s="1"/>
  <c r="U52" i="1"/>
  <c r="U67" i="1" s="1"/>
  <c r="D126" i="9"/>
  <c r="E94" i="9"/>
  <c r="AS52" i="1"/>
  <c r="AS67" i="1" s="1"/>
  <c r="H17" i="9"/>
  <c r="C126" i="9"/>
  <c r="G94" i="9"/>
  <c r="AC52" i="1"/>
  <c r="AC67" i="1" s="1"/>
  <c r="AC71" i="1" s="1"/>
  <c r="H117" i="9" s="1"/>
  <c r="I94" i="9"/>
  <c r="G190" i="9"/>
  <c r="BU52" i="1"/>
  <c r="BU67" i="1" s="1"/>
  <c r="E62" i="9"/>
  <c r="I76" i="9"/>
  <c r="H49" i="9"/>
  <c r="D71" i="1"/>
  <c r="BO71" i="1"/>
  <c r="D309" i="9" s="1"/>
  <c r="AZ52" i="1"/>
  <c r="AZ67" i="1" s="1"/>
  <c r="AZ71" i="1" s="1"/>
  <c r="I158" i="9"/>
  <c r="E158" i="9"/>
  <c r="BZ52" i="1"/>
  <c r="BZ67" i="1" s="1"/>
  <c r="BZ71" i="1" s="1"/>
  <c r="H341" i="9" s="1"/>
  <c r="AT71" i="1"/>
  <c r="C711" i="1" s="1"/>
  <c r="BD71" i="1"/>
  <c r="H140" i="9"/>
  <c r="G236" i="9"/>
  <c r="F268" i="9"/>
  <c r="Q71" i="1"/>
  <c r="C682" i="1" s="1"/>
  <c r="AI71" i="1"/>
  <c r="G149" i="9" s="1"/>
  <c r="C76" i="9"/>
  <c r="AD71" i="1"/>
  <c r="CA71" i="1"/>
  <c r="C572" i="1" s="1"/>
  <c r="G140" i="9"/>
  <c r="G108" i="9"/>
  <c r="F44" i="9"/>
  <c r="D364" i="9"/>
  <c r="G71" i="1"/>
  <c r="C672" i="1" s="1"/>
  <c r="H76" i="9"/>
  <c r="D172" i="9"/>
  <c r="CB71" i="1"/>
  <c r="C373" i="9" s="1"/>
  <c r="E71" i="1"/>
  <c r="C670" i="1" s="1"/>
  <c r="BF71" i="1"/>
  <c r="I245" i="9" s="1"/>
  <c r="C140" i="9"/>
  <c r="I140" i="9"/>
  <c r="AK71" i="1"/>
  <c r="C530" i="1" s="1"/>
  <c r="G530" i="1" s="1"/>
  <c r="AJ71" i="1"/>
  <c r="C701" i="1" s="1"/>
  <c r="C518" i="1"/>
  <c r="G518" i="1" s="1"/>
  <c r="BY71" i="1"/>
  <c r="C570" i="1" s="1"/>
  <c r="C671" i="1"/>
  <c r="F12" i="9"/>
  <c r="C499" i="1"/>
  <c r="G499" i="1" s="1"/>
  <c r="D204" i="9"/>
  <c r="AV71" i="1"/>
  <c r="C541" i="1" s="1"/>
  <c r="D44" i="9"/>
  <c r="I44" i="9"/>
  <c r="BB71" i="1"/>
  <c r="E245" i="9" s="1"/>
  <c r="P71" i="1"/>
  <c r="CC71" i="1"/>
  <c r="D373" i="9" s="1"/>
  <c r="K71" i="1"/>
  <c r="C676" i="1" s="1"/>
  <c r="I204" i="9"/>
  <c r="I300" i="9"/>
  <c r="C108" i="9"/>
  <c r="D117" i="9"/>
  <c r="E204" i="9"/>
  <c r="E236" i="9"/>
  <c r="H268" i="9"/>
  <c r="E76" i="9"/>
  <c r="C300" i="9"/>
  <c r="E332" i="9"/>
  <c r="C172" i="9"/>
  <c r="F140" i="9"/>
  <c r="BR71" i="1"/>
  <c r="C563" i="1" s="1"/>
  <c r="G300" i="9"/>
  <c r="AL71" i="1"/>
  <c r="C703" i="1" s="1"/>
  <c r="D268" i="9"/>
  <c r="BA71" i="1"/>
  <c r="C630" i="1" s="1"/>
  <c r="AF71" i="1"/>
  <c r="C697" i="1" s="1"/>
  <c r="H172" i="9"/>
  <c r="D108" i="9"/>
  <c r="AA71" i="1"/>
  <c r="F117" i="9" s="1"/>
  <c r="C71" i="1"/>
  <c r="C21" i="9" s="1"/>
  <c r="BH71" i="1"/>
  <c r="C636" i="1" s="1"/>
  <c r="S71" i="1"/>
  <c r="E85" i="9" s="1"/>
  <c r="H332" i="9"/>
  <c r="CE62" i="1"/>
  <c r="D236" i="9"/>
  <c r="D300" i="9"/>
  <c r="I172" i="9"/>
  <c r="AR71" i="1"/>
  <c r="CE48" i="1"/>
  <c r="O71" i="1"/>
  <c r="C680" i="1" s="1"/>
  <c r="D332" i="9"/>
  <c r="AP71" i="1"/>
  <c r="C707" i="1" s="1"/>
  <c r="AN71" i="1"/>
  <c r="C533" i="1" s="1"/>
  <c r="G533" i="1" s="1"/>
  <c r="AW71" i="1"/>
  <c r="E44" i="9"/>
  <c r="G76" i="9"/>
  <c r="U71" i="1"/>
  <c r="E108" i="9"/>
  <c r="H12" i="9"/>
  <c r="E268" i="9"/>
  <c r="BI71" i="1"/>
  <c r="I268" i="9"/>
  <c r="BM71" i="1"/>
  <c r="C117" i="9"/>
  <c r="C517" i="1"/>
  <c r="D12" i="9"/>
  <c r="BT71" i="1"/>
  <c r="C565" i="1" s="1"/>
  <c r="C332" i="9"/>
  <c r="BU71" i="1"/>
  <c r="C268" i="9"/>
  <c r="F300" i="9"/>
  <c r="BQ71" i="1"/>
  <c r="C44" i="9"/>
  <c r="F332" i="9"/>
  <c r="I71" i="1"/>
  <c r="I12" i="9"/>
  <c r="F76" i="9"/>
  <c r="T71" i="1"/>
  <c r="C689" i="1"/>
  <c r="AY71" i="1"/>
  <c r="C625" i="1" s="1"/>
  <c r="C204" i="9"/>
  <c r="AS71" i="1"/>
  <c r="H236" i="9"/>
  <c r="BE71" i="1"/>
  <c r="D76" i="9"/>
  <c r="R71" i="1"/>
  <c r="C510" i="1"/>
  <c r="G510" i="1" s="1"/>
  <c r="C624" i="1"/>
  <c r="C549" i="1"/>
  <c r="G245" i="9"/>
  <c r="C647" i="1"/>
  <c r="G17" i="9"/>
  <c r="I273" i="9"/>
  <c r="D27" i="7"/>
  <c r="B448" i="1"/>
  <c r="C497" i="1"/>
  <c r="G497" i="1" s="1"/>
  <c r="C669" i="1"/>
  <c r="D21" i="9"/>
  <c r="F544" i="1"/>
  <c r="H536" i="1"/>
  <c r="F536" i="1"/>
  <c r="F528" i="1"/>
  <c r="H528" i="1"/>
  <c r="F520" i="1"/>
  <c r="H520" i="1"/>
  <c r="D341" i="1"/>
  <c r="C481" i="1" s="1"/>
  <c r="C50" i="8"/>
  <c r="H209" i="9"/>
  <c r="D337" i="9"/>
  <c r="F81" i="9"/>
  <c r="I209" i="9"/>
  <c r="I241" i="9"/>
  <c r="I378" i="9"/>
  <c r="K612" i="1"/>
  <c r="C465" i="1"/>
  <c r="C616" i="1"/>
  <c r="C543" i="1"/>
  <c r="H213" i="9"/>
  <c r="C126" i="8"/>
  <c r="D391" i="1"/>
  <c r="F32" i="6"/>
  <c r="C478" i="1"/>
  <c r="F498" i="1"/>
  <c r="H241" i="9"/>
  <c r="I145" i="9"/>
  <c r="G209" i="9"/>
  <c r="G337" i="9"/>
  <c r="D177" i="9"/>
  <c r="C516" i="1"/>
  <c r="G516" i="1" s="1"/>
  <c r="I85" i="9"/>
  <c r="C688" i="1"/>
  <c r="C476" i="1"/>
  <c r="F16" i="6"/>
  <c r="F516" i="1"/>
  <c r="D17" i="9"/>
  <c r="F305" i="9"/>
  <c r="C699" i="1"/>
  <c r="C527" i="1"/>
  <c r="G527" i="1" s="1"/>
  <c r="F149" i="9"/>
  <c r="F540" i="1"/>
  <c r="H540" i="1"/>
  <c r="F532" i="1"/>
  <c r="F524" i="1"/>
  <c r="F550" i="1"/>
  <c r="G305" i="9"/>
  <c r="F113" i="9"/>
  <c r="F49" i="9"/>
  <c r="C369" i="9"/>
  <c r="F17" i="9"/>
  <c r="G241" i="9"/>
  <c r="E341" i="9"/>
  <c r="C506" i="1"/>
  <c r="G506" i="1" s="1"/>
  <c r="F53" i="9"/>
  <c r="C678" i="1"/>
  <c r="C523" i="1"/>
  <c r="G523" i="1" s="1"/>
  <c r="C695" i="1"/>
  <c r="I117" i="9"/>
  <c r="C501" i="1" l="1"/>
  <c r="G501" i="1" s="1"/>
  <c r="H21" i="9"/>
  <c r="C673" i="1"/>
  <c r="C642" i="1"/>
  <c r="D341" i="9"/>
  <c r="C567" i="1"/>
  <c r="C532" i="1"/>
  <c r="D181" i="9"/>
  <c r="C704" i="1"/>
  <c r="E213" i="9"/>
  <c r="C540" i="1"/>
  <c r="G540" i="1" s="1"/>
  <c r="C712" i="1"/>
  <c r="H277" i="9"/>
  <c r="C637" i="1"/>
  <c r="C557" i="1"/>
  <c r="G117" i="9"/>
  <c r="C693" i="1"/>
  <c r="J71" i="1"/>
  <c r="BN71" i="1"/>
  <c r="C309" i="9" s="1"/>
  <c r="H273" i="9"/>
  <c r="C568" i="1"/>
  <c r="F177" i="9"/>
  <c r="AO71" i="1"/>
  <c r="BS71" i="1"/>
  <c r="H305" i="9"/>
  <c r="AG71" i="1"/>
  <c r="C698" i="1" s="1"/>
  <c r="F245" i="9"/>
  <c r="G273" i="9"/>
  <c r="BK71" i="1"/>
  <c r="C482" i="1"/>
  <c r="C687" i="1"/>
  <c r="C515" i="1"/>
  <c r="G515" i="1" s="1"/>
  <c r="H85" i="9"/>
  <c r="H177" i="9"/>
  <c r="CE52" i="1"/>
  <c r="E113" i="9"/>
  <c r="G49" i="9"/>
  <c r="C145" i="9"/>
  <c r="Z71" i="1"/>
  <c r="E117" i="9" s="1"/>
  <c r="G81" i="9"/>
  <c r="E177" i="9"/>
  <c r="E273" i="9"/>
  <c r="D49" i="9"/>
  <c r="C633" i="1"/>
  <c r="F273" i="9"/>
  <c r="C560" i="1"/>
  <c r="AE71" i="1"/>
  <c r="C524" i="1" s="1"/>
  <c r="G524" i="1" s="1"/>
  <c r="H113" i="9"/>
  <c r="I382" i="9"/>
  <c r="I612" i="1"/>
  <c r="E17" i="9"/>
  <c r="C113" i="9"/>
  <c r="G177" i="9"/>
  <c r="E49" i="9"/>
  <c r="E305" i="9"/>
  <c r="C520" i="1"/>
  <c r="G520" i="1" s="1"/>
  <c r="C627" i="1"/>
  <c r="AQ71" i="1"/>
  <c r="C536" i="1" s="1"/>
  <c r="G536" i="1" s="1"/>
  <c r="BP71" i="1"/>
  <c r="C561" i="1" s="1"/>
  <c r="C209" i="9"/>
  <c r="D209" i="9"/>
  <c r="I81" i="9"/>
  <c r="D241" i="9"/>
  <c r="F337" i="9"/>
  <c r="C521" i="1"/>
  <c r="G521" i="1" s="1"/>
  <c r="N71" i="1"/>
  <c r="C679" i="1" s="1"/>
  <c r="CE67" i="1"/>
  <c r="D305" i="9"/>
  <c r="H81" i="9"/>
  <c r="F145" i="9"/>
  <c r="G113" i="9"/>
  <c r="F209" i="9"/>
  <c r="C241" i="9"/>
  <c r="C273" i="9"/>
  <c r="H337" i="9"/>
  <c r="L71" i="1"/>
  <c r="C505" i="1" s="1"/>
  <c r="C337" i="9"/>
  <c r="I113" i="9"/>
  <c r="C177" i="9"/>
  <c r="C17" i="9"/>
  <c r="F241" i="9"/>
  <c r="BJ71" i="1"/>
  <c r="D213" i="9"/>
  <c r="C539" i="1"/>
  <c r="G539" i="1" s="1"/>
  <c r="C528" i="1"/>
  <c r="G528" i="1" s="1"/>
  <c r="I341" i="9"/>
  <c r="C85" i="9"/>
  <c r="C700" i="1"/>
  <c r="C692" i="1"/>
  <c r="C512" i="1"/>
  <c r="G512" i="1" s="1"/>
  <c r="C684" i="1"/>
  <c r="C622" i="1"/>
  <c r="C626" i="1"/>
  <c r="H149" i="9"/>
  <c r="D53" i="9"/>
  <c r="G341" i="9"/>
  <c r="C620" i="1"/>
  <c r="C571" i="1"/>
  <c r="G21" i="9"/>
  <c r="I149" i="9"/>
  <c r="C535" i="1"/>
  <c r="G535" i="1" s="1"/>
  <c r="C500" i="1"/>
  <c r="G500" i="1" s="1"/>
  <c r="C574" i="1"/>
  <c r="C525" i="1"/>
  <c r="G525" i="1" s="1"/>
  <c r="C181" i="9"/>
  <c r="G181" i="9"/>
  <c r="C573" i="1"/>
  <c r="G309" i="9"/>
  <c r="D149" i="9"/>
  <c r="C646" i="1"/>
  <c r="C702" i="1"/>
  <c r="C529" i="1"/>
  <c r="G529" i="1" s="1"/>
  <c r="E21" i="9"/>
  <c r="C498" i="1"/>
  <c r="G498" i="1" s="1"/>
  <c r="E149" i="9"/>
  <c r="C504" i="1"/>
  <c r="G504" i="1" s="1"/>
  <c r="C629" i="1"/>
  <c r="C526" i="1"/>
  <c r="G526" i="1" s="1"/>
  <c r="C551" i="1"/>
  <c r="I213" i="9"/>
  <c r="C547" i="1"/>
  <c r="F213" i="9"/>
  <c r="C645" i="1"/>
  <c r="C713" i="1"/>
  <c r="C544" i="1"/>
  <c r="G544" i="1" s="1"/>
  <c r="C694" i="1"/>
  <c r="C668" i="1"/>
  <c r="I53" i="9"/>
  <c r="C681" i="1"/>
  <c r="C509" i="1"/>
  <c r="G509" i="1" s="1"/>
  <c r="C522" i="1"/>
  <c r="G522" i="1" s="1"/>
  <c r="C632" i="1"/>
  <c r="C507" i="1"/>
  <c r="G507" i="1" s="1"/>
  <c r="C531" i="1"/>
  <c r="G531" i="1" s="1"/>
  <c r="C496" i="1"/>
  <c r="G496" i="1" s="1"/>
  <c r="G53" i="9"/>
  <c r="H53" i="9"/>
  <c r="C619" i="1"/>
  <c r="C708" i="1"/>
  <c r="C546" i="1"/>
  <c r="G546" i="1" s="1"/>
  <c r="H181" i="9"/>
  <c r="CE71" i="1"/>
  <c r="I373" i="9" s="1"/>
  <c r="D277" i="9"/>
  <c r="C705" i="1"/>
  <c r="C559" i="1"/>
  <c r="C428" i="1"/>
  <c r="E181" i="9"/>
  <c r="C508" i="1"/>
  <c r="G508" i="1" s="1"/>
  <c r="I364" i="9"/>
  <c r="C553" i="1"/>
  <c r="I309" i="9"/>
  <c r="D245" i="9"/>
  <c r="C674" i="1"/>
  <c r="I21" i="9"/>
  <c r="C502" i="1"/>
  <c r="G502" i="1" s="1"/>
  <c r="F309" i="9"/>
  <c r="C562" i="1"/>
  <c r="C623" i="1"/>
  <c r="G85" i="9"/>
  <c r="C514" i="1"/>
  <c r="G514" i="1" s="1"/>
  <c r="C686" i="1"/>
  <c r="C640" i="1"/>
  <c r="C618" i="1"/>
  <c r="C277" i="9"/>
  <c r="C552" i="1"/>
  <c r="C641" i="1"/>
  <c r="C566" i="1"/>
  <c r="C341" i="9"/>
  <c r="C638" i="1"/>
  <c r="C558" i="1"/>
  <c r="I277" i="9"/>
  <c r="G213" i="9"/>
  <c r="C631" i="1"/>
  <c r="C542" i="1"/>
  <c r="H245" i="9"/>
  <c r="C614" i="1"/>
  <c r="D615" i="1" s="1"/>
  <c r="C550" i="1"/>
  <c r="C554" i="1"/>
  <c r="C634" i="1"/>
  <c r="E277" i="9"/>
  <c r="I181" i="9"/>
  <c r="C537" i="1"/>
  <c r="G537" i="1" s="1"/>
  <c r="C709" i="1"/>
  <c r="C710" i="1"/>
  <c r="C213" i="9"/>
  <c r="C538" i="1"/>
  <c r="G538" i="1" s="1"/>
  <c r="C644" i="1"/>
  <c r="F341" i="9"/>
  <c r="C569" i="1"/>
  <c r="C628" i="1"/>
  <c r="C245" i="9"/>
  <c r="C545" i="1"/>
  <c r="G545" i="1" s="1"/>
  <c r="C685" i="1"/>
  <c r="F85" i="9"/>
  <c r="C513" i="1"/>
  <c r="G513" i="1" s="1"/>
  <c r="C53" i="9"/>
  <c r="C503" i="1"/>
  <c r="G503" i="1" s="1"/>
  <c r="C675" i="1"/>
  <c r="G517" i="1"/>
  <c r="H517" i="1"/>
  <c r="C677" i="1"/>
  <c r="C511" i="1"/>
  <c r="G511" i="1" s="1"/>
  <c r="C683" i="1"/>
  <c r="D85" i="9"/>
  <c r="H516" i="1"/>
  <c r="F522" i="1"/>
  <c r="H522" i="1"/>
  <c r="F510" i="1"/>
  <c r="H510" i="1"/>
  <c r="F513" i="1"/>
  <c r="H513" i="1"/>
  <c r="C142" i="8"/>
  <c r="D393" i="1"/>
  <c r="F538" i="1"/>
  <c r="H538" i="1"/>
  <c r="F496" i="1"/>
  <c r="H496" i="1"/>
  <c r="F534" i="1"/>
  <c r="H534" i="1"/>
  <c r="H502" i="1"/>
  <c r="F502" i="1"/>
  <c r="H504" i="1"/>
  <c r="F504" i="1"/>
  <c r="F530" i="1"/>
  <c r="H530" i="1" s="1"/>
  <c r="F512" i="1"/>
  <c r="F526" i="1"/>
  <c r="F503" i="1"/>
  <c r="H503" i="1"/>
  <c r="H508" i="1"/>
  <c r="F508" i="1"/>
  <c r="F514" i="1"/>
  <c r="F507" i="1"/>
  <c r="H518" i="1"/>
  <c r="F518" i="1"/>
  <c r="H546" i="1"/>
  <c r="F546" i="1"/>
  <c r="F506" i="1"/>
  <c r="H506" i="1"/>
  <c r="H500" i="1"/>
  <c r="F500" i="1"/>
  <c r="F509" i="1"/>
  <c r="F181" i="9" l="1"/>
  <c r="C706" i="1"/>
  <c r="C534" i="1"/>
  <c r="G534" i="1" s="1"/>
  <c r="C639" i="1"/>
  <c r="H309" i="9"/>
  <c r="C564" i="1"/>
  <c r="G532" i="1"/>
  <c r="H532" i="1"/>
  <c r="C635" i="1"/>
  <c r="C556" i="1"/>
  <c r="G277" i="9"/>
  <c r="C519" i="1"/>
  <c r="G519" i="1" s="1"/>
  <c r="H524" i="1"/>
  <c r="C149" i="9"/>
  <c r="C696" i="1"/>
  <c r="C691" i="1"/>
  <c r="F277" i="9"/>
  <c r="C555" i="1"/>
  <c r="C617" i="1"/>
  <c r="C433" i="1"/>
  <c r="I369" i="9"/>
  <c r="C441" i="1"/>
  <c r="E309" i="9"/>
  <c r="E53" i="9"/>
  <c r="C621" i="1"/>
  <c r="H544" i="1"/>
  <c r="H526" i="1"/>
  <c r="H509" i="1"/>
  <c r="C716" i="1"/>
  <c r="H512" i="1"/>
  <c r="H498" i="1"/>
  <c r="H507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39" i="1"/>
  <c r="D686" i="1"/>
  <c r="D711" i="1"/>
  <c r="D630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44" i="1"/>
  <c r="D645" i="1"/>
  <c r="D700" i="1"/>
  <c r="D628" i="1"/>
  <c r="D699" i="1"/>
  <c r="D631" i="1"/>
  <c r="D682" i="1"/>
  <c r="D676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87" i="1"/>
  <c r="D692" i="1"/>
  <c r="D622" i="1"/>
  <c r="D704" i="1"/>
  <c r="D623" i="1"/>
  <c r="D705" i="1"/>
  <c r="D675" i="1"/>
  <c r="D706" i="1"/>
  <c r="H514" i="1"/>
  <c r="C648" i="1"/>
  <c r="M716" i="1" s="1"/>
  <c r="G505" i="1"/>
  <c r="H505" i="1" s="1"/>
  <c r="G550" i="1"/>
  <c r="H550" i="1" s="1"/>
  <c r="H545" i="1"/>
  <c r="F545" i="1"/>
  <c r="H525" i="1"/>
  <c r="F525" i="1"/>
  <c r="F529" i="1"/>
  <c r="H529" i="1" s="1"/>
  <c r="C146" i="8"/>
  <c r="D396" i="1"/>
  <c r="C151" i="8" s="1"/>
  <c r="F521" i="1"/>
  <c r="H521" i="1"/>
  <c r="F535" i="1"/>
  <c r="H535" i="1" s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C715" i="1" l="1"/>
  <c r="E612" i="1"/>
  <c r="D715" i="1"/>
  <c r="E623" i="1"/>
  <c r="E693" i="1" l="1"/>
  <c r="E716" i="1"/>
  <c r="E671" i="1"/>
  <c r="E681" i="1"/>
  <c r="E688" i="1"/>
  <c r="E675" i="1"/>
  <c r="E684" i="1"/>
  <c r="E640" i="1"/>
  <c r="E643" i="1"/>
  <c r="E630" i="1"/>
  <c r="E697" i="1"/>
  <c r="E637" i="1"/>
  <c r="E699" i="1"/>
  <c r="E672" i="1"/>
  <c r="E644" i="1"/>
  <c r="E692" i="1"/>
  <c r="E695" i="1"/>
  <c r="E633" i="1"/>
  <c r="E632" i="1"/>
  <c r="E712" i="1"/>
  <c r="E678" i="1"/>
  <c r="E638" i="1"/>
  <c r="E708" i="1"/>
  <c r="E628" i="1"/>
  <c r="E691" i="1"/>
  <c r="E698" i="1"/>
  <c r="E702" i="1"/>
  <c r="E626" i="1"/>
  <c r="E647" i="1"/>
  <c r="E635" i="1"/>
  <c r="E627" i="1"/>
  <c r="E711" i="1"/>
  <c r="E645" i="1"/>
  <c r="E700" i="1"/>
  <c r="E676" i="1"/>
  <c r="E689" i="1"/>
  <c r="E625" i="1"/>
  <c r="E639" i="1"/>
  <c r="E703" i="1"/>
  <c r="E709" i="1"/>
  <c r="E677" i="1"/>
  <c r="E680" i="1"/>
  <c r="E668" i="1"/>
  <c r="E710" i="1"/>
  <c r="E686" i="1"/>
  <c r="E669" i="1"/>
  <c r="E687" i="1"/>
  <c r="E641" i="1"/>
  <c r="E707" i="1"/>
  <c r="E624" i="1"/>
  <c r="E701" i="1"/>
  <c r="E631" i="1"/>
  <c r="E706" i="1"/>
  <c r="E674" i="1"/>
  <c r="E634" i="1"/>
  <c r="E690" i="1"/>
  <c r="E670" i="1"/>
  <c r="E636" i="1"/>
  <c r="E629" i="1"/>
  <c r="E679" i="1"/>
  <c r="E713" i="1"/>
  <c r="E696" i="1"/>
  <c r="E705" i="1"/>
  <c r="E683" i="1"/>
  <c r="E646" i="1"/>
  <c r="E642" i="1"/>
  <c r="E704" i="1"/>
  <c r="E685" i="1"/>
  <c r="E682" i="1"/>
  <c r="E694" i="1"/>
  <c r="E673" i="1"/>
  <c r="F624" i="1" l="1"/>
  <c r="E715" i="1"/>
  <c r="F711" i="1" l="1"/>
  <c r="F710" i="1"/>
  <c r="F627" i="1"/>
  <c r="F700" i="1"/>
  <c r="F635" i="1"/>
  <c r="F668" i="1"/>
  <c r="F675" i="1"/>
  <c r="F628" i="1"/>
  <c r="F633" i="1"/>
  <c r="F672" i="1"/>
  <c r="F636" i="1"/>
  <c r="F702" i="1"/>
  <c r="F637" i="1"/>
  <c r="F682" i="1"/>
  <c r="F706" i="1"/>
  <c r="F694" i="1"/>
  <c r="F646" i="1"/>
  <c r="F673" i="1"/>
  <c r="F678" i="1"/>
  <c r="F712" i="1"/>
  <c r="F677" i="1"/>
  <c r="F640" i="1"/>
  <c r="F643" i="1"/>
  <c r="F669" i="1"/>
  <c r="F644" i="1"/>
  <c r="F699" i="1"/>
  <c r="F709" i="1"/>
  <c r="F676" i="1"/>
  <c r="F683" i="1"/>
  <c r="F642" i="1"/>
  <c r="F687" i="1"/>
  <c r="F688" i="1"/>
  <c r="F625" i="1"/>
  <c r="F671" i="1"/>
  <c r="F696" i="1"/>
  <c r="F684" i="1"/>
  <c r="F685" i="1"/>
  <c r="F713" i="1"/>
  <c r="F716" i="1"/>
  <c r="F674" i="1"/>
  <c r="F686" i="1"/>
  <c r="F634" i="1"/>
  <c r="F680" i="1"/>
  <c r="F692" i="1"/>
  <c r="F632" i="1"/>
  <c r="F629" i="1"/>
  <c r="F691" i="1"/>
  <c r="F689" i="1"/>
  <c r="F670" i="1"/>
  <c r="F705" i="1"/>
  <c r="F638" i="1"/>
  <c r="F701" i="1"/>
  <c r="F681" i="1"/>
  <c r="F639" i="1"/>
  <c r="F704" i="1"/>
  <c r="F707" i="1"/>
  <c r="F698" i="1"/>
  <c r="F647" i="1"/>
  <c r="F703" i="1"/>
  <c r="F708" i="1"/>
  <c r="F695" i="1"/>
  <c r="F626" i="1"/>
  <c r="F630" i="1"/>
  <c r="F697" i="1"/>
  <c r="F693" i="1"/>
  <c r="F641" i="1"/>
  <c r="F645" i="1"/>
  <c r="F690" i="1"/>
  <c r="F631" i="1"/>
  <c r="F679" i="1"/>
  <c r="F715" i="1" l="1"/>
  <c r="G625" i="1"/>
  <c r="G675" i="1" l="1"/>
  <c r="G635" i="1"/>
  <c r="G643" i="1"/>
  <c r="G644" i="1"/>
  <c r="G702" i="1"/>
  <c r="G645" i="1"/>
  <c r="G626" i="1"/>
  <c r="G628" i="1"/>
  <c r="G696" i="1"/>
  <c r="G705" i="1"/>
  <c r="G671" i="1"/>
  <c r="G681" i="1"/>
  <c r="G691" i="1"/>
  <c r="G670" i="1"/>
  <c r="G642" i="1"/>
  <c r="G683" i="1"/>
  <c r="G697" i="1"/>
  <c r="G647" i="1"/>
  <c r="G637" i="1"/>
  <c r="G685" i="1"/>
  <c r="G633" i="1"/>
  <c r="G711" i="1"/>
  <c r="G695" i="1"/>
  <c r="G646" i="1"/>
  <c r="G634" i="1"/>
  <c r="G707" i="1"/>
  <c r="G709" i="1"/>
  <c r="G687" i="1"/>
  <c r="G682" i="1"/>
  <c r="G672" i="1"/>
  <c r="G692" i="1"/>
  <c r="G631" i="1"/>
  <c r="G630" i="1"/>
  <c r="G680" i="1"/>
  <c r="G699" i="1"/>
  <c r="G684" i="1"/>
  <c r="G703" i="1"/>
  <c r="G641" i="1"/>
  <c r="G632" i="1"/>
  <c r="G627" i="1"/>
  <c r="G678" i="1"/>
  <c r="G688" i="1"/>
  <c r="G710" i="1"/>
  <c r="G706" i="1"/>
  <c r="G639" i="1"/>
  <c r="G694" i="1"/>
  <c r="G679" i="1"/>
  <c r="G677" i="1"/>
  <c r="G668" i="1"/>
  <c r="G713" i="1"/>
  <c r="G638" i="1"/>
  <c r="G640" i="1"/>
  <c r="G674" i="1"/>
  <c r="G686" i="1"/>
  <c r="G712" i="1"/>
  <c r="G701" i="1"/>
  <c r="G698" i="1"/>
  <c r="G716" i="1"/>
  <c r="G690" i="1"/>
  <c r="G636" i="1"/>
  <c r="G676" i="1"/>
  <c r="G700" i="1"/>
  <c r="G693" i="1"/>
  <c r="G708" i="1"/>
  <c r="G704" i="1"/>
  <c r="G669" i="1"/>
  <c r="G689" i="1"/>
  <c r="G629" i="1"/>
  <c r="G673" i="1"/>
  <c r="H628" i="1" l="1"/>
  <c r="H675" i="1" s="1"/>
  <c r="H672" i="1"/>
  <c r="H685" i="1"/>
  <c r="H643" i="1"/>
  <c r="H688" i="1"/>
  <c r="H707" i="1"/>
  <c r="H700" i="1"/>
  <c r="H647" i="1"/>
  <c r="H710" i="1"/>
  <c r="H629" i="1"/>
  <c r="I629" i="1" s="1"/>
  <c r="H713" i="1"/>
  <c r="H646" i="1"/>
  <c r="H641" i="1"/>
  <c r="H690" i="1"/>
  <c r="H716" i="1"/>
  <c r="H642" i="1"/>
  <c r="H695" i="1"/>
  <c r="H699" i="1"/>
  <c r="H673" i="1"/>
  <c r="H712" i="1"/>
  <c r="H669" i="1"/>
  <c r="H679" i="1"/>
  <c r="H687" i="1"/>
  <c r="H680" i="1"/>
  <c r="H704" i="1"/>
  <c r="H677" i="1"/>
  <c r="H711" i="1"/>
  <c r="H708" i="1"/>
  <c r="H692" i="1"/>
  <c r="H676" i="1"/>
  <c r="H638" i="1"/>
  <c r="H691" i="1"/>
  <c r="H689" i="1"/>
  <c r="H681" i="1"/>
  <c r="H696" i="1"/>
  <c r="H698" i="1"/>
  <c r="H678" i="1"/>
  <c r="H701" i="1"/>
  <c r="H644" i="1"/>
  <c r="H686" i="1"/>
  <c r="H671" i="1"/>
  <c r="H631" i="1"/>
  <c r="G715" i="1"/>
  <c r="H636" i="1" l="1"/>
  <c r="H668" i="1"/>
  <c r="H639" i="1"/>
  <c r="H693" i="1"/>
  <c r="H637" i="1"/>
  <c r="H640" i="1"/>
  <c r="H705" i="1"/>
  <c r="H645" i="1"/>
  <c r="H632" i="1"/>
  <c r="H674" i="1"/>
  <c r="H706" i="1"/>
  <c r="H697" i="1"/>
  <c r="H670" i="1"/>
  <c r="H633" i="1"/>
  <c r="H703" i="1"/>
  <c r="H630" i="1"/>
  <c r="H715" i="1" s="1"/>
  <c r="H634" i="1"/>
  <c r="H682" i="1"/>
  <c r="H694" i="1"/>
  <c r="H683" i="1"/>
  <c r="H709" i="1"/>
  <c r="H684" i="1"/>
  <c r="H702" i="1"/>
  <c r="H635" i="1"/>
  <c r="I635" i="1"/>
  <c r="I670" i="1"/>
  <c r="I683" i="1"/>
  <c r="I713" i="1"/>
  <c r="I707" i="1"/>
  <c r="I682" i="1"/>
  <c r="I690" i="1"/>
  <c r="I701" i="1"/>
  <c r="I645" i="1"/>
  <c r="I633" i="1"/>
  <c r="I711" i="1"/>
  <c r="I668" i="1"/>
  <c r="I680" i="1"/>
  <c r="I678" i="1"/>
  <c r="I681" i="1"/>
  <c r="I642" i="1"/>
  <c r="I685" i="1"/>
  <c r="I716" i="1"/>
  <c r="I687" i="1"/>
  <c r="I710" i="1"/>
  <c r="I679" i="1"/>
  <c r="I643" i="1"/>
  <c r="I632" i="1"/>
  <c r="I641" i="1"/>
  <c r="I669" i="1"/>
  <c r="I637" i="1"/>
  <c r="I630" i="1"/>
  <c r="I702" i="1"/>
  <c r="I689" i="1"/>
  <c r="I708" i="1"/>
  <c r="I695" i="1"/>
  <c r="I640" i="1"/>
  <c r="I706" i="1"/>
  <c r="I704" i="1"/>
  <c r="I671" i="1"/>
  <c r="I684" i="1"/>
  <c r="I692" i="1"/>
  <c r="I647" i="1"/>
  <c r="I688" i="1"/>
  <c r="I634" i="1"/>
  <c r="I691" i="1"/>
  <c r="I677" i="1"/>
  <c r="I673" i="1"/>
  <c r="I686" i="1"/>
  <c r="I693" i="1"/>
  <c r="I644" i="1"/>
  <c r="I674" i="1"/>
  <c r="I700" i="1"/>
  <c r="I646" i="1"/>
  <c r="I696" i="1"/>
  <c r="I672" i="1"/>
  <c r="I697" i="1"/>
  <c r="I705" i="1"/>
  <c r="I703" i="1"/>
  <c r="I631" i="1"/>
  <c r="I709" i="1"/>
  <c r="I676" i="1"/>
  <c r="I638" i="1"/>
  <c r="I698" i="1"/>
  <c r="I694" i="1"/>
  <c r="I699" i="1"/>
  <c r="I636" i="1"/>
  <c r="I712" i="1"/>
  <c r="I675" i="1"/>
  <c r="I639" i="1"/>
  <c r="J630" i="1" l="1"/>
  <c r="I715" i="1"/>
  <c r="J645" i="1"/>
  <c r="J639" i="1"/>
  <c r="J647" i="1"/>
  <c r="L647" i="1" s="1"/>
  <c r="J674" i="1"/>
  <c r="J704" i="1"/>
  <c r="J716" i="1"/>
  <c r="J697" i="1"/>
  <c r="J631" i="1"/>
  <c r="J668" i="1"/>
  <c r="J712" i="1"/>
  <c r="J695" i="1"/>
  <c r="J643" i="1"/>
  <c r="J680" i="1"/>
  <c r="J641" i="1"/>
  <c r="J713" i="1"/>
  <c r="J646" i="1"/>
  <c r="J688" i="1"/>
  <c r="J636" i="1"/>
  <c r="J690" i="1"/>
  <c r="J669" i="1"/>
  <c r="J689" i="1"/>
  <c r="J670" i="1"/>
  <c r="J678" i="1"/>
  <c r="J673" i="1"/>
  <c r="J707" i="1"/>
  <c r="J698" i="1"/>
  <c r="J702" i="1"/>
  <c r="J694" i="1"/>
  <c r="J699" i="1"/>
  <c r="J684" i="1"/>
  <c r="J691" i="1"/>
  <c r="J637" i="1"/>
  <c r="J693" i="1"/>
  <c r="J682" i="1"/>
  <c r="J687" i="1"/>
  <c r="J708" i="1"/>
  <c r="J681" i="1"/>
  <c r="J709" i="1"/>
  <c r="J632" i="1"/>
  <c r="J671" i="1"/>
  <c r="J706" i="1"/>
  <c r="J676" i="1"/>
  <c r="J672" i="1"/>
  <c r="J696" i="1"/>
  <c r="J703" i="1"/>
  <c r="J686" i="1"/>
  <c r="J644" i="1"/>
  <c r="J701" i="1"/>
  <c r="J640" i="1"/>
  <c r="J711" i="1"/>
  <c r="J692" i="1"/>
  <c r="J675" i="1"/>
  <c r="J635" i="1"/>
  <c r="J677" i="1"/>
  <c r="J685" i="1"/>
  <c r="J634" i="1"/>
  <c r="J705" i="1"/>
  <c r="J642" i="1"/>
  <c r="J710" i="1"/>
  <c r="J700" i="1"/>
  <c r="J683" i="1"/>
  <c r="J679" i="1"/>
  <c r="J638" i="1"/>
  <c r="J633" i="1"/>
  <c r="K644" i="1" l="1"/>
  <c r="K702" i="1" s="1"/>
  <c r="K697" i="1"/>
  <c r="K691" i="1"/>
  <c r="K685" i="1"/>
  <c r="K670" i="1"/>
  <c r="K706" i="1"/>
  <c r="K679" i="1"/>
  <c r="K676" i="1"/>
  <c r="K678" i="1"/>
  <c r="K689" i="1"/>
  <c r="K716" i="1"/>
  <c r="K704" i="1"/>
  <c r="K708" i="1"/>
  <c r="K699" i="1"/>
  <c r="K682" i="1"/>
  <c r="K711" i="1"/>
  <c r="K681" i="1"/>
  <c r="K701" i="1"/>
  <c r="K677" i="1"/>
  <c r="K698" i="1"/>
  <c r="K700" i="1"/>
  <c r="K671" i="1"/>
  <c r="K713" i="1"/>
  <c r="K710" i="1"/>
  <c r="M710" i="1" s="1"/>
  <c r="K712" i="1"/>
  <c r="K692" i="1"/>
  <c r="K695" i="1"/>
  <c r="K686" i="1"/>
  <c r="K684" i="1"/>
  <c r="M684" i="1" s="1"/>
  <c r="K696" i="1"/>
  <c r="K669" i="1"/>
  <c r="M669" i="1" s="1"/>
  <c r="K693" i="1"/>
  <c r="K673" i="1"/>
  <c r="K705" i="1"/>
  <c r="K694" i="1"/>
  <c r="K687" i="1"/>
  <c r="K674" i="1"/>
  <c r="K709" i="1"/>
  <c r="K707" i="1"/>
  <c r="K672" i="1"/>
  <c r="K688" i="1"/>
  <c r="K675" i="1"/>
  <c r="K683" i="1"/>
  <c r="K668" i="1"/>
  <c r="K690" i="1"/>
  <c r="M690" i="1" s="1"/>
  <c r="K703" i="1"/>
  <c r="K680" i="1"/>
  <c r="L670" i="1"/>
  <c r="M670" i="1" s="1"/>
  <c r="L708" i="1"/>
  <c r="L669" i="1"/>
  <c r="L686" i="1"/>
  <c r="L698" i="1"/>
  <c r="M698" i="1" s="1"/>
  <c r="L677" i="1"/>
  <c r="L697" i="1"/>
  <c r="L704" i="1"/>
  <c r="M704" i="1" s="1"/>
  <c r="L687" i="1"/>
  <c r="L707" i="1"/>
  <c r="L668" i="1"/>
  <c r="L684" i="1"/>
  <c r="L706" i="1"/>
  <c r="M706" i="1" s="1"/>
  <c r="L709" i="1"/>
  <c r="M709" i="1" s="1"/>
  <c r="L705" i="1"/>
  <c r="M705" i="1" s="1"/>
  <c r="L681" i="1"/>
  <c r="L712" i="1"/>
  <c r="M712" i="1" s="1"/>
  <c r="L675" i="1"/>
  <c r="L685" i="1"/>
  <c r="M685" i="1" s="1"/>
  <c r="L691" i="1"/>
  <c r="M691" i="1" s="1"/>
  <c r="L696" i="1"/>
  <c r="M696" i="1" s="1"/>
  <c r="L695" i="1"/>
  <c r="L689" i="1"/>
  <c r="M689" i="1" s="1"/>
  <c r="L716" i="1"/>
  <c r="L702" i="1"/>
  <c r="L682" i="1"/>
  <c r="L683" i="1"/>
  <c r="M683" i="1" s="1"/>
  <c r="L692" i="1"/>
  <c r="M692" i="1" s="1"/>
  <c r="L679" i="1"/>
  <c r="L673" i="1"/>
  <c r="M673" i="1" s="1"/>
  <c r="L688" i="1"/>
  <c r="M688" i="1" s="1"/>
  <c r="L703" i="1"/>
  <c r="L701" i="1"/>
  <c r="M701" i="1" s="1"/>
  <c r="L672" i="1"/>
  <c r="L676" i="1"/>
  <c r="L690" i="1"/>
  <c r="L713" i="1"/>
  <c r="L699" i="1"/>
  <c r="M699" i="1" s="1"/>
  <c r="L671" i="1"/>
  <c r="L678" i="1"/>
  <c r="L711" i="1"/>
  <c r="M711" i="1" s="1"/>
  <c r="L710" i="1"/>
  <c r="L693" i="1"/>
  <c r="L694" i="1"/>
  <c r="M694" i="1" s="1"/>
  <c r="L700" i="1"/>
  <c r="M700" i="1" s="1"/>
  <c r="L680" i="1"/>
  <c r="L674" i="1"/>
  <c r="M674" i="1" s="1"/>
  <c r="M695" i="1"/>
  <c r="M675" i="1"/>
  <c r="M668" i="1"/>
  <c r="J715" i="1"/>
  <c r="M686" i="1"/>
  <c r="M679" i="1" l="1"/>
  <c r="M676" i="1"/>
  <c r="M693" i="1"/>
  <c r="M672" i="1"/>
  <c r="G23" i="9" s="1"/>
  <c r="M713" i="1"/>
  <c r="F215" i="9" s="1"/>
  <c r="M702" i="1"/>
  <c r="I151" i="9" s="1"/>
  <c r="M687" i="1"/>
  <c r="E215" i="9"/>
  <c r="D215" i="9"/>
  <c r="E87" i="9"/>
  <c r="C119" i="9"/>
  <c r="I87" i="9"/>
  <c r="C151" i="9"/>
  <c r="E183" i="9"/>
  <c r="H23" i="9"/>
  <c r="G151" i="9"/>
  <c r="I23" i="9"/>
  <c r="D119" i="9"/>
  <c r="I119" i="9"/>
  <c r="H87" i="9"/>
  <c r="M678" i="1"/>
  <c r="M703" i="1"/>
  <c r="M681" i="1"/>
  <c r="G55" i="9"/>
  <c r="D183" i="9"/>
  <c r="M680" i="1"/>
  <c r="F151" i="9"/>
  <c r="I183" i="9"/>
  <c r="M671" i="1"/>
  <c r="C215" i="9"/>
  <c r="E23" i="9"/>
  <c r="F183" i="9"/>
  <c r="H119" i="9"/>
  <c r="F119" i="9"/>
  <c r="E119" i="9"/>
  <c r="K715" i="1"/>
  <c r="C23" i="9"/>
  <c r="E151" i="9"/>
  <c r="G87" i="9"/>
  <c r="D55" i="9"/>
  <c r="D87" i="9"/>
  <c r="F87" i="9"/>
  <c r="L715" i="1"/>
  <c r="M677" i="1"/>
  <c r="H151" i="9"/>
  <c r="D23" i="9"/>
  <c r="C55" i="9"/>
  <c r="G119" i="9"/>
  <c r="M682" i="1"/>
  <c r="M707" i="1"/>
  <c r="M708" i="1"/>
  <c r="M697" i="1"/>
  <c r="C87" i="9" l="1"/>
  <c r="H55" i="9"/>
  <c r="F23" i="9"/>
  <c r="H183" i="9"/>
  <c r="D151" i="9"/>
  <c r="G183" i="9"/>
  <c r="M715" i="1"/>
  <c r="I55" i="9"/>
  <c r="C183" i="9"/>
  <c r="E55" i="9"/>
  <c r="F55" i="9"/>
</calcChain>
</file>

<file path=xl/sharedStrings.xml><?xml version="1.0" encoding="utf-8"?>
<sst xmlns="http://schemas.openxmlformats.org/spreadsheetml/2006/main" count="4670" uniqueCount="1279">
  <si>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</si>
  <si>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</si>
  <si>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</si>
  <si>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</si>
  <si>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</si>
  <si>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</si>
  <si>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</si>
  <si>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</si>
  <si>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</si>
  <si>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</si>
  <si>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</si>
  <si>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</si>
  <si>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</si>
  <si>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</si>
  <si>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</si>
  <si>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</si>
  <si>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</si>
  <si>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</si>
  <si>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</si>
  <si>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</si>
  <si>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</si>
  <si>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</si>
  <si>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</si>
  <si>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</si>
  <si>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</si>
  <si>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</si>
  <si>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</si>
  <si>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</si>
  <si>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</si>
  <si>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</si>
  <si>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</si>
  <si>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</si>
  <si>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</si>
  <si>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</si>
  <si>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</si>
  <si>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</si>
  <si>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</si>
  <si>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</si>
  <si>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</si>
  <si>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</si>
  <si>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</si>
  <si>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</si>
  <si>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</si>
  <si>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</si>
  <si>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</si>
  <si>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</si>
  <si>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</si>
  <si>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</si>
  <si>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</si>
  <si>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</si>
  <si>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</si>
  <si>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</si>
  <si>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</si>
  <si>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</si>
  <si>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</si>
  <si>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</si>
  <si>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</si>
  <si>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</si>
  <si>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</si>
  <si>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</si>
  <si>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</si>
  <si>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</si>
  <si>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</si>
  <si>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</si>
  <si>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</si>
  <si>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</si>
  <si>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</si>
  <si>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</si>
  <si>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</si>
  <si>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</si>
  <si>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</si>
  <si>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</si>
  <si>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</si>
  <si>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</si>
  <si>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</si>
  <si>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</si>
  <si>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</si>
  <si>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</si>
  <si>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</si>
  <si>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</si>
  <si>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</si>
  <si>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</si>
  <si>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</si>
  <si>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</si>
  <si>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</si>
  <si>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</si>
  <si>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</si>
  <si>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</si>
  <si>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</si>
  <si>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</si>
  <si>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</si>
  <si>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</si>
  <si>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</si>
  <si>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</si>
  <si>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</si>
  <si>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</si>
  <si>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</si>
  <si>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</si>
  <si>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</si>
  <si>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</si>
  <si>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</si>
  <si>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</si>
  <si>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</si>
  <si>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</si>
  <si>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</si>
  <si>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</si>
  <si>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</si>
  <si>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</si>
  <si>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</si>
  <si>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</si>
  <si>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</si>
  <si>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</si>
  <si>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</si>
  <si>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</si>
  <si>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</si>
  <si>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</si>
  <si>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</si>
  <si>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</si>
  <si>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</si>
  <si>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</si>
  <si>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</si>
  <si>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</si>
  <si>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</si>
  <si>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</si>
  <si>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</si>
  <si>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</si>
  <si>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</si>
  <si>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</si>
  <si>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</si>
  <si>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</si>
  <si>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</si>
  <si>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</si>
  <si>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</si>
  <si>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</si>
  <si>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</si>
  <si>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</si>
  <si>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</si>
  <si>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</si>
  <si>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</si>
  <si>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</si>
  <si>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</si>
  <si>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</si>
  <si>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</si>
  <si>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</si>
  <si>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</si>
  <si>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</si>
  <si>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</si>
  <si>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</si>
  <si>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</si>
  <si>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</si>
  <si>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</si>
  <si>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</si>
  <si>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</si>
  <si>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</si>
  <si>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</si>
  <si>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</si>
  <si>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</si>
  <si>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</si>
  <si>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</si>
  <si>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</si>
  <si>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</si>
  <si>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</si>
  <si>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</si>
  <si>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</si>
  <si>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</si>
  <si>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</si>
  <si>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</si>
  <si>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</si>
  <si>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</si>
  <si>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</si>
  <si>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</si>
  <si>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</si>
  <si>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</si>
  <si>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</si>
  <si>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</si>
  <si>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</si>
  <si>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</si>
  <si>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</si>
  <si>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</si>
  <si>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</si>
  <si>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</si>
  <si>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</si>
  <si>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</si>
  <si>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</si>
  <si>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</si>
  <si>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</si>
  <si>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</si>
  <si>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</si>
  <si>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</si>
  <si>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</si>
  <si>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</si>
  <si>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</si>
  <si>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</si>
  <si>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</si>
  <si>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</si>
  <si>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</si>
  <si>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</si>
  <si>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</si>
  <si>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</si>
  <si>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</si>
  <si>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</si>
  <si>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</si>
  <si>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</si>
  <si>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</si>
  <si>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</si>
  <si>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</si>
  <si>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</si>
  <si>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</si>
  <si>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</si>
  <si>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</si>
  <si>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</si>
  <si>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</si>
  <si>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</si>
  <si>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</si>
  <si>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</si>
  <si>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</si>
  <si>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</si>
  <si>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</si>
  <si>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</si>
  <si>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</si>
  <si>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</si>
  <si>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</si>
  <si>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</si>
  <si>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</si>
  <si>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</si>
  <si>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</si>
  <si>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</si>
  <si>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</si>
  <si>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</si>
  <si>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</si>
  <si>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</si>
  <si>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</si>
  <si>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</si>
  <si>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</si>
  <si>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</si>
  <si>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</si>
  <si>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</si>
  <si>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</si>
  <si>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</si>
  <si>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</si>
  <si>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</si>
  <si>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</si>
  <si>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</si>
  <si>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</si>
  <si>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</si>
  <si>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</si>
  <si>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</si>
  <si>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</si>
  <si>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</si>
  <si>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</si>
  <si>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</si>
  <si>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</si>
  <si>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</si>
  <si>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</si>
  <si>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</si>
  <si>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</si>
  <si>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</si>
  <si>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</si>
  <si>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</si>
  <si>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</si>
  <si>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</si>
  <si>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</si>
  <si>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</si>
  <si>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</si>
  <si>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</si>
  <si>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</si>
  <si>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</si>
  <si>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</si>
  <si>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</si>
  <si>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</si>
  <si>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</si>
  <si>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</si>
  <si>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</si>
  <si>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</si>
  <si>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</si>
  <si>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</si>
  <si>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</si>
  <si>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</si>
  <si>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</si>
  <si>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</si>
  <si>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</si>
  <si>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</si>
  <si>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</si>
  <si>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</si>
  <si>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</si>
  <si>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</si>
  <si>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</si>
  <si>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</si>
  <si>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</si>
  <si>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</si>
  <si>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</si>
  <si>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</si>
  <si>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</si>
  <si>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</si>
  <si>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</si>
  <si>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</si>
  <si>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</si>
  <si>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</si>
  <si>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</si>
  <si>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</si>
  <si>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</si>
  <si>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</si>
  <si>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</si>
  <si>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</si>
  <si>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</si>
  <si>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</si>
  <si>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</si>
  <si>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</si>
  <si>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</si>
  <si>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</si>
  <si>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</si>
  <si>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</si>
  <si>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</si>
  <si>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</si>
  <si>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</si>
  <si>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</si>
  <si>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</si>
  <si>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</si>
  <si>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</si>
  <si>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</si>
  <si>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</si>
  <si>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</si>
  <si>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</si>
  <si>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</si>
  <si>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</si>
  <si>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</si>
  <si>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</si>
  <si>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</si>
  <si>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</si>
  <si>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</si>
  <si>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</si>
  <si>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</si>
  <si>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</si>
  <si>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</si>
  <si>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</si>
  <si>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</si>
  <si>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</si>
  <si>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</si>
  <si>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</si>
  <si>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</si>
  <si>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</si>
  <si>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</si>
  <si>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</si>
  <si>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</si>
  <si>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</si>
  <si>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</si>
  <si>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</si>
  <si>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</si>
  <si>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</si>
  <si>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</si>
  <si>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</si>
  <si>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</si>
  <si>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</si>
  <si>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</si>
  <si>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</si>
  <si>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</si>
  <si>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</si>
  <si>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</si>
  <si>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</si>
  <si>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</si>
  <si>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</si>
  <si>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</si>
  <si>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</si>
  <si>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</si>
  <si>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</si>
  <si>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</si>
  <si>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</si>
  <si>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</si>
  <si>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</si>
  <si>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</si>
  <si>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</si>
  <si>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</si>
  <si>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</si>
  <si>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</si>
  <si>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</si>
  <si>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</si>
  <si>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</si>
  <si>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</si>
  <si>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</si>
  <si>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</si>
  <si>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</si>
  <si>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</si>
  <si>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</si>
  <si>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</si>
  <si>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</si>
  <si>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</si>
  <si>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</si>
  <si>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</si>
  <si>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</si>
  <si>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</si>
  <si>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</si>
  <si>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</si>
  <si>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</si>
  <si>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</si>
  <si>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</si>
  <si>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</si>
  <si>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</si>
  <si>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</si>
  <si>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</si>
  <si>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</si>
  <si>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</si>
  <si>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</si>
  <si>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</si>
  <si>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</si>
  <si>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</si>
  <si>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</si>
  <si>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</si>
  <si>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</si>
  <si>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</si>
  <si>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</si>
  <si>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</si>
  <si>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</si>
  <si>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</si>
  <si>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</si>
  <si>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</si>
  <si>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</si>
  <si>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</si>
  <si>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</si>
  <si>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</si>
  <si>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</si>
  <si>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</si>
  <si>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</si>
  <si>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</si>
  <si>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</si>
  <si>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</si>
  <si>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</si>
  <si>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</si>
  <si>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</si>
  <si>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</si>
  <si>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</si>
  <si>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</si>
  <si>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</si>
  <si>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</si>
  <si>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</si>
  <si>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</si>
  <si>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</si>
  <si>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</si>
  <si>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</si>
  <si>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</si>
  <si>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</si>
  <si>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</si>
  <si>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</si>
  <si>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</si>
  <si>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</si>
  <si>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</si>
  <si>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</si>
  <si>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</si>
  <si>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</si>
  <si>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</si>
  <si>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</si>
  <si>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</si>
  <si>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</si>
  <si>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</si>
  <si>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</si>
  <si>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</si>
  <si>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</si>
  <si>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</si>
  <si>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</si>
  <si>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</si>
  <si>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</si>
  <si>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</si>
  <si>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</si>
  <si>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</si>
  <si>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</si>
  <si>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</si>
  <si>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</si>
  <si>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</si>
  <si>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</si>
  <si>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</si>
  <si>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</si>
  <si>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</si>
  <si>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</si>
  <si>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</si>
  <si>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</si>
  <si>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</si>
  <si>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</si>
  <si>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</si>
  <si>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</si>
  <si>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</si>
  <si>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</si>
  <si>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</si>
  <si>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</si>
  <si>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</si>
  <si>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</si>
  <si>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</si>
  <si>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</si>
  <si>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</si>
  <si>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</si>
  <si>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</si>
  <si>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</si>
  <si>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</si>
  <si>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</si>
  <si>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</si>
  <si>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</si>
  <si>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</si>
  <si>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</si>
  <si>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</si>
  <si>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</si>
  <si>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</si>
  <si>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</si>
  <si>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</si>
  <si>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</si>
  <si>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</si>
  <si>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</si>
  <si>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</si>
  <si>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</si>
  <si>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</si>
  <si>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</si>
  <si>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</si>
  <si>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</si>
  <si>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</si>
  <si>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</si>
  <si>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</si>
  <si>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</si>
  <si>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</si>
  <si>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</si>
  <si>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</si>
  <si>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</si>
  <si>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</si>
  <si>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</si>
  <si>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</si>
  <si>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</si>
  <si>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</si>
  <si>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</si>
  <si>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</si>
  <si>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</si>
  <si>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</si>
  <si>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</si>
  <si>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</si>
  <si>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</si>
  <si>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</si>
  <si>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</si>
  <si>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</si>
  <si>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</si>
  <si>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</si>
  <si>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</si>
  <si>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</si>
  <si>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</si>
  <si>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</si>
  <si>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</si>
  <si>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</si>
  <si>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</si>
  <si>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</si>
  <si>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</si>
  <si>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</si>
  <si>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</si>
  <si>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</si>
  <si>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</si>
  <si>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</si>
  <si>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</si>
  <si>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</si>
  <si>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</si>
  <si>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</si>
  <si>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</si>
  <si>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</si>
  <si>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</si>
  <si>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</si>
  <si>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</si>
  <si>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</si>
  <si>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</si>
  <si>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</si>
  <si>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</si>
  <si>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</si>
  <si>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</si>
  <si>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</si>
  <si>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</si>
  <si>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</si>
  <si>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</si>
  <si>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</si>
  <si>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</si>
  <si>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</si>
  <si>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</si>
  <si>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</si>
  <si>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</si>
  <si>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</si>
  <si>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</si>
  <si>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</si>
  <si>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</si>
  <si>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</si>
  <si>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</si>
  <si>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</si>
  <si>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</si>
  <si>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</si>
  <si>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</si>
  <si>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</si>
  <si>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</si>
  <si>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</si>
  <si>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</si>
  <si>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</si>
  <si>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</si>
  <si>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</si>
  <si>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</si>
  <si>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</si>
  <si>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</si>
  <si>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</si>
  <si>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</si>
  <si>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</si>
  <si>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</si>
  <si>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</si>
  <si>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</si>
  <si>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</si>
  <si>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</si>
  <si>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</si>
  <si>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</si>
  <si>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</si>
  <si>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</si>
  <si>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</si>
  <si>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</si>
  <si>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</si>
  <si>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</si>
  <si>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</si>
  <si>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</si>
  <si>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</si>
  <si>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</si>
  <si>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</si>
  <si>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</si>
  <si>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</si>
  <si>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</si>
  <si>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</si>
  <si>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</si>
  <si>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</si>
  <si>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</si>
  <si>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</si>
  <si>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</si>
  <si>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</si>
  <si>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</si>
  <si>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</si>
  <si>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</si>
  <si>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</si>
  <si>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</si>
  <si>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</si>
  <si>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</si>
  <si>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</si>
  <si>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</si>
  <si>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</si>
  <si>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</si>
  <si>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</si>
  <si>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</si>
  <si>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</si>
  <si>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</si>
  <si>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</si>
  <si>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</si>
  <si>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</si>
  <si>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</si>
  <si>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</si>
  <si>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</si>
  <si>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</si>
  <si>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</si>
  <si>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</si>
  <si>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</si>
  <si>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</si>
  <si>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</si>
  <si>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</si>
  <si>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</si>
  <si>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</si>
  <si>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</si>
  <si>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</si>
  <si>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</si>
  <si>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</si>
  <si>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</si>
  <si>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</si>
  <si>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</si>
  <si>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</si>
  <si>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</si>
  <si>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</si>
  <si>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</si>
  <si>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</si>
  <si>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</si>
  <si>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</si>
  <si>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</si>
  <si>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</si>
  <si>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</si>
  <si>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</si>
  <si>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</si>
  <si>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</si>
  <si>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</si>
  <si>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</si>
  <si>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</si>
  <si>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</si>
  <si>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</si>
  <si>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</si>
  <si>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</si>
  <si>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</si>
  <si>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</si>
  <si>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</si>
  <si>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</si>
  <si>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</si>
  <si>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</si>
  <si>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</si>
  <si>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</si>
  <si>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</si>
  <si>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</si>
  <si>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</si>
  <si>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</si>
  <si>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</si>
  <si>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</si>
  <si>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</si>
  <si>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</si>
  <si>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</si>
  <si>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</si>
  <si>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</si>
  <si>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</si>
  <si>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</si>
  <si>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</si>
  <si>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</si>
  <si>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</si>
  <si>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</si>
  <si>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</si>
  <si>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</si>
  <si>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</si>
  <si>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</si>
  <si>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</si>
  <si>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</si>
  <si>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</si>
  <si>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</si>
  <si>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</si>
  <si>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</si>
  <si>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</si>
  <si>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</si>
  <si>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</si>
  <si>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</si>
  <si>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</si>
  <si>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</si>
  <si>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</si>
  <si>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</si>
  <si>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</si>
  <si>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</si>
  <si>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</si>
  <si>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</si>
  <si>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</si>
  <si>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</si>
  <si>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</si>
  <si>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</si>
  <si>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</si>
  <si>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</si>
  <si>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</si>
  <si>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</si>
  <si>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</si>
  <si>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</si>
  <si>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</si>
  <si>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</si>
  <si>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</si>
  <si>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</si>
  <si>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</si>
  <si>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</si>
  <si>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</si>
  <si>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</si>
  <si>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</si>
  <si>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</si>
  <si>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</si>
  <si>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</si>
  <si>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</si>
  <si>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</si>
  <si>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</si>
  <si>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</si>
  <si>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</si>
  <si>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</si>
  <si>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</si>
  <si>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</si>
  <si>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</si>
  <si>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</si>
  <si>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</si>
  <si>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</si>
  <si>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</si>
  <si>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</si>
  <si>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</si>
  <si>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</si>
  <si>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</si>
  <si>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</si>
  <si>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</si>
  <si>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</si>
  <si>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</si>
  <si>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</si>
  <si>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</si>
  <si>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</si>
  <si>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</si>
  <si>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</si>
  <si>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</si>
  <si>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</si>
  <si>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</si>
  <si>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</si>
  <si>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</si>
  <si>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</si>
  <si>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</si>
  <si>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</si>
  <si>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</si>
  <si>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</si>
  <si>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</si>
  <si>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</si>
  <si>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</si>
  <si>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</si>
  <si>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</si>
  <si>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</si>
  <si>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</si>
  <si>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</si>
  <si>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</si>
  <si>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</si>
  <si>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</si>
  <si>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</si>
  <si>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</si>
  <si>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</si>
  <si>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</si>
  <si>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</si>
  <si>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</si>
  <si>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</si>
  <si>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</si>
  <si>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</si>
  <si>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</si>
  <si>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</si>
  <si>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</si>
  <si>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</si>
  <si>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</si>
  <si>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</si>
  <si>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</si>
  <si>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</si>
  <si>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</si>
  <si>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</si>
  <si>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</si>
  <si>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</si>
  <si>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</si>
  <si>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</si>
  <si>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</si>
  <si>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</si>
  <si>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</si>
  <si>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</si>
  <si>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</si>
  <si>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</si>
  <si>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</si>
  <si>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</si>
  <si>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</si>
  <si>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</si>
  <si>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</si>
  <si>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</si>
  <si>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</si>
  <si>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</si>
  <si>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</si>
  <si>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</si>
  <si>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</si>
  <si>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</si>
  <si>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</si>
  <si>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</si>
  <si>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</si>
  <si>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</si>
  <si>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</si>
  <si>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</si>
  <si>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</si>
  <si>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</si>
  <si>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</si>
  <si>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</si>
  <si>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</si>
  <si>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</si>
  <si>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</si>
  <si>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</si>
  <si>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</si>
  <si>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</si>
  <si>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</si>
  <si>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</si>
  <si>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</si>
  <si>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</si>
  <si>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</si>
  <si>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</si>
  <si>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</si>
  <si>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</si>
  <si>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</si>
  <si>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</si>
  <si>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</si>
  <si>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</si>
  <si>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</si>
  <si>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</si>
  <si>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</si>
  <si>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</si>
  <si>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</si>
  <si>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</si>
  <si>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</si>
  <si>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</si>
  <si>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</si>
  <si>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</si>
  <si>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</si>
  <si>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</si>
  <si>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</si>
  <si>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</si>
  <si>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</si>
  <si>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</si>
  <si>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</si>
  <si>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</si>
  <si>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</si>
  <si>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</si>
  <si>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</si>
  <si>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</si>
  <si>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</si>
  <si>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</si>
  <si>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</si>
  <si>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</si>
  <si>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</si>
  <si>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</si>
  <si>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</si>
  <si>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</si>
  <si>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</si>
  <si>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</si>
  <si>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</si>
  <si>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</si>
  <si>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</si>
  <si>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</si>
  <si>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</si>
  <si>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</si>
  <si>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</si>
  <si>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</si>
  <si>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</si>
  <si>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</si>
  <si>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</si>
  <si>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</si>
  <si>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</si>
  <si>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</si>
  <si>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</si>
  <si>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</si>
  <si>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</si>
  <si>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</si>
  <si>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</si>
  <si>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</si>
  <si>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</si>
  <si>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</si>
  <si>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</si>
  <si>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</si>
  <si>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</si>
  <si>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</si>
  <si>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</si>
  <si>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</si>
  <si>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</si>
  <si>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</si>
  <si>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</si>
  <si>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</si>
  <si>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</si>
  <si>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</si>
  <si>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</si>
  <si>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</si>
  <si>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</si>
  <si>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</si>
  <si>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</si>
  <si>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</si>
  <si>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</si>
  <si>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</si>
  <si>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</si>
  <si>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</si>
  <si>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</si>
  <si>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</si>
  <si>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</si>
  <si>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</si>
  <si>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</si>
  <si>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</si>
  <si>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</si>
  <si>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</si>
  <si>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</si>
  <si>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</si>
  <si>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</si>
  <si>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</si>
  <si>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</si>
  <si>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</si>
  <si>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</si>
  <si>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</si>
  <si>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</si>
  <si>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</si>
  <si>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</si>
  <si>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</si>
  <si>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</si>
  <si>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</si>
  <si>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</si>
  <si>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</si>
  <si>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</si>
  <si>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</si>
  <si>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</si>
  <si>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</si>
  <si>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</si>
  <si>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</si>
  <si>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</si>
  <si>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</si>
  <si>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</si>
  <si>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</si>
  <si>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</si>
  <si>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</si>
  <si>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</si>
  <si>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</si>
  <si>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</si>
  <si>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</si>
  <si>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</si>
  <si>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</si>
  <si>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</si>
  <si>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</si>
  <si>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</si>
  <si>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</si>
  <si>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</si>
  <si>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</si>
  <si>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</si>
  <si>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</si>
  <si>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</si>
  <si>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</si>
  <si>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</si>
  <si>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</si>
  <si>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</si>
  <si>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</si>
  <si>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</si>
  <si>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</si>
  <si>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</si>
  <si>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</si>
  <si>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</si>
  <si>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</si>
  <si>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</si>
  <si>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</si>
  <si>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</si>
  <si>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</si>
  <si>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</si>
  <si>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</si>
  <si>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</si>
  <si>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</si>
  <si>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</si>
  <si>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</si>
  <si>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</si>
  <si>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</si>
  <si>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</si>
  <si>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</si>
  <si>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</si>
  <si>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</si>
  <si>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</si>
  <si>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</si>
  <si>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</si>
  <si>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</si>
  <si>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</si>
  <si>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</si>
  <si>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</si>
  <si>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</si>
  <si>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</si>
  <si>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</si>
  <si>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</si>
  <si>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</si>
  <si>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</si>
  <si>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</si>
  <si>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</si>
  <si>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</si>
  <si>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</si>
  <si>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</si>
  <si>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</si>
  <si>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</si>
  <si>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</si>
  <si>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</si>
  <si>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</si>
  <si>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</si>
  <si>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</si>
  <si>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</si>
  <si>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</si>
  <si>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</si>
  <si>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</si>
  <si>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</si>
  <si>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</si>
  <si>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</si>
  <si>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</si>
  <si>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</si>
  <si>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</si>
  <si>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</si>
  <si>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</si>
  <si>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</si>
  <si>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</si>
  <si>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</si>
  <si>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</si>
  <si>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</si>
  <si>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</si>
  <si>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</si>
  <si>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</si>
  <si>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</si>
  <si>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</si>
  <si>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</si>
  <si>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</si>
  <si>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</si>
  <si>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</si>
  <si>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</si>
  <si>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</si>
  <si>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</si>
  <si>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</si>
  <si>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</si>
  <si>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</si>
  <si>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</si>
  <si>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</si>
  <si>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</si>
  <si>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</si>
  <si>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</si>
  <si>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</si>
  <si>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</si>
  <si>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</si>
  <si>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</si>
  <si>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</si>
  <si>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</si>
  <si>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</si>
  <si>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</si>
  <si>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</si>
  <si>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</si>
  <si>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</si>
  <si>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</si>
  <si>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</si>
  <si>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</si>
  <si>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</si>
  <si>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</si>
  <si>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</si>
  <si>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</si>
  <si>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</si>
  <si>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</si>
  <si>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</si>
  <si>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</si>
  <si>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</si>
  <si>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</si>
  <si>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</si>
  <si>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</si>
  <si>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</si>
  <si>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</si>
  <si>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</si>
  <si>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</si>
  <si>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</si>
  <si>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</si>
  <si>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</si>
  <si>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</si>
  <si>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</si>
  <si>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</si>
  <si>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</si>
  <si>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</si>
  <si>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</si>
  <si>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</si>
  <si>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</si>
  <si>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</si>
  <si>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</si>
  <si>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</si>
  <si>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</si>
  <si>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</si>
  <si>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</si>
  <si>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</si>
  <si>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</si>
  <si>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</si>
  <si>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</si>
  <si>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</si>
  <si>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</si>
  <si>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</si>
  <si>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</si>
  <si>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</si>
  <si>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</si>
  <si>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</si>
  <si>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</si>
  <si>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</si>
  <si>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</si>
  <si>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</si>
  <si>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</si>
  <si>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</si>
  <si>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</si>
  <si>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</si>
  <si>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</si>
  <si>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</si>
  <si>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</si>
  <si>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</si>
  <si>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</si>
  <si>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</si>
  <si>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</si>
  <si>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</si>
  <si>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</si>
  <si>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</si>
  <si>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</si>
  <si>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</si>
  <si>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</si>
  <si>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</si>
  <si>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</si>
  <si>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</si>
  <si>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</si>
  <si>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</si>
  <si>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</si>
  <si>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</si>
  <si>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</si>
  <si>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</si>
  <si>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</si>
  <si>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</si>
  <si>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</si>
  <si>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</si>
  <si>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</si>
  <si>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</si>
  <si>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</si>
  <si>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</si>
  <si>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</si>
  <si>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</si>
  <si>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</si>
  <si>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</si>
  <si>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</si>
  <si>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</si>
  <si>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</si>
  <si>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</si>
  <si>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</si>
  <si>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</si>
  <si>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</si>
  <si>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</si>
  <si>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</si>
  <si>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</si>
  <si>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</si>
  <si>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</si>
  <si>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</si>
  <si>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</si>
  <si>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</si>
  <si>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</si>
  <si>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</si>
  <si>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</si>
  <si>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</si>
  <si>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</si>
  <si>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</si>
  <si>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</si>
  <si>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</si>
  <si>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</si>
  <si>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</si>
  <si>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</si>
  <si>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</si>
  <si>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</si>
  <si>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</si>
  <si>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</si>
  <si>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</si>
  <si>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</si>
  <si>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</si>
  <si>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</si>
  <si>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</si>
  <si>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</si>
  <si>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</si>
  <si>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</si>
  <si>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</si>
  <si>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</si>
  <si>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</si>
  <si>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</si>
  <si>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</si>
  <si>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</si>
  <si>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</si>
  <si>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</si>
  <si>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</si>
  <si>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</si>
  <si>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</si>
  <si>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</si>
  <si>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</si>
  <si>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</si>
  <si>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</si>
  <si>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</si>
  <si>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</si>
  <si>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</si>
  <si>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</si>
  <si>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</si>
  <si>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</si>
  <si>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</si>
  <si>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</si>
  <si>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</si>
  <si>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</si>
  <si>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</si>
  <si>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</si>
  <si>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</si>
  <si>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</si>
  <si>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</si>
  <si>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</si>
  <si>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</si>
  <si>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</si>
  <si>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</si>
  <si>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</si>
  <si>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</si>
  <si>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</si>
  <si>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</si>
  <si>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</si>
  <si>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</si>
  <si>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</si>
  <si>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</si>
  <si>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</si>
  <si>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</si>
  <si>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</si>
  <si>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2016</t>
  </si>
  <si>
    <t>12/31/2018</t>
  </si>
  <si>
    <t>King</t>
  </si>
  <si>
    <t>195</t>
  </si>
  <si>
    <t>Snoqualmie Valley Hospital</t>
  </si>
  <si>
    <t>980 Frontier Ave SE</t>
  </si>
  <si>
    <t>Snoqualmie, WA 98065</t>
  </si>
  <si>
    <t>Tom Parker</t>
  </si>
  <si>
    <t>Steve Daniel</t>
  </si>
  <si>
    <t>Dariel Norris</t>
  </si>
  <si>
    <t>425-831-2362</t>
  </si>
  <si>
    <t>425-831-1994</t>
  </si>
  <si>
    <t>Kim Witkop, M.D.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</si>
</sst>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7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  <family val="3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2">
    <xf numFmtId="37" fontId="0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37" fontId="8" fillId="0" borderId="0"/>
    <xf numFmtId="9" fontId="3" fillId="0" borderId="0" applyFont="0" applyFill="0" applyBorder="0" applyAlignment="0" applyProtection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0" fontId="7" fillId="0" borderId="0"/>
    <xf numFmtId="37" fontId="16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37" fontId="16" fillId="0" borderId="0"/>
    <xf numFmtId="0" fontId="1" fillId="0" borderId="0"/>
    <xf numFmtId="37" fontId="16" fillId="0" borderId="0"/>
    <xf numFmtId="43" fontId="3" fillId="0" borderId="0" applyFont="0" applyFill="0" applyBorder="0" applyAlignment="0" applyProtection="0"/>
    <xf numFmtId="37" fontId="8" fillId="0" borderId="0"/>
  </cellStyleXfs>
  <cellXfs count="287">
    <xf numFmtId="37" fontId="0" fillId="0" borderId="0" xfId="0"/>
    <xf numFmtId="37" fontId="5" fillId="0" borderId="0" xfId="0" applyFont="1" applyBorder="1"/>
    <xf numFmtId="37" fontId="5" fillId="0" borderId="0" xfId="0" applyFont="1"/>
    <xf numFmtId="37" fontId="4" fillId="0" borderId="0" xfId="0" applyFont="1" applyFill="1" applyBorder="1"/>
    <xf numFmtId="37" fontId="6" fillId="0" borderId="0" xfId="0" applyNumberFormat="1" applyFont="1" applyFill="1" applyBorder="1" applyAlignment="1" applyProtection="1">
      <alignment horizontal="centerContinuous"/>
    </xf>
    <xf numFmtId="37" fontId="7" fillId="0" borderId="0" xfId="0" applyFont="1" applyBorder="1" applyAlignment="1">
      <alignment horizontal="centerContinuous"/>
    </xf>
    <xf numFmtId="37" fontId="7" fillId="0" borderId="0" xfId="0" applyFont="1" applyAlignment="1">
      <alignment horizontal="centerContinuous"/>
    </xf>
    <xf numFmtId="37" fontId="7" fillId="0" borderId="0" xfId="0" applyFont="1"/>
    <xf numFmtId="37" fontId="7" fillId="0" borderId="0" xfId="0" applyFont="1" applyBorder="1"/>
    <xf numFmtId="37" fontId="6" fillId="0" borderId="0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Border="1" applyAlignment="1" applyProtection="1">
      <alignment horizontal="left"/>
    </xf>
    <xf numFmtId="37" fontId="8" fillId="0" borderId="0" xfId="0" applyFont="1"/>
    <xf numFmtId="37" fontId="7" fillId="0" borderId="0" xfId="0" quotePrefix="1" applyNumberFormat="1" applyFont="1" applyBorder="1" applyAlignment="1" applyProtection="1">
      <alignment horizontal="center"/>
    </xf>
    <xf numFmtId="37" fontId="6" fillId="0" borderId="1" xfId="0" applyNumberFormat="1" applyFont="1" applyFill="1" applyBorder="1" applyProtection="1"/>
    <xf numFmtId="37" fontId="6" fillId="0" borderId="2" xfId="0" applyNumberFormat="1" applyFont="1" applyFill="1" applyBorder="1" applyAlignment="1" applyProtection="1"/>
    <xf numFmtId="37" fontId="6" fillId="0" borderId="2" xfId="0" applyNumberFormat="1" applyFont="1" applyFill="1" applyBorder="1" applyAlignment="1" applyProtection="1">
      <alignment horizontal="center"/>
    </xf>
    <xf numFmtId="37" fontId="6" fillId="0" borderId="3" xfId="0" applyNumberFormat="1" applyFont="1" applyFill="1" applyBorder="1" applyProtection="1"/>
    <xf numFmtId="37" fontId="6" fillId="0" borderId="4" xfId="0" applyNumberFormat="1" applyFont="1" applyFill="1" applyBorder="1" applyAlignment="1" applyProtection="1"/>
    <xf numFmtId="37" fontId="6" fillId="0" borderId="4" xfId="0" applyNumberFormat="1" applyFont="1" applyFill="1" applyBorder="1" applyAlignment="1" applyProtection="1">
      <alignment horizontal="center"/>
    </xf>
    <xf numFmtId="37" fontId="6" fillId="0" borderId="3" xfId="0" applyFont="1" applyFill="1" applyBorder="1"/>
    <xf numFmtId="37" fontId="6" fillId="0" borderId="4" xfId="0" applyFont="1" applyFill="1" applyBorder="1"/>
    <xf numFmtId="37" fontId="6" fillId="0" borderId="2" xfId="0" applyNumberFormat="1" applyFont="1" applyFill="1" applyBorder="1" applyProtection="1"/>
    <xf numFmtId="37" fontId="6" fillId="0" borderId="2" xfId="0" quotePrefix="1" applyNumberFormat="1" applyFont="1" applyFill="1" applyBorder="1" applyAlignment="1" applyProtection="1">
      <alignment horizontal="left"/>
    </xf>
    <xf numFmtId="37" fontId="6" fillId="0" borderId="1" xfId="0" applyNumberFormat="1" applyFont="1" applyFill="1" applyBorder="1" applyAlignment="1" applyProtection="1"/>
    <xf numFmtId="37" fontId="6" fillId="0" borderId="2" xfId="0" applyFont="1" applyFill="1" applyBorder="1"/>
    <xf numFmtId="37" fontId="6" fillId="0" borderId="4" xfId="0" applyFont="1" applyFill="1" applyBorder="1" applyAlignment="1">
      <alignment horizontal="center"/>
    </xf>
    <xf numFmtId="39" fontId="6" fillId="0" borderId="2" xfId="0" applyNumberFormat="1" applyFont="1" applyFill="1" applyBorder="1" applyAlignment="1" applyProtection="1"/>
    <xf numFmtId="37" fontId="7" fillId="0" borderId="2" xfId="0" applyFont="1" applyBorder="1"/>
    <xf numFmtId="37" fontId="7" fillId="0" borderId="4" xfId="0" applyFont="1" applyBorder="1"/>
    <xf numFmtId="37" fontId="6" fillId="0" borderId="0" xfId="0" quotePrefix="1" applyNumberFormat="1" applyFont="1" applyFill="1" applyBorder="1" applyAlignment="1" applyProtection="1">
      <alignment horizontal="left"/>
    </xf>
    <xf numFmtId="37" fontId="6" fillId="0" borderId="0" xfId="0" applyFont="1" applyFill="1" applyBorder="1"/>
    <xf numFmtId="37" fontId="6" fillId="0" borderId="0" xfId="0" quotePrefix="1" applyNumberFormat="1" applyFont="1" applyFill="1" applyBorder="1" applyAlignment="1" applyProtection="1">
      <alignment horizontal="center"/>
    </xf>
    <xf numFmtId="37" fontId="6" fillId="0" borderId="5" xfId="0" applyFont="1" applyFill="1" applyBorder="1"/>
    <xf numFmtId="37" fontId="6" fillId="0" borderId="6" xfId="0" quotePrefix="1" applyNumberFormat="1" applyFont="1" applyFill="1" applyBorder="1" applyAlignment="1" applyProtection="1">
      <alignment horizontal="centerContinuous"/>
    </xf>
    <xf numFmtId="37" fontId="6" fillId="0" borderId="7" xfId="0" applyFont="1" applyFill="1" applyBorder="1" applyAlignment="1">
      <alignment horizontal="centerContinuous"/>
    </xf>
    <xf numFmtId="37" fontId="6" fillId="0" borderId="2" xfId="0" applyNumberFormat="1" applyFont="1" applyFill="1" applyBorder="1" applyAlignment="1" applyProtection="1">
      <alignment horizontal="centerContinuous"/>
    </xf>
    <xf numFmtId="37" fontId="6" fillId="0" borderId="2" xfId="0" applyFont="1" applyFill="1" applyBorder="1" applyAlignment="1">
      <alignment horizontal="centerContinuous"/>
    </xf>
    <xf numFmtId="37" fontId="6" fillId="0" borderId="8" xfId="0" applyNumberFormat="1" applyFont="1" applyFill="1" applyBorder="1" applyAlignment="1" applyProtection="1">
      <alignment horizontal="centerContinuous"/>
    </xf>
    <xf numFmtId="37" fontId="6" fillId="0" borderId="8" xfId="0" applyFont="1" applyFill="1" applyBorder="1"/>
    <xf numFmtId="37" fontId="6" fillId="0" borderId="1" xfId="0" applyNumberFormat="1" applyFont="1" applyFill="1" applyBorder="1" applyAlignment="1" applyProtection="1">
      <alignment horizontal="centerContinuous"/>
    </xf>
    <xf numFmtId="37" fontId="6" fillId="0" borderId="9" xfId="0" applyNumberFormat="1" applyFont="1" applyFill="1" applyBorder="1" applyProtection="1"/>
    <xf numFmtId="37" fontId="6" fillId="0" borderId="10" xfId="0" applyNumberFormat="1" applyFont="1" applyFill="1" applyBorder="1" applyAlignment="1" applyProtection="1"/>
    <xf numFmtId="37" fontId="6" fillId="0" borderId="11" xfId="0" applyFont="1" applyFill="1" applyBorder="1"/>
    <xf numFmtId="37" fontId="6" fillId="0" borderId="6" xfId="0" applyNumberFormat="1" applyFont="1" applyFill="1" applyBorder="1" applyAlignment="1" applyProtection="1">
      <alignment horizontal="centerContinuous"/>
    </xf>
    <xf numFmtId="37" fontId="6" fillId="0" borderId="4" xfId="0" applyFont="1" applyFill="1" applyBorder="1" applyAlignment="1">
      <alignment horizontal="centerContinuous"/>
    </xf>
    <xf numFmtId="37" fontId="6" fillId="0" borderId="0" xfId="0" applyNumberFormat="1" applyFont="1" applyFill="1" applyBorder="1" applyAlignment="1" applyProtection="1"/>
    <xf numFmtId="37" fontId="6" fillId="0" borderId="6" xfId="0" applyFont="1" applyFill="1" applyBorder="1" applyAlignment="1">
      <alignment horizontal="center"/>
    </xf>
    <xf numFmtId="37" fontId="6" fillId="0" borderId="7" xfId="0" applyFont="1" applyFill="1" applyBorder="1" applyAlignment="1">
      <alignment horizontal="center"/>
    </xf>
    <xf numFmtId="37" fontId="6" fillId="0" borderId="2" xfId="0" quotePrefix="1" applyNumberFormat="1" applyFont="1" applyFill="1" applyBorder="1" applyAlignment="1" applyProtection="1"/>
    <xf numFmtId="37" fontId="6" fillId="0" borderId="8" xfId="0" applyNumberFormat="1" applyFont="1" applyFill="1" applyBorder="1" applyAlignment="1" applyProtection="1"/>
    <xf numFmtId="37" fontId="6" fillId="0" borderId="12" xfId="0" applyFont="1" applyFill="1" applyBorder="1"/>
    <xf numFmtId="37" fontId="6" fillId="0" borderId="10" xfId="0" applyFont="1" applyFill="1" applyBorder="1"/>
    <xf numFmtId="37" fontId="6" fillId="0" borderId="7" xfId="0" applyFont="1" applyFill="1" applyBorder="1"/>
    <xf numFmtId="37" fontId="6" fillId="0" borderId="9" xfId="0" applyFont="1" applyFill="1" applyBorder="1"/>
    <xf numFmtId="37" fontId="6" fillId="0" borderId="10" xfId="0" applyFont="1" applyFill="1" applyBorder="1" applyAlignment="1">
      <alignment horizontal="center"/>
    </xf>
    <xf numFmtId="164" fontId="6" fillId="0" borderId="2" xfId="0" applyNumberFormat="1" applyFont="1" applyFill="1" applyBorder="1" applyProtection="1"/>
    <xf numFmtId="37" fontId="6" fillId="0" borderId="2" xfId="0" applyFont="1" applyFill="1" applyBorder="1" applyAlignment="1">
      <alignment horizontal="center"/>
    </xf>
    <xf numFmtId="37" fontId="6" fillId="0" borderId="13" xfId="0" applyNumberFormat="1" applyFont="1" applyFill="1" applyBorder="1" applyProtection="1"/>
    <xf numFmtId="37" fontId="6" fillId="0" borderId="0" xfId="0" applyFont="1" applyFill="1" applyBorder="1" applyAlignment="1">
      <alignment horizontal="center"/>
    </xf>
    <xf numFmtId="164" fontId="6" fillId="0" borderId="2" xfId="0" applyNumberFormat="1" applyFont="1" applyFill="1" applyBorder="1" applyAlignment="1" applyProtection="1">
      <alignment horizontal="right"/>
    </xf>
    <xf numFmtId="37" fontId="6" fillId="0" borderId="2" xfId="0" applyFont="1" applyFill="1" applyBorder="1" applyAlignment="1"/>
    <xf numFmtId="164" fontId="6" fillId="0" borderId="1" xfId="0" applyNumberFormat="1" applyFont="1" applyFill="1" applyBorder="1" applyProtection="1"/>
    <xf numFmtId="164" fontId="6" fillId="0" borderId="1" xfId="0" applyNumberFormat="1" applyFont="1" applyFill="1" applyBorder="1" applyAlignment="1" applyProtection="1"/>
    <xf numFmtId="164" fontId="6" fillId="0" borderId="2" xfId="0" quotePrefix="1" applyNumberFormat="1" applyFont="1" applyFill="1" applyBorder="1" applyAlignment="1" applyProtection="1">
      <alignment horizontal="left"/>
    </xf>
    <xf numFmtId="37" fontId="6" fillId="0" borderId="9" xfId="0" applyNumberFormat="1" applyFont="1" applyFill="1" applyBorder="1" applyAlignment="1" applyProtection="1"/>
    <xf numFmtId="37" fontId="6" fillId="0" borderId="12" xfId="0" quotePrefix="1" applyNumberFormat="1" applyFont="1" applyFill="1" applyBorder="1" applyAlignment="1" applyProtection="1">
      <alignment horizontal="left"/>
    </xf>
    <xf numFmtId="37" fontId="6" fillId="0" borderId="14" xfId="0" applyFont="1" applyFill="1" applyBorder="1" applyAlignment="1">
      <alignment horizontal="center"/>
    </xf>
    <xf numFmtId="37" fontId="6" fillId="0" borderId="8" xfId="0" applyFont="1" applyFill="1" applyBorder="1" applyAlignment="1">
      <alignment horizontal="center"/>
    </xf>
    <xf numFmtId="37" fontId="6" fillId="0" borderId="14" xfId="0" applyFont="1" applyFill="1" applyBorder="1"/>
    <xf numFmtId="37" fontId="7" fillId="0" borderId="14" xfId="0" applyFont="1" applyBorder="1"/>
    <xf numFmtId="37" fontId="7" fillId="0" borderId="8" xfId="0" applyFont="1" applyBorder="1"/>
    <xf numFmtId="37" fontId="6" fillId="0" borderId="8" xfId="0" applyFont="1" applyFill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"/>
    </xf>
    <xf numFmtId="37" fontId="6" fillId="0" borderId="13" xfId="0" applyFont="1" applyFill="1" applyBorder="1"/>
    <xf numFmtId="37" fontId="7" fillId="0" borderId="13" xfId="0" applyFont="1" applyBorder="1"/>
    <xf numFmtId="37" fontId="6" fillId="0" borderId="3" xfId="0" applyFont="1" applyFill="1" applyBorder="1" applyAlignment="1">
      <alignment horizontal="centerContinuous"/>
    </xf>
    <xf numFmtId="37" fontId="7" fillId="0" borderId="0" xfId="0" applyFont="1" applyBorder="1" applyAlignment="1">
      <alignment horizontal="center"/>
    </xf>
    <xf numFmtId="37" fontId="7" fillId="0" borderId="0" xfId="0" applyFont="1" applyBorder="1" applyAlignment="1"/>
    <xf numFmtId="37" fontId="7" fillId="0" borderId="0" xfId="0" applyFont="1" applyAlignment="1"/>
    <xf numFmtId="37" fontId="7" fillId="0" borderId="0" xfId="0" quotePrefix="1" applyNumberFormat="1" applyFont="1" applyBorder="1" applyAlignment="1" applyProtection="1"/>
    <xf numFmtId="37" fontId="8" fillId="0" borderId="0" xfId="0" applyFont="1" applyAlignment="1"/>
    <xf numFmtId="37" fontId="6" fillId="0" borderId="3" xfId="0" applyNumberFormat="1" applyFont="1" applyFill="1" applyBorder="1" applyAlignment="1" applyProtection="1"/>
    <xf numFmtId="37" fontId="6" fillId="0" borderId="3" xfId="0" applyFont="1" applyFill="1" applyBorder="1" applyAlignment="1"/>
    <xf numFmtId="37" fontId="6" fillId="0" borderId="4" xfId="0" applyFont="1" applyFill="1" applyBorder="1" applyAlignment="1"/>
    <xf numFmtId="4" fontId="6" fillId="0" borderId="2" xfId="0" applyNumberFormat="1" applyFont="1" applyFill="1" applyBorder="1" applyAlignment="1" applyProtection="1"/>
    <xf numFmtId="37" fontId="7" fillId="0" borderId="10" xfId="0" applyFont="1" applyBorder="1" applyAlignment="1"/>
    <xf numFmtId="3" fontId="6" fillId="0" borderId="2" xfId="0" applyNumberFormat="1" applyFont="1" applyFill="1" applyBorder="1" applyAlignment="1" applyProtection="1"/>
    <xf numFmtId="2" fontId="6" fillId="0" borderId="2" xfId="0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>
      <alignment horizontal="center"/>
    </xf>
    <xf numFmtId="37" fontId="6" fillId="0" borderId="2" xfId="0" quotePrefix="1" applyNumberFormat="1" applyFont="1" applyFill="1" applyBorder="1" applyAlignment="1" applyProtection="1">
      <alignment horizontal="center"/>
    </xf>
    <xf numFmtId="37" fontId="7" fillId="0" borderId="2" xfId="0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6" fillId="2" borderId="2" xfId="0" applyNumberFormat="1" applyFont="1" applyFill="1" applyBorder="1" applyProtection="1"/>
    <xf numFmtId="37" fontId="6" fillId="2" borderId="2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>
      <alignment horizontal="left"/>
    </xf>
    <xf numFmtId="37" fontId="7" fillId="0" borderId="7" xfId="0" applyFont="1" applyBorder="1" applyAlignment="1">
      <alignment horizontal="centerContinuous"/>
    </xf>
    <xf numFmtId="37" fontId="6" fillId="0" borderId="9" xfId="0" quotePrefix="1" applyNumberFormat="1" applyFont="1" applyFill="1" applyBorder="1" applyAlignment="1" applyProtection="1"/>
    <xf numFmtId="37" fontId="6" fillId="0" borderId="8" xfId="0" quotePrefix="1" applyNumberFormat="1" applyFont="1" applyFill="1" applyBorder="1" applyAlignment="1" applyProtection="1">
      <alignment horizontal="left"/>
    </xf>
    <xf numFmtId="37" fontId="6" fillId="0" borderId="4" xfId="0" applyNumberFormat="1" applyFont="1" applyFill="1" applyBorder="1" applyProtection="1"/>
    <xf numFmtId="37" fontId="7" fillId="0" borderId="1" xfId="0" applyFont="1" applyBorder="1"/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6" fillId="0" borderId="11" xfId="0" applyNumberFormat="1" applyFont="1" applyFill="1" applyBorder="1" applyProtection="1"/>
    <xf numFmtId="37" fontId="6" fillId="0" borderId="6" xfId="0" applyFont="1" applyFill="1" applyBorder="1" applyAlignment="1">
      <alignment horizontal="centerContinuous"/>
    </xf>
    <xf numFmtId="37" fontId="6" fillId="0" borderId="1" xfId="0" applyFont="1" applyFill="1" applyBorder="1" applyAlignment="1">
      <alignment horizontal="centerContinuous"/>
    </xf>
    <xf numFmtId="37" fontId="7" fillId="0" borderId="0" xfId="0" applyNumberFormat="1" applyFont="1" applyBorder="1" applyProtection="1"/>
    <xf numFmtId="37" fontId="7" fillId="0" borderId="0" xfId="0" applyNumberFormat="1" applyFont="1" applyBorder="1" applyAlignment="1" applyProtection="1">
      <alignment horizontal="center"/>
    </xf>
    <xf numFmtId="37" fontId="6" fillId="0" borderId="5" xfId="0" applyNumberFormat="1" applyFont="1" applyFill="1" applyBorder="1" applyAlignment="1" applyProtection="1">
      <alignment horizontal="centerContinuous"/>
    </xf>
    <xf numFmtId="37" fontId="7" fillId="0" borderId="6" xfId="0" applyFont="1" applyBorder="1" applyAlignment="1">
      <alignment horizontal="centerContinuous"/>
    </xf>
    <xf numFmtId="37" fontId="6" fillId="0" borderId="2" xfId="0" quotePrefix="1" applyNumberFormat="1" applyFont="1" applyFill="1" applyBorder="1" applyAlignment="1" applyProtection="1">
      <alignment horizontal="centerContinuous"/>
    </xf>
    <xf numFmtId="37" fontId="6" fillId="0" borderId="3" xfId="0" applyNumberFormat="1" applyFont="1" applyFill="1" applyBorder="1" applyAlignment="1" applyProtection="1">
      <alignment horizontal="center"/>
    </xf>
    <xf numFmtId="37" fontId="6" fillId="0" borderId="1" xfId="0" applyNumberFormat="1" applyFont="1" applyFill="1" applyBorder="1" applyAlignment="1" applyProtection="1">
      <alignment horizontal="center"/>
    </xf>
    <xf numFmtId="37" fontId="6" fillId="0" borderId="13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/>
    <xf numFmtId="37" fontId="6" fillId="0" borderId="13" xfId="0" applyNumberFormat="1" applyFont="1" applyFill="1" applyBorder="1" applyAlignment="1" applyProtection="1">
      <alignment horizontal="centerContinuous"/>
    </xf>
    <xf numFmtId="37" fontId="7" fillId="0" borderId="4" xfId="0" applyFont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Continuous"/>
    </xf>
    <xf numFmtId="37" fontId="6" fillId="0" borderId="14" xfId="0" applyNumberFormat="1" applyFont="1" applyFill="1" applyBorder="1" applyAlignment="1" applyProtection="1">
      <alignment horizontal="left"/>
    </xf>
    <xf numFmtId="37" fontId="7" fillId="0" borderId="12" xfId="0" applyFont="1" applyBorder="1"/>
    <xf numFmtId="37" fontId="7" fillId="0" borderId="6" xfId="0" applyFont="1" applyBorder="1"/>
    <xf numFmtId="37" fontId="7" fillId="0" borderId="7" xfId="0" applyFont="1" applyBorder="1"/>
    <xf numFmtId="37" fontId="7" fillId="0" borderId="15" xfId="0" applyFont="1" applyBorder="1"/>
    <xf numFmtId="37" fontId="7" fillId="0" borderId="12" xfId="0" quotePrefix="1" applyNumberFormat="1" applyFont="1" applyBorder="1" applyAlignment="1" applyProtection="1"/>
    <xf numFmtId="37" fontId="7" fillId="0" borderId="12" xfId="0" quotePrefix="1" applyNumberFormat="1" applyFont="1" applyBorder="1" applyAlignment="1" applyProtection="1">
      <alignment horizontal="left"/>
    </xf>
    <xf numFmtId="37" fontId="7" fillId="0" borderId="12" xfId="0" applyNumberFormat="1" applyFont="1" applyBorder="1" applyAlignment="1" applyProtection="1"/>
    <xf numFmtId="37" fontId="7" fillId="0" borderId="10" xfId="0" applyFont="1" applyBorder="1"/>
    <xf numFmtId="37" fontId="6" fillId="0" borderId="8" xfId="0" applyNumberFormat="1" applyFont="1" applyFill="1" applyBorder="1" applyProtection="1"/>
    <xf numFmtId="37" fontId="6" fillId="0" borderId="14" xfId="0" applyFont="1" applyFill="1" applyBorder="1" applyAlignment="1">
      <alignment horizontal="centerContinuous"/>
    </xf>
    <xf numFmtId="37" fontId="6" fillId="0" borderId="12" xfId="0" applyNumberFormat="1" applyFont="1" applyFill="1" applyBorder="1" applyAlignment="1" applyProtection="1"/>
    <xf numFmtId="37" fontId="6" fillId="0" borderId="1" xfId="0" applyFont="1" applyFill="1" applyBorder="1"/>
    <xf numFmtId="37" fontId="7" fillId="0" borderId="3" xfId="0" applyNumberFormat="1" applyFont="1" applyBorder="1" applyProtection="1"/>
    <xf numFmtId="37" fontId="7" fillId="2" borderId="0" xfId="0" applyFont="1" applyFill="1" applyBorder="1"/>
    <xf numFmtId="37" fontId="7" fillId="2" borderId="4" xfId="0" applyFont="1" applyFill="1" applyBorder="1"/>
    <xf numFmtId="37" fontId="7" fillId="0" borderId="9" xfId="0" applyFont="1" applyBorder="1"/>
    <xf numFmtId="37" fontId="6" fillId="0" borderId="12" xfId="0" applyNumberFormat="1" applyFont="1" applyFill="1" applyBorder="1" applyAlignment="1" applyProtection="1">
      <alignment horizontal="left"/>
    </xf>
    <xf numFmtId="37" fontId="6" fillId="0" borderId="10" xfId="0" applyNumberFormat="1" applyFont="1" applyFill="1" applyBorder="1" applyAlignment="1" applyProtection="1">
      <alignment horizontal="right"/>
    </xf>
    <xf numFmtId="37" fontId="7" fillId="0" borderId="10" xfId="0" applyNumberFormat="1" applyFont="1" applyBorder="1" applyProtection="1"/>
    <xf numFmtId="37" fontId="7" fillId="2" borderId="12" xfId="0" applyFont="1" applyFill="1" applyBorder="1"/>
    <xf numFmtId="37" fontId="7" fillId="2" borderId="10" xfId="0" applyFont="1" applyFill="1" applyBorder="1"/>
    <xf numFmtId="37" fontId="6" fillId="0" borderId="1" xfId="0" applyFont="1" applyFill="1" applyBorder="1" applyAlignment="1"/>
    <xf numFmtId="37" fontId="7" fillId="0" borderId="16" xfId="0" applyFont="1" applyBorder="1"/>
    <xf numFmtId="37" fontId="7" fillId="0" borderId="17" xfId="0" applyFont="1" applyBorder="1"/>
    <xf numFmtId="37" fontId="7" fillId="0" borderId="18" xfId="0" applyFont="1" applyBorder="1"/>
    <xf numFmtId="37" fontId="7" fillId="0" borderId="19" xfId="0" applyFont="1" applyBorder="1"/>
    <xf numFmtId="37" fontId="7" fillId="0" borderId="20" xfId="0" applyFont="1" applyBorder="1"/>
    <xf numFmtId="37" fontId="7" fillId="0" borderId="21" xfId="0" applyFont="1" applyBorder="1"/>
    <xf numFmtId="37" fontId="7" fillId="0" borderId="22" xfId="0" applyFont="1" applyBorder="1"/>
    <xf numFmtId="37" fontId="7" fillId="0" borderId="23" xfId="0" applyFont="1" applyBorder="1"/>
    <xf numFmtId="37" fontId="7" fillId="0" borderId="17" xfId="0" applyFont="1" applyBorder="1" applyAlignment="1">
      <alignment horizontal="center"/>
    </xf>
    <xf numFmtId="37" fontId="7" fillId="0" borderId="17" xfId="0" applyFont="1" applyBorder="1" applyAlignment="1">
      <alignment horizontal="right"/>
    </xf>
    <xf numFmtId="37" fontId="7" fillId="0" borderId="0" xfId="0" applyFont="1" applyBorder="1" applyAlignment="1">
      <alignment horizontal="right"/>
    </xf>
    <xf numFmtId="37" fontId="7" fillId="0" borderId="24" xfId="0" applyFont="1" applyBorder="1"/>
    <xf numFmtId="37" fontId="7" fillId="0" borderId="8" xfId="0" applyFont="1" applyBorder="1" applyAlignment="1">
      <alignment horizontal="center"/>
    </xf>
    <xf numFmtId="37" fontId="7" fillId="0" borderId="25" xfId="0" applyFont="1" applyBorder="1"/>
    <xf numFmtId="37" fontId="7" fillId="0" borderId="26" xfId="0" applyFont="1" applyBorder="1"/>
    <xf numFmtId="37" fontId="7" fillId="0" borderId="27" xfId="0" applyFont="1" applyBorder="1"/>
    <xf numFmtId="37" fontId="7" fillId="0" borderId="28" xfId="0" quotePrefix="1" applyFont="1" applyBorder="1" applyAlignment="1">
      <alignment horizontal="left"/>
    </xf>
    <xf numFmtId="37" fontId="7" fillId="0" borderId="29" xfId="0" applyFont="1" applyBorder="1"/>
    <xf numFmtId="37" fontId="7" fillId="0" borderId="28" xfId="0" applyFont="1" applyBorder="1" applyAlignment="1">
      <alignment horizontal="center"/>
    </xf>
    <xf numFmtId="37" fontId="7" fillId="0" borderId="30" xfId="0" applyFont="1" applyBorder="1"/>
    <xf numFmtId="37" fontId="7" fillId="0" borderId="31" xfId="0" applyFont="1" applyBorder="1"/>
    <xf numFmtId="37" fontId="7" fillId="0" borderId="31" xfId="0" applyFont="1" applyBorder="1" applyAlignment="1">
      <alignment horizontal="center"/>
    </xf>
    <xf numFmtId="37" fontId="7" fillId="0" borderId="32" xfId="0" applyFont="1" applyBorder="1"/>
    <xf numFmtId="37" fontId="10" fillId="0" borderId="0" xfId="0" applyFont="1"/>
    <xf numFmtId="37" fontId="8" fillId="0" borderId="0" xfId="0" quotePrefix="1" applyFont="1" applyAlignment="1">
      <alignment horizontal="right"/>
    </xf>
    <xf numFmtId="37" fontId="9" fillId="0" borderId="0" xfId="0" quotePrefix="1" applyFont="1" applyAlignment="1">
      <alignment horizontal="right"/>
    </xf>
    <xf numFmtId="37" fontId="7" fillId="0" borderId="0" xfId="0" quotePrefix="1" applyFont="1" applyBorder="1" applyAlignment="1">
      <alignment horizontal="right"/>
    </xf>
    <xf numFmtId="37" fontId="6" fillId="0" borderId="0" xfId="0" quotePrefix="1" applyNumberFormat="1" applyFont="1" applyFill="1" applyBorder="1" applyAlignment="1" applyProtection="1">
      <alignment horizontal="right"/>
    </xf>
    <xf numFmtId="37" fontId="7" fillId="0" borderId="0" xfId="0" quotePrefix="1" applyFont="1" applyAlignment="1">
      <alignment horizontal="right"/>
    </xf>
    <xf numFmtId="37" fontId="5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left"/>
    </xf>
    <xf numFmtId="37" fontId="5" fillId="3" borderId="0" xfId="0" applyFont="1" applyFill="1" applyAlignment="1" applyProtection="1">
      <alignment horizontal="right"/>
    </xf>
    <xf numFmtId="37" fontId="5" fillId="3" borderId="0" xfId="0" applyFont="1" applyFill="1" applyAlignment="1" applyProtection="1"/>
    <xf numFmtId="37" fontId="11" fillId="4" borderId="1" xfId="0" applyFont="1" applyFill="1" applyBorder="1" applyProtection="1">
      <protection locked="0"/>
    </xf>
    <xf numFmtId="37" fontId="5" fillId="3" borderId="0" xfId="0" applyFont="1" applyFill="1" applyProtection="1"/>
    <xf numFmtId="37" fontId="11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/>
    <xf numFmtId="37" fontId="11" fillId="3" borderId="0" xfId="0" applyFont="1" applyFill="1" applyProtection="1"/>
    <xf numFmtId="37" fontId="5" fillId="0" borderId="0" xfId="0" applyFont="1" applyAlignment="1" applyProtection="1"/>
    <xf numFmtId="37" fontId="5" fillId="0" borderId="0" xfId="0" applyFont="1" applyProtection="1"/>
    <xf numFmtId="37" fontId="5" fillId="0" borderId="0" xfId="0" applyFont="1" applyAlignment="1" applyProtection="1">
      <alignment horizontal="center"/>
    </xf>
    <xf numFmtId="38" fontId="5" fillId="3" borderId="0" xfId="0" applyNumberFormat="1" applyFont="1" applyFill="1" applyAlignment="1" applyProtection="1">
      <alignment horizontal="center"/>
    </xf>
    <xf numFmtId="37" fontId="11" fillId="0" borderId="1" xfId="0" applyNumberFormat="1" applyFont="1" applyBorder="1" applyAlignment="1" applyProtection="1">
      <protection locked="0"/>
    </xf>
    <xf numFmtId="37" fontId="11" fillId="0" borderId="1" xfId="0" quotePrefix="1" applyNumberFormat="1" applyFont="1" applyBorder="1" applyProtection="1">
      <protection locked="0"/>
    </xf>
    <xf numFmtId="37" fontId="11" fillId="0" borderId="1" xfId="1" quotePrefix="1" applyNumberFormat="1" applyFont="1" applyBorder="1" applyProtection="1">
      <protection locked="0"/>
    </xf>
    <xf numFmtId="39" fontId="11" fillId="0" borderId="1" xfId="3" quotePrefix="1" applyNumberFormat="1" applyFont="1" applyBorder="1" applyProtection="1">
      <protection locked="0"/>
    </xf>
    <xf numFmtId="39" fontId="11" fillId="0" borderId="1" xfId="0" quotePrefix="1" applyNumberFormat="1" applyFont="1" applyBorder="1" applyProtection="1">
      <protection locked="0"/>
    </xf>
    <xf numFmtId="37" fontId="11" fillId="4" borderId="1" xfId="0" quotePrefix="1" applyNumberFormat="1" applyFont="1" applyFill="1" applyBorder="1" applyProtection="1">
      <protection locked="0"/>
    </xf>
    <xf numFmtId="38" fontId="11" fillId="4" borderId="1" xfId="0" applyNumberFormat="1" applyFont="1" applyFill="1" applyBorder="1" applyProtection="1">
      <protection locked="0"/>
    </xf>
    <xf numFmtId="38" fontId="5" fillId="3" borderId="0" xfId="0" applyNumberFormat="1" applyFont="1" applyFill="1" applyAlignment="1" applyProtection="1">
      <alignment horizontal="right"/>
    </xf>
    <xf numFmtId="38" fontId="5" fillId="3" borderId="0" xfId="0" applyNumberFormat="1" applyFont="1" applyFill="1" applyProtection="1"/>
    <xf numFmtId="38" fontId="11" fillId="3" borderId="0" xfId="0" applyNumberFormat="1" applyFont="1" applyFill="1" applyAlignment="1" applyProtection="1">
      <alignment horizontal="center"/>
    </xf>
    <xf numFmtId="38" fontId="11" fillId="3" borderId="0" xfId="0" applyNumberFormat="1" applyFont="1" applyFill="1" applyProtection="1"/>
    <xf numFmtId="37" fontId="5" fillId="0" borderId="0" xfId="0" applyFont="1" applyFill="1" applyAlignment="1" applyProtection="1"/>
    <xf numFmtId="37" fontId="5" fillId="3" borderId="0" xfId="0" applyNumberFormat="1" applyFont="1" applyFill="1" applyProtection="1"/>
    <xf numFmtId="164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Font="1" applyAlignment="1" applyProtection="1">
      <alignment horizontal="left"/>
    </xf>
    <xf numFmtId="37" fontId="5" fillId="0" borderId="0" xfId="0" quotePrefix="1" applyFont="1" applyAlignment="1" applyProtection="1">
      <alignment horizontal="left"/>
    </xf>
    <xf numFmtId="164" fontId="5" fillId="0" borderId="0" xfId="0" applyNumberFormat="1" applyFont="1" applyAlignment="1" applyProtection="1">
      <alignment horizontal="left"/>
    </xf>
    <xf numFmtId="37" fontId="5" fillId="2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>
      <alignment horizontal="left"/>
    </xf>
    <xf numFmtId="37" fontId="5" fillId="2" borderId="0" xfId="0" applyFont="1" applyFill="1" applyAlignment="1" applyProtection="1">
      <alignment horizontal="center"/>
    </xf>
    <xf numFmtId="38" fontId="11" fillId="4" borderId="2" xfId="0" applyNumberFormat="1" applyFont="1" applyFill="1" applyBorder="1" applyProtection="1">
      <protection locked="0"/>
    </xf>
    <xf numFmtId="38" fontId="11" fillId="4" borderId="8" xfId="0" applyNumberFormat="1" applyFont="1" applyFill="1" applyBorder="1" applyProtection="1">
      <protection locked="0"/>
    </xf>
    <xf numFmtId="37" fontId="5" fillId="0" borderId="0" xfId="0" quotePrefix="1" applyFont="1" applyAlignment="1" applyProtection="1">
      <alignment horizontal="fill"/>
    </xf>
    <xf numFmtId="37" fontId="5" fillId="3" borderId="0" xfId="0" quotePrefix="1" applyFont="1" applyFill="1" applyAlignment="1" applyProtection="1">
      <alignment horizontal="centerContinuous"/>
    </xf>
    <xf numFmtId="37" fontId="5" fillId="3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/>
    <xf numFmtId="37" fontId="6" fillId="5" borderId="2" xfId="0" applyFont="1" applyFill="1" applyBorder="1" applyAlignment="1"/>
    <xf numFmtId="37" fontId="6" fillId="6" borderId="2" xfId="0" applyFont="1" applyFill="1" applyBorder="1" applyAlignment="1"/>
    <xf numFmtId="37" fontId="6" fillId="6" borderId="2" xfId="0" applyFont="1" applyFill="1" applyBorder="1" applyAlignment="1">
      <alignment horizontal="center"/>
    </xf>
    <xf numFmtId="37" fontId="6" fillId="6" borderId="2" xfId="0" quotePrefix="1" applyNumberFormat="1" applyFont="1" applyFill="1" applyBorder="1" applyAlignment="1" applyProtection="1">
      <alignment horizontal="center"/>
    </xf>
    <xf numFmtId="37" fontId="6" fillId="6" borderId="2" xfId="0" applyNumberFormat="1" applyFont="1" applyFill="1" applyBorder="1" applyAlignment="1" applyProtection="1"/>
    <xf numFmtId="37" fontId="6" fillId="6" borderId="2" xfId="0" quotePrefix="1" applyFont="1" applyFill="1" applyBorder="1" applyAlignment="1"/>
    <xf numFmtId="39" fontId="6" fillId="6" borderId="2" xfId="0" quotePrefix="1" applyNumberFormat="1" applyFont="1" applyFill="1" applyBorder="1" applyAlignment="1" applyProtection="1">
      <alignment horizontal="center"/>
    </xf>
    <xf numFmtId="39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/>
    <xf numFmtId="37" fontId="6" fillId="6" borderId="2" xfId="0" applyNumberFormat="1" applyFont="1" applyFill="1" applyBorder="1" applyAlignment="1"/>
    <xf numFmtId="39" fontId="11" fillId="0" borderId="1" xfId="1" quotePrefix="1" applyNumberFormat="1" applyFont="1" applyBorder="1" applyProtection="1">
      <protection locked="0"/>
    </xf>
    <xf numFmtId="38" fontId="11" fillId="4" borderId="1" xfId="0" applyNumberFormat="1" applyFont="1" applyFill="1" applyBorder="1" applyAlignment="1" applyProtection="1">
      <alignment horizontal="center"/>
      <protection locked="0"/>
    </xf>
    <xf numFmtId="39" fontId="11" fillId="0" borderId="1" xfId="0" applyNumberFormat="1" applyFont="1" applyBorder="1" applyProtection="1">
      <protection locked="0"/>
    </xf>
    <xf numFmtId="37" fontId="11" fillId="0" borderId="1" xfId="1" applyNumberFormat="1" applyFont="1" applyBorder="1" applyProtection="1">
      <protection locked="0"/>
    </xf>
    <xf numFmtId="165" fontId="11" fillId="0" borderId="1" xfId="1" quotePrefix="1" applyNumberFormat="1" applyFont="1" applyBorder="1" applyProtection="1">
      <protection locked="0"/>
    </xf>
    <xf numFmtId="38" fontId="11" fillId="4" borderId="1" xfId="0" quotePrefix="1" applyNumberFormat="1" applyFont="1" applyFill="1" applyBorder="1" applyAlignment="1" applyProtection="1">
      <alignment horizontal="left"/>
      <protection locked="0"/>
    </xf>
    <xf numFmtId="38" fontId="11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>
      <alignment horizontal="left"/>
    </xf>
    <xf numFmtId="3" fontId="7" fillId="0" borderId="2" xfId="0" applyNumberFormat="1" applyFont="1" applyFill="1" applyBorder="1" applyAlignment="1" applyProtection="1"/>
    <xf numFmtId="38" fontId="11" fillId="4" borderId="14" xfId="0" applyNumberFormat="1" applyFont="1" applyFill="1" applyBorder="1" applyProtection="1">
      <protection locked="0"/>
    </xf>
    <xf numFmtId="38" fontId="11" fillId="4" borderId="14" xfId="0" quotePrefix="1" applyNumberFormat="1" applyFont="1" applyFill="1" applyBorder="1" applyAlignment="1" applyProtection="1">
      <alignment horizontal="left"/>
      <protection locked="0"/>
    </xf>
    <xf numFmtId="38" fontId="11" fillId="3" borderId="8" xfId="0" applyNumberFormat="1" applyFont="1" applyFill="1" applyBorder="1" applyAlignment="1" applyProtection="1">
      <alignment horizontal="center"/>
      <protection locked="0"/>
    </xf>
    <xf numFmtId="37" fontId="5" fillId="0" borderId="0" xfId="0" applyFont="1" applyFill="1" applyAlignment="1" applyProtection="1">
      <alignment horizontal="left"/>
    </xf>
    <xf numFmtId="37" fontId="5" fillId="0" borderId="0" xfId="0" applyFont="1" applyFill="1" applyProtection="1"/>
    <xf numFmtId="38" fontId="5" fillId="0" borderId="0" xfId="0" applyNumberFormat="1" applyFont="1" applyFill="1" applyProtection="1"/>
    <xf numFmtId="38" fontId="5" fillId="0" borderId="0" xfId="0" applyNumberFormat="1" applyFont="1" applyProtection="1"/>
    <xf numFmtId="37" fontId="5" fillId="7" borderId="0" xfId="0" applyFont="1" applyFill="1" applyProtection="1"/>
    <xf numFmtId="37" fontId="5" fillId="7" borderId="0" xfId="0" quotePrefix="1" applyFont="1" applyFill="1" applyAlignment="1" applyProtection="1">
      <alignment horizontal="left"/>
    </xf>
    <xf numFmtId="38" fontId="5" fillId="7" borderId="0" xfId="0" applyNumberFormat="1" applyFont="1" applyFill="1" applyProtection="1"/>
    <xf numFmtId="37" fontId="5" fillId="0" borderId="0" xfId="0" quotePrefix="1" applyFont="1" applyAlignment="1" applyProtection="1"/>
    <xf numFmtId="0" fontId="5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/>
    <xf numFmtId="0" fontId="5" fillId="0" borderId="0" xfId="0" quotePrefix="1" applyNumberFormat="1" applyFont="1" applyAlignment="1" applyProtection="1">
      <alignment horizontal="center"/>
    </xf>
    <xf numFmtId="37" fontId="5" fillId="3" borderId="0" xfId="0" quotePrefix="1" applyFont="1" applyFill="1" applyAlignment="1" applyProtection="1">
      <alignment horizontal="center"/>
    </xf>
    <xf numFmtId="37" fontId="5" fillId="3" borderId="0" xfId="0" quotePrefix="1" applyNumberFormat="1" applyFont="1" applyFill="1" applyAlignment="1" applyProtection="1"/>
    <xf numFmtId="166" fontId="5" fillId="3" borderId="0" xfId="0" applyNumberFormat="1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fill"/>
    </xf>
    <xf numFmtId="37" fontId="5" fillId="3" borderId="0" xfId="1" applyNumberFormat="1" applyFont="1" applyFill="1" applyProtection="1"/>
    <xf numFmtId="37" fontId="5" fillId="3" borderId="0" xfId="0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left"/>
    </xf>
    <xf numFmtId="4" fontId="5" fillId="3" borderId="0" xfId="0" applyNumberFormat="1" applyFont="1" applyFill="1" applyProtection="1"/>
    <xf numFmtId="37" fontId="5" fillId="0" borderId="0" xfId="0" applyNumberFormat="1" applyFont="1" applyProtection="1"/>
    <xf numFmtId="37" fontId="5" fillId="3" borderId="0" xfId="1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fill"/>
    </xf>
    <xf numFmtId="39" fontId="5" fillId="3" borderId="0" xfId="0" applyNumberFormat="1" applyFont="1" applyFill="1" applyProtection="1"/>
    <xf numFmtId="37" fontId="12" fillId="3" borderId="0" xfId="0" applyFont="1" applyFill="1" applyProtection="1"/>
    <xf numFmtId="37" fontId="11" fillId="3" borderId="0" xfId="0" applyFont="1" applyFill="1" applyAlignment="1" applyProtection="1">
      <alignment horizontal="centerContinuous"/>
    </xf>
    <xf numFmtId="37" fontId="11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5" fillId="0" borderId="0" xfId="0" applyNumberFormat="1" applyFont="1" applyProtection="1"/>
    <xf numFmtId="1" fontId="5" fillId="0" borderId="0" xfId="0" applyNumberFormat="1" applyFont="1" applyAlignment="1" applyProtection="1">
      <alignment horizontal="center"/>
    </xf>
    <xf numFmtId="37" fontId="5" fillId="0" borderId="0" xfId="0" quotePrefix="1" applyFont="1" applyAlignment="1" applyProtection="1">
      <alignment horizontal="center"/>
    </xf>
    <xf numFmtId="2" fontId="5" fillId="0" borderId="0" xfId="0" applyNumberFormat="1" applyFont="1" applyProtection="1"/>
    <xf numFmtId="2" fontId="5" fillId="0" borderId="0" xfId="0" applyNumberFormat="1" applyFont="1" applyAlignment="1" applyProtection="1"/>
    <xf numFmtId="10" fontId="5" fillId="0" borderId="0" xfId="0" applyNumberFormat="1" applyFont="1" applyProtection="1"/>
    <xf numFmtId="37" fontId="11" fillId="0" borderId="0" xfId="0" applyFont="1" applyProtection="1"/>
    <xf numFmtId="37" fontId="5" fillId="0" borderId="0" xfId="0" applyFont="1" applyProtection="1">
      <protection locked="0"/>
    </xf>
    <xf numFmtId="37" fontId="7" fillId="0" borderId="0" xfId="0" applyFont="1" applyAlignment="1" applyProtection="1"/>
    <xf numFmtId="37" fontId="7" fillId="0" borderId="0" xfId="0" applyFont="1" applyProtection="1"/>
    <xf numFmtId="49" fontId="11" fillId="4" borderId="1" xfId="0" applyNumberFormat="1" applyFont="1" applyFill="1" applyBorder="1" applyAlignment="1" applyProtection="1">
      <alignment horizontal="left"/>
      <protection locked="0"/>
    </xf>
    <xf numFmtId="38" fontId="11" fillId="4" borderId="14" xfId="0" quotePrefix="1" applyNumberFormat="1" applyFont="1" applyFill="1" applyBorder="1" applyProtection="1">
      <protection locked="0"/>
    </xf>
    <xf numFmtId="37" fontId="5" fillId="3" borderId="0" xfId="0" applyFont="1" applyFill="1" applyAlignment="1" applyProtection="1">
      <alignment horizontal="left"/>
    </xf>
    <xf numFmtId="37" fontId="5" fillId="8" borderId="0" xfId="0" applyFont="1" applyFill="1" applyProtection="1"/>
    <xf numFmtId="37" fontId="6" fillId="0" borderId="8" xfId="0" applyNumberFormat="1" applyFont="1" applyFill="1" applyBorder="1" applyAlignment="1" applyProtection="1">
      <alignment horizontal="left"/>
    </xf>
    <xf numFmtId="164" fontId="6" fillId="0" borderId="3" xfId="0" applyNumberFormat="1" applyFont="1" applyFill="1" applyBorder="1" applyAlignment="1" applyProtection="1"/>
    <xf numFmtId="37" fontId="5" fillId="2" borderId="0" xfId="0" applyFont="1" applyFill="1" applyAlignment="1" applyProtection="1">
      <alignment horizontal="right"/>
    </xf>
    <xf numFmtId="37" fontId="5" fillId="0" borderId="0" xfId="0" applyFont="1" applyAlignment="1" applyProtection="1">
      <alignment horizontal="right"/>
    </xf>
    <xf numFmtId="4" fontId="5" fillId="2" borderId="0" xfId="0" applyNumberFormat="1" applyFont="1" applyFill="1" applyAlignment="1" applyProtection="1">
      <alignment horizontal="right"/>
    </xf>
    <xf numFmtId="39" fontId="5" fillId="2" borderId="0" xfId="0" applyNumberFormat="1" applyFont="1" applyFill="1" applyAlignment="1" applyProtection="1">
      <alignment horizontal="right"/>
    </xf>
    <xf numFmtId="37" fontId="5" fillId="0" borderId="0" xfId="0" quotePrefix="1" applyFont="1" applyAlignment="1" applyProtection="1">
      <alignment horizontal="right"/>
    </xf>
    <xf numFmtId="2" fontId="5" fillId="0" borderId="0" xfId="0" applyNumberFormat="1" applyFont="1" applyAlignment="1" applyProtection="1">
      <alignment horizontal="right"/>
    </xf>
    <xf numFmtId="49" fontId="11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/>
    <xf numFmtId="38" fontId="5" fillId="8" borderId="0" xfId="0" applyNumberFormat="1" applyFont="1" applyFill="1" applyProtection="1"/>
    <xf numFmtId="37" fontId="15" fillId="0" borderId="23" xfId="0" applyFont="1" applyBorder="1" applyAlignment="1">
      <alignment horizontal="right"/>
    </xf>
    <xf numFmtId="37" fontId="11" fillId="3" borderId="0" xfId="0" applyFont="1" applyFill="1" applyAlignment="1" applyProtection="1">
      <alignment horizontal="center" vertical="center"/>
    </xf>
  </cellXfs>
  <cellStyles count="32">
    <cellStyle name="Comma" xfId="1" builtinId="3"/>
    <cellStyle name="Comma 10" xfId="30"/>
    <cellStyle name="Comma 2" xfId="26"/>
    <cellStyle name="Hyperlink" xfId="2" builtinId="8"/>
    <cellStyle name="Normal" xfId="0" builtinId="0"/>
    <cellStyle name="Normal 10" xfId="28"/>
    <cellStyle name="Normal 10 2" xfId="25"/>
    <cellStyle name="Normal 10 2 3" xfId="4"/>
    <cellStyle name="Normal 11" xfId="16"/>
    <cellStyle name="Normal 158" xfId="15"/>
    <cellStyle name="Normal 163" xfId="21"/>
    <cellStyle name="Normal 168" xfId="13"/>
    <cellStyle name="Normal 17" xfId="31"/>
    <cellStyle name="Normal 170" xfId="14"/>
    <cellStyle name="Normal 175" xfId="6"/>
    <cellStyle name="Normal 2" xfId="23"/>
    <cellStyle name="Normal 2 3 2" xfId="27"/>
    <cellStyle name="Normal 213" xfId="20"/>
    <cellStyle name="Normal 220" xfId="7"/>
    <cellStyle name="Normal 240" xfId="8"/>
    <cellStyle name="Normal 27" xfId="29"/>
    <cellStyle name="Normal 277" xfId="9"/>
    <cellStyle name="Normal 288" xfId="10"/>
    <cellStyle name="Normal 326" xfId="11"/>
    <cellStyle name="Normal 346" xfId="12"/>
    <cellStyle name="Normal 4" xfId="24"/>
    <cellStyle name="Normal 420" xfId="17"/>
    <cellStyle name="Normal 428" xfId="18"/>
    <cellStyle name="Normal 448" xfId="19"/>
    <cellStyle name="Normal 6" xfId="22"/>
    <cellStyle name="Percent" xfId="3" builtinId="5"/>
    <cellStyle name="Percent 398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>
        <v>14227</v>
      </c>
      <c r="F47" s="184"/>
      <c r="G47" s="184"/>
      <c r="H47" s="184"/>
      <c r="I47" s="184"/>
      <c r="J47" s="184"/>
      <c r="K47" s="184"/>
      <c r="L47" s="184">
        <v>776155</v>
      </c>
      <c r="M47" s="184"/>
      <c r="N47" s="184">
        <v>96233</v>
      </c>
      <c r="O47" s="184"/>
      <c r="P47" s="184">
        <v>29129</v>
      </c>
      <c r="Q47" s="184"/>
      <c r="R47" s="184"/>
      <c r="S47" s="184">
        <v>28811</v>
      </c>
      <c r="T47" s="184"/>
      <c r="U47" s="184">
        <v>141885</v>
      </c>
      <c r="V47" s="184"/>
      <c r="W47" s="184"/>
      <c r="X47" s="184"/>
      <c r="Y47" s="184">
        <v>121662</v>
      </c>
      <c r="Z47" s="184"/>
      <c r="AA47" s="184"/>
      <c r="AB47" s="184">
        <v>63491</v>
      </c>
      <c r="AC47" s="184"/>
      <c r="AD47" s="184"/>
      <c r="AE47" s="184">
        <v>119620</v>
      </c>
      <c r="AF47" s="184"/>
      <c r="AG47" s="184">
        <v>318779</v>
      </c>
      <c r="AH47" s="184"/>
      <c r="AI47" s="184"/>
      <c r="AJ47" s="184">
        <v>205457</v>
      </c>
      <c r="AK47" s="184">
        <v>91634</v>
      </c>
      <c r="AL47" s="184">
        <v>42804</v>
      </c>
      <c r="AM47" s="184">
        <v>64771</v>
      </c>
      <c r="AN47" s="184"/>
      <c r="AO47" s="184"/>
      <c r="AP47" s="184">
        <v>293782</v>
      </c>
      <c r="AQ47" s="184"/>
      <c r="AR47" s="184"/>
      <c r="AS47" s="184"/>
      <c r="AT47" s="184"/>
      <c r="AU47" s="184"/>
      <c r="AV47" s="184">
        <v>33545</v>
      </c>
      <c r="AW47" s="184"/>
      <c r="AX47" s="184"/>
      <c r="AY47" s="184">
        <v>127813</v>
      </c>
      <c r="AZ47" s="184"/>
      <c r="BA47" s="184"/>
      <c r="BB47" s="184">
        <v>21026</v>
      </c>
      <c r="BC47" s="184"/>
      <c r="BD47" s="184"/>
      <c r="BE47" s="184">
        <v>85597</v>
      </c>
      <c r="BF47" s="184">
        <v>92263</v>
      </c>
      <c r="BG47" s="184"/>
      <c r="BH47" s="184">
        <v>101807</v>
      </c>
      <c r="BI47" s="184"/>
      <c r="BJ47" s="184">
        <v>70923</v>
      </c>
      <c r="BK47" s="184">
        <v>71177</v>
      </c>
      <c r="BL47" s="184">
        <v>146198</v>
      </c>
      <c r="BM47" s="184"/>
      <c r="BN47" s="184">
        <v>4958</v>
      </c>
      <c r="BO47" s="184"/>
      <c r="BP47" s="184"/>
      <c r="BQ47" s="184"/>
      <c r="BR47" s="184">
        <v>32168</v>
      </c>
      <c r="BS47" s="184"/>
      <c r="BT47" s="184"/>
      <c r="BU47" s="184"/>
      <c r="BV47" s="184">
        <v>60400</v>
      </c>
      <c r="BW47" s="184">
        <v>22039</v>
      </c>
      <c r="BX47" s="184"/>
      <c r="BY47" s="184">
        <v>112798</v>
      </c>
      <c r="BZ47" s="184"/>
      <c r="CA47" s="184"/>
      <c r="CB47" s="184"/>
      <c r="CC47" s="184">
        <v>13982</v>
      </c>
      <c r="CD47" s="195"/>
      <c r="CE47" s="195">
        <f>SUM(C47:CC47)</f>
        <v>3405134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3287636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188054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752215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75051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121940</v>
      </c>
      <c r="T52" s="195">
        <f>ROUND((B52/(CE76+CF76)*T76),0)</f>
        <v>0</v>
      </c>
      <c r="U52" s="195">
        <f>ROUND((B52/(CE76+CF76)*U76),0)</f>
        <v>64447</v>
      </c>
      <c r="V52" s="195">
        <f>ROUND((B52/(CE76+CF76)*V76),0)</f>
        <v>0</v>
      </c>
      <c r="W52" s="195">
        <f>ROUND((B52/(CE76+CF76)*W76),0)</f>
        <v>32447</v>
      </c>
      <c r="X52" s="195">
        <f>ROUND((B52/(CE76+CF76)*X76),0)</f>
        <v>57519</v>
      </c>
      <c r="Y52" s="195">
        <f>ROUND((B52/(CE76+CF76)*Y76),0)</f>
        <v>57519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67270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85777</v>
      </c>
      <c r="AF52" s="195">
        <f>ROUND((B52/(CE76+CF76)*AF76),0)</f>
        <v>0</v>
      </c>
      <c r="AG52" s="195">
        <f>ROUND((B52/(CE76+CF76)*AG76),0)</f>
        <v>268324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110992</v>
      </c>
      <c r="AK52" s="195">
        <f>ROUND((B52/(CE76+CF76)*AK76),0)</f>
        <v>47654</v>
      </c>
      <c r="AL52" s="195">
        <f>ROUND((B52/(CE76+CF76)*AL76),0)</f>
        <v>25415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448721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163528</v>
      </c>
      <c r="AZ52" s="195">
        <f>ROUND((B52/(CE76+CF76)*AZ76),0)</f>
        <v>50745</v>
      </c>
      <c r="BA52" s="195">
        <f>ROUND((B52/(CE76+CF76)*BA76),0)</f>
        <v>0</v>
      </c>
      <c r="BB52" s="195">
        <f>ROUND((B52/(CE76+CF76)*BB76),0)</f>
        <v>10810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348814</v>
      </c>
      <c r="BF52" s="195">
        <f>ROUND((B52/(CE76+CF76)*BF76),0)</f>
        <v>56254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237339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10879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5921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3287635</v>
      </c>
    </row>
    <row r="53" spans="1:84" ht="12.6" customHeight="1" x14ac:dyDescent="0.25">
      <c r="A53" s="175" t="s">
        <v>206</v>
      </c>
      <c r="B53" s="195">
        <f>B51+B52</f>
        <v>3287636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151</v>
      </c>
      <c r="F59" s="184"/>
      <c r="G59" s="184"/>
      <c r="H59" s="184"/>
      <c r="I59" s="184"/>
      <c r="J59" s="184"/>
      <c r="K59" s="184"/>
      <c r="L59" s="184">
        <v>8212</v>
      </c>
      <c r="M59" s="184"/>
      <c r="N59" s="184"/>
      <c r="O59" s="184"/>
      <c r="P59" s="185">
        <f>318*45</f>
        <v>14310</v>
      </c>
      <c r="Q59" s="185"/>
      <c r="R59" s="185"/>
      <c r="S59" s="248"/>
      <c r="T59" s="248"/>
      <c r="U59" s="224">
        <v>41523</v>
      </c>
      <c r="V59" s="185"/>
      <c r="W59" s="185"/>
      <c r="X59" s="185"/>
      <c r="Y59" s="185"/>
      <c r="Z59" s="185"/>
      <c r="AA59" s="185"/>
      <c r="AB59" s="248"/>
      <c r="AC59" s="185"/>
      <c r="AD59" s="185"/>
      <c r="AE59" s="185">
        <v>15277</v>
      </c>
      <c r="AF59" s="185"/>
      <c r="AG59" s="185">
        <v>3818</v>
      </c>
      <c r="AH59" s="185"/>
      <c r="AI59" s="185"/>
      <c r="AJ59" s="185">
        <v>7671</v>
      </c>
      <c r="AK59" s="185">
        <v>9991</v>
      </c>
      <c r="AL59" s="185">
        <v>4253</v>
      </c>
      <c r="AM59" s="185"/>
      <c r="AN59" s="185"/>
      <c r="AO59" s="185"/>
      <c r="AP59" s="185">
        <v>10381</v>
      </c>
      <c r="AQ59" s="185"/>
      <c r="AR59" s="185"/>
      <c r="AS59" s="185"/>
      <c r="AT59" s="185"/>
      <c r="AU59" s="185"/>
      <c r="AV59" s="248"/>
      <c r="AW59" s="248"/>
      <c r="AX59" s="248"/>
      <c r="AY59" s="185">
        <v>22598</v>
      </c>
      <c r="AZ59" s="185">
        <v>17137</v>
      </c>
      <c r="BA59" s="248"/>
      <c r="BB59" s="248"/>
      <c r="BC59" s="248"/>
      <c r="BD59" s="248"/>
      <c r="BE59" s="185">
        <v>47748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>
        <v>1</v>
      </c>
      <c r="F60" s="223"/>
      <c r="G60" s="187"/>
      <c r="H60" s="187"/>
      <c r="I60" s="187"/>
      <c r="J60" s="223"/>
      <c r="K60" s="187"/>
      <c r="L60" s="187">
        <v>53.1</v>
      </c>
      <c r="M60" s="187"/>
      <c r="N60" s="187">
        <v>2.71</v>
      </c>
      <c r="O60" s="187"/>
      <c r="P60" s="221">
        <v>1.4</v>
      </c>
      <c r="Q60" s="221"/>
      <c r="R60" s="221"/>
      <c r="S60" s="221">
        <v>3.03</v>
      </c>
      <c r="T60" s="221"/>
      <c r="U60" s="221">
        <v>9</v>
      </c>
      <c r="V60" s="221"/>
      <c r="W60" s="221"/>
      <c r="X60" s="221"/>
      <c r="Y60" s="221">
        <v>8</v>
      </c>
      <c r="Z60" s="221"/>
      <c r="AA60" s="221"/>
      <c r="AB60" s="221">
        <f>5.45+0.34</f>
        <v>5.79</v>
      </c>
      <c r="AC60" s="221"/>
      <c r="AD60" s="221"/>
      <c r="AE60" s="221">
        <f>3.8+3.23</f>
        <v>7.0299999999999994</v>
      </c>
      <c r="AF60" s="221"/>
      <c r="AG60" s="221">
        <v>15.8</v>
      </c>
      <c r="AH60" s="221"/>
      <c r="AI60" s="221"/>
      <c r="AJ60" s="221">
        <v>9.7200000000000006</v>
      </c>
      <c r="AK60" s="221">
        <v>4.5599999999999996</v>
      </c>
      <c r="AL60" s="221">
        <v>2.2000000000000002</v>
      </c>
      <c r="AM60" s="221">
        <v>3.69</v>
      </c>
      <c r="AN60" s="221"/>
      <c r="AO60" s="221"/>
      <c r="AP60" s="221">
        <f>12.85+3.5</f>
        <v>16.350000000000001</v>
      </c>
      <c r="AQ60" s="221"/>
      <c r="AR60" s="221"/>
      <c r="AS60" s="221"/>
      <c r="AT60" s="221"/>
      <c r="AU60" s="221"/>
      <c r="AV60" s="221">
        <f>0.79+1.18</f>
        <v>1.97</v>
      </c>
      <c r="AW60" s="221"/>
      <c r="AX60" s="221"/>
      <c r="AY60" s="221">
        <v>10.07</v>
      </c>
      <c r="AZ60" s="221"/>
      <c r="BA60" s="221"/>
      <c r="BB60" s="221">
        <v>2.54</v>
      </c>
      <c r="BC60" s="221"/>
      <c r="BD60" s="221"/>
      <c r="BE60" s="221">
        <v>5.34</v>
      </c>
      <c r="BF60" s="221">
        <v>9.3000000000000007</v>
      </c>
      <c r="BG60" s="221"/>
      <c r="BH60" s="221">
        <f>3.1+3.93</f>
        <v>7.03</v>
      </c>
      <c r="BI60" s="221"/>
      <c r="BJ60" s="221">
        <v>3.93</v>
      </c>
      <c r="BK60" s="221">
        <v>4.66</v>
      </c>
      <c r="BL60" s="221">
        <v>10.06</v>
      </c>
      <c r="BM60" s="221"/>
      <c r="BN60" s="221">
        <v>4.2300000000000004</v>
      </c>
      <c r="BO60" s="221"/>
      <c r="BP60" s="221"/>
      <c r="BQ60" s="221"/>
      <c r="BR60" s="221">
        <v>2.15</v>
      </c>
      <c r="BS60" s="221"/>
      <c r="BT60" s="221"/>
      <c r="BU60" s="221"/>
      <c r="BV60" s="221">
        <v>4.01</v>
      </c>
      <c r="BW60" s="221">
        <v>1</v>
      </c>
      <c r="BX60" s="221"/>
      <c r="BY60" s="221">
        <v>5.96</v>
      </c>
      <c r="BZ60" s="221"/>
      <c r="CA60" s="221"/>
      <c r="CB60" s="221"/>
      <c r="CC60" s="221">
        <v>0.84</v>
      </c>
      <c r="CD60" s="249" t="s">
        <v>221</v>
      </c>
      <c r="CE60" s="251">
        <f t="shared" ref="CE60:CE70" si="0">SUM(C60:CD60)</f>
        <v>216.47000000000003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v>62609</v>
      </c>
      <c r="F61" s="185"/>
      <c r="G61" s="184"/>
      <c r="H61" s="184"/>
      <c r="I61" s="185"/>
      <c r="J61" s="185"/>
      <c r="K61" s="185"/>
      <c r="L61" s="185">
        <v>3415670</v>
      </c>
      <c r="M61" s="184"/>
      <c r="N61" s="184">
        <v>655389</v>
      </c>
      <c r="O61" s="184"/>
      <c r="P61" s="185">
        <v>126697</v>
      </c>
      <c r="Q61" s="185"/>
      <c r="R61" s="185"/>
      <c r="S61" s="185">
        <v>198778</v>
      </c>
      <c r="T61" s="185"/>
      <c r="U61" s="185">
        <v>569815</v>
      </c>
      <c r="V61" s="185"/>
      <c r="W61" s="185"/>
      <c r="X61" s="185"/>
      <c r="Y61" s="185">
        <v>671576</v>
      </c>
      <c r="Z61" s="185"/>
      <c r="AA61" s="185"/>
      <c r="AB61" s="185">
        <v>452256</v>
      </c>
      <c r="AC61" s="185"/>
      <c r="AD61" s="185"/>
      <c r="AE61" s="185">
        <v>571045</v>
      </c>
      <c r="AF61" s="185"/>
      <c r="AG61" s="185">
        <v>1997186</v>
      </c>
      <c r="AH61" s="185"/>
      <c r="AI61" s="185"/>
      <c r="AJ61" s="185">
        <v>1366814</v>
      </c>
      <c r="AK61" s="185">
        <v>435163</v>
      </c>
      <c r="AL61" s="185">
        <v>203648</v>
      </c>
      <c r="AM61" s="185">
        <v>238613</v>
      </c>
      <c r="AN61" s="185"/>
      <c r="AO61" s="185"/>
      <c r="AP61" s="185">
        <v>1509761</v>
      </c>
      <c r="AQ61" s="185"/>
      <c r="AR61" s="185"/>
      <c r="AS61" s="185"/>
      <c r="AT61" s="185"/>
      <c r="AU61" s="185"/>
      <c r="AV61" s="185">
        <v>169993</v>
      </c>
      <c r="AW61" s="185"/>
      <c r="AX61" s="185"/>
      <c r="AY61" s="185">
        <v>395448</v>
      </c>
      <c r="AZ61" s="185"/>
      <c r="BA61" s="185"/>
      <c r="BB61" s="185">
        <v>218622</v>
      </c>
      <c r="BC61" s="185"/>
      <c r="BD61" s="185"/>
      <c r="BE61" s="185">
        <v>297627</v>
      </c>
      <c r="BF61" s="185">
        <v>282065</v>
      </c>
      <c r="BG61" s="185"/>
      <c r="BH61" s="185">
        <v>474056</v>
      </c>
      <c r="BI61" s="185"/>
      <c r="BJ61" s="185">
        <v>302460</v>
      </c>
      <c r="BK61" s="185">
        <v>264196</v>
      </c>
      <c r="BL61" s="185">
        <v>442914</v>
      </c>
      <c r="BM61" s="185"/>
      <c r="BN61" s="185">
        <v>762056</v>
      </c>
      <c r="BO61" s="185"/>
      <c r="BP61" s="185"/>
      <c r="BQ61" s="185"/>
      <c r="BR61" s="185">
        <v>156365</v>
      </c>
      <c r="BS61" s="185"/>
      <c r="BT61" s="185"/>
      <c r="BU61" s="185"/>
      <c r="BV61" s="185">
        <v>233110</v>
      </c>
      <c r="BW61" s="185">
        <v>83007</v>
      </c>
      <c r="BX61" s="185"/>
      <c r="BY61" s="185">
        <v>555214</v>
      </c>
      <c r="BZ61" s="185"/>
      <c r="CA61" s="185"/>
      <c r="CB61" s="185"/>
      <c r="CC61" s="185">
        <v>30983</v>
      </c>
      <c r="CD61" s="249" t="s">
        <v>221</v>
      </c>
      <c r="CE61" s="195">
        <f t="shared" si="0"/>
        <v>17143136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14227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776155</v>
      </c>
      <c r="M62" s="195">
        <f t="shared" si="1"/>
        <v>0</v>
      </c>
      <c r="N62" s="195">
        <f t="shared" si="1"/>
        <v>96233</v>
      </c>
      <c r="O62" s="195">
        <f t="shared" si="1"/>
        <v>0</v>
      </c>
      <c r="P62" s="195">
        <f t="shared" si="1"/>
        <v>29129</v>
      </c>
      <c r="Q62" s="195">
        <f t="shared" si="1"/>
        <v>0</v>
      </c>
      <c r="R62" s="195">
        <f t="shared" si="1"/>
        <v>0</v>
      </c>
      <c r="S62" s="195">
        <f t="shared" si="1"/>
        <v>28811</v>
      </c>
      <c r="T62" s="195">
        <f t="shared" si="1"/>
        <v>0</v>
      </c>
      <c r="U62" s="195">
        <f t="shared" si="1"/>
        <v>141885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121662</v>
      </c>
      <c r="Z62" s="195">
        <f t="shared" si="1"/>
        <v>0</v>
      </c>
      <c r="AA62" s="195">
        <f t="shared" si="1"/>
        <v>0</v>
      </c>
      <c r="AB62" s="195">
        <f t="shared" si="1"/>
        <v>63491</v>
      </c>
      <c r="AC62" s="195">
        <f t="shared" si="1"/>
        <v>0</v>
      </c>
      <c r="AD62" s="195">
        <f t="shared" si="1"/>
        <v>0</v>
      </c>
      <c r="AE62" s="195">
        <f t="shared" si="1"/>
        <v>119620</v>
      </c>
      <c r="AF62" s="195">
        <f t="shared" si="1"/>
        <v>0</v>
      </c>
      <c r="AG62" s="195">
        <f t="shared" si="1"/>
        <v>318779</v>
      </c>
      <c r="AH62" s="195">
        <f t="shared" si="1"/>
        <v>0</v>
      </c>
      <c r="AI62" s="195">
        <f t="shared" si="1"/>
        <v>0</v>
      </c>
      <c r="AJ62" s="195">
        <f t="shared" si="1"/>
        <v>205457</v>
      </c>
      <c r="AK62" s="195">
        <f t="shared" si="1"/>
        <v>91634</v>
      </c>
      <c r="AL62" s="195">
        <f t="shared" si="1"/>
        <v>42804</v>
      </c>
      <c r="AM62" s="195">
        <f t="shared" si="1"/>
        <v>64771</v>
      </c>
      <c r="AN62" s="195">
        <f t="shared" si="1"/>
        <v>0</v>
      </c>
      <c r="AO62" s="195">
        <f t="shared" si="1"/>
        <v>0</v>
      </c>
      <c r="AP62" s="195">
        <f t="shared" si="1"/>
        <v>293782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33545</v>
      </c>
      <c r="AW62" s="195">
        <f t="shared" si="1"/>
        <v>0</v>
      </c>
      <c r="AX62" s="195">
        <f t="shared" si="1"/>
        <v>0</v>
      </c>
      <c r="AY62" s="195">
        <f>ROUND(AY47+AY48,0)</f>
        <v>127813</v>
      </c>
      <c r="AZ62" s="195">
        <f>ROUND(AZ47+AZ48,0)</f>
        <v>0</v>
      </c>
      <c r="BA62" s="195">
        <f>ROUND(BA47+BA48,0)</f>
        <v>0</v>
      </c>
      <c r="BB62" s="195">
        <f t="shared" si="1"/>
        <v>21026</v>
      </c>
      <c r="BC62" s="195">
        <f t="shared" si="1"/>
        <v>0</v>
      </c>
      <c r="BD62" s="195">
        <f t="shared" si="1"/>
        <v>0</v>
      </c>
      <c r="BE62" s="195">
        <f t="shared" si="1"/>
        <v>85597</v>
      </c>
      <c r="BF62" s="195">
        <f t="shared" si="1"/>
        <v>92263</v>
      </c>
      <c r="BG62" s="195">
        <f t="shared" si="1"/>
        <v>0</v>
      </c>
      <c r="BH62" s="195">
        <f t="shared" si="1"/>
        <v>101807</v>
      </c>
      <c r="BI62" s="195">
        <f t="shared" si="1"/>
        <v>0</v>
      </c>
      <c r="BJ62" s="195">
        <f t="shared" si="1"/>
        <v>70923</v>
      </c>
      <c r="BK62" s="195">
        <f t="shared" si="1"/>
        <v>71177</v>
      </c>
      <c r="BL62" s="195">
        <f t="shared" si="1"/>
        <v>146198</v>
      </c>
      <c r="BM62" s="195">
        <f t="shared" si="1"/>
        <v>0</v>
      </c>
      <c r="BN62" s="195">
        <f t="shared" si="1"/>
        <v>4958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32168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60400</v>
      </c>
      <c r="BW62" s="195">
        <f t="shared" si="2"/>
        <v>22039</v>
      </c>
      <c r="BX62" s="195">
        <f t="shared" si="2"/>
        <v>0</v>
      </c>
      <c r="BY62" s="195">
        <f t="shared" si="2"/>
        <v>112798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13982</v>
      </c>
      <c r="CD62" s="249" t="s">
        <v>221</v>
      </c>
      <c r="CE62" s="195">
        <f t="shared" si="0"/>
        <v>3405134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>
        <v>4967</v>
      </c>
      <c r="F63" s="185"/>
      <c r="G63" s="184"/>
      <c r="H63" s="184"/>
      <c r="I63" s="185"/>
      <c r="J63" s="185"/>
      <c r="K63" s="185"/>
      <c r="L63" s="185">
        <v>270975</v>
      </c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>
        <v>6120</v>
      </c>
      <c r="X63" s="185">
        <v>44600</v>
      </c>
      <c r="Y63" s="185">
        <f>51640+12150</f>
        <v>63790</v>
      </c>
      <c r="Z63" s="185"/>
      <c r="AA63" s="185"/>
      <c r="AB63" s="185">
        <v>10969</v>
      </c>
      <c r="AC63" s="185"/>
      <c r="AD63" s="185"/>
      <c r="AE63" s="185"/>
      <c r="AF63" s="185"/>
      <c r="AG63" s="185">
        <v>217322</v>
      </c>
      <c r="AH63" s="185"/>
      <c r="AI63" s="185"/>
      <c r="AJ63" s="185">
        <v>62441</v>
      </c>
      <c r="AK63" s="185"/>
      <c r="AL63" s="185"/>
      <c r="AM63" s="185"/>
      <c r="AN63" s="185"/>
      <c r="AO63" s="185"/>
      <c r="AP63" s="185">
        <v>55036</v>
      </c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>
        <v>53749</v>
      </c>
      <c r="BI63" s="185"/>
      <c r="BJ63" s="185">
        <v>63285</v>
      </c>
      <c r="BK63" s="185"/>
      <c r="BL63" s="185"/>
      <c r="BM63" s="185"/>
      <c r="BN63" s="185">
        <v>164726</v>
      </c>
      <c r="BO63" s="185"/>
      <c r="BP63" s="185">
        <v>13413</v>
      </c>
      <c r="BQ63" s="185"/>
      <c r="BR63" s="185">
        <v>4000</v>
      </c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1035393</v>
      </c>
      <c r="CF63" s="252"/>
    </row>
    <row r="64" spans="1:84" ht="12.6" customHeight="1" x14ac:dyDescent="0.25">
      <c r="A64" s="171" t="s">
        <v>237</v>
      </c>
      <c r="B64" s="175"/>
      <c r="C64" s="184"/>
      <c r="D64" s="184"/>
      <c r="E64" s="185">
        <v>4995</v>
      </c>
      <c r="F64" s="185"/>
      <c r="G64" s="184"/>
      <c r="H64" s="184"/>
      <c r="I64" s="185"/>
      <c r="J64" s="185"/>
      <c r="K64" s="185"/>
      <c r="L64" s="185">
        <v>272526</v>
      </c>
      <c r="M64" s="184"/>
      <c r="N64" s="184">
        <v>546</v>
      </c>
      <c r="O64" s="184"/>
      <c r="P64" s="185">
        <v>46656</v>
      </c>
      <c r="Q64" s="185"/>
      <c r="R64" s="185"/>
      <c r="S64" s="185">
        <v>40059</v>
      </c>
      <c r="T64" s="185"/>
      <c r="U64" s="185">
        <v>390724</v>
      </c>
      <c r="V64" s="185"/>
      <c r="W64" s="185"/>
      <c r="X64" s="185"/>
      <c r="Y64" s="185">
        <v>46525</v>
      </c>
      <c r="Z64" s="185"/>
      <c r="AA64" s="185"/>
      <c r="AB64" s="185">
        <v>747960</v>
      </c>
      <c r="AC64" s="185"/>
      <c r="AD64" s="185"/>
      <c r="AE64" s="185">
        <v>31237</v>
      </c>
      <c r="AF64" s="185"/>
      <c r="AG64" s="185">
        <v>77474</v>
      </c>
      <c r="AH64" s="185"/>
      <c r="AI64" s="185"/>
      <c r="AJ64" s="185">
        <v>15869</v>
      </c>
      <c r="AK64" s="185">
        <v>743</v>
      </c>
      <c r="AL64" s="185"/>
      <c r="AM64" s="185">
        <v>2156</v>
      </c>
      <c r="AN64" s="185"/>
      <c r="AO64" s="185"/>
      <c r="AP64" s="185">
        <v>34692</v>
      </c>
      <c r="AQ64" s="185"/>
      <c r="AR64" s="185"/>
      <c r="AS64" s="185"/>
      <c r="AT64" s="185"/>
      <c r="AU64" s="185"/>
      <c r="AV64" s="185">
        <v>4266</v>
      </c>
      <c r="AW64" s="185"/>
      <c r="AX64" s="185"/>
      <c r="AY64" s="185">
        <v>247321</v>
      </c>
      <c r="AZ64" s="185"/>
      <c r="BA64" s="185"/>
      <c r="BB64" s="185">
        <v>497</v>
      </c>
      <c r="BC64" s="185"/>
      <c r="BD64" s="185"/>
      <c r="BE64" s="185">
        <v>49320</v>
      </c>
      <c r="BF64" s="185">
        <v>209343</v>
      </c>
      <c r="BG64" s="185"/>
      <c r="BH64" s="185">
        <v>217654</v>
      </c>
      <c r="BI64" s="185"/>
      <c r="BJ64" s="185">
        <v>5307</v>
      </c>
      <c r="BK64" s="185">
        <v>-1757</v>
      </c>
      <c r="BL64" s="185">
        <v>4944</v>
      </c>
      <c r="BM64" s="185"/>
      <c r="BN64" s="185">
        <v>19206</v>
      </c>
      <c r="BO64" s="185"/>
      <c r="BP64" s="185">
        <v>444</v>
      </c>
      <c r="BQ64" s="185"/>
      <c r="BR64" s="185">
        <v>4554</v>
      </c>
      <c r="BS64" s="185"/>
      <c r="BT64" s="185"/>
      <c r="BU64" s="185"/>
      <c r="BV64" s="185">
        <v>2381</v>
      </c>
      <c r="BW64" s="185">
        <v>1200</v>
      </c>
      <c r="BX64" s="185"/>
      <c r="BY64" s="185">
        <v>516</v>
      </c>
      <c r="BZ64" s="185"/>
      <c r="CA64" s="185"/>
      <c r="CB64" s="185"/>
      <c r="CC64" s="185">
        <v>14718</v>
      </c>
      <c r="CD64" s="249" t="s">
        <v>221</v>
      </c>
      <c r="CE64" s="195">
        <f t="shared" si="0"/>
        <v>2492076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>
        <v>706</v>
      </c>
      <c r="O65" s="184"/>
      <c r="P65" s="185"/>
      <c r="Q65" s="185"/>
      <c r="R65" s="185"/>
      <c r="S65" s="185">
        <v>150</v>
      </c>
      <c r="T65" s="185"/>
      <c r="U65" s="185"/>
      <c r="V65" s="185"/>
      <c r="W65" s="185"/>
      <c r="X65" s="185"/>
      <c r="Y65" s="185"/>
      <c r="Z65" s="185"/>
      <c r="AA65" s="185"/>
      <c r="AB65" s="185">
        <v>19394</v>
      </c>
      <c r="AC65" s="185"/>
      <c r="AD65" s="185"/>
      <c r="AE65" s="185"/>
      <c r="AF65" s="185"/>
      <c r="AG65" s="185"/>
      <c r="AH65" s="185"/>
      <c r="AI65" s="185"/>
      <c r="AJ65" s="185">
        <v>1870</v>
      </c>
      <c r="AK65" s="185"/>
      <c r="AL65" s="185"/>
      <c r="AM65" s="185"/>
      <c r="AN65" s="185"/>
      <c r="AO65" s="185"/>
      <c r="AP65" s="185">
        <v>14410</v>
      </c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389860</v>
      </c>
      <c r="BF65" s="185"/>
      <c r="BG65" s="185"/>
      <c r="BH65" s="185">
        <v>14388</v>
      </c>
      <c r="BI65" s="185"/>
      <c r="BJ65" s="185"/>
      <c r="BK65" s="185"/>
      <c r="BL65" s="185"/>
      <c r="BM65" s="185"/>
      <c r="BN65" s="185">
        <v>10670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9" t="s">
        <v>221</v>
      </c>
      <c r="CE65" s="195">
        <f t="shared" si="0"/>
        <v>451448</v>
      </c>
      <c r="CF65" s="252"/>
    </row>
    <row r="66" spans="1:84" ht="12.6" customHeight="1" x14ac:dyDescent="0.25">
      <c r="A66" s="171" t="s">
        <v>239</v>
      </c>
      <c r="B66" s="175"/>
      <c r="C66" s="184"/>
      <c r="D66" s="184"/>
      <c r="E66" s="184">
        <v>3311</v>
      </c>
      <c r="F66" s="184"/>
      <c r="G66" s="184"/>
      <c r="H66" s="184"/>
      <c r="I66" s="184"/>
      <c r="J66" s="184"/>
      <c r="K66" s="185"/>
      <c r="L66" s="185">
        <v>180653</v>
      </c>
      <c r="M66" s="184"/>
      <c r="N66" s="184"/>
      <c r="O66" s="185"/>
      <c r="P66" s="185">
        <v>6406</v>
      </c>
      <c r="Q66" s="185"/>
      <c r="R66" s="185"/>
      <c r="S66" s="184">
        <v>106674</v>
      </c>
      <c r="T66" s="184"/>
      <c r="U66" s="185">
        <v>203607</v>
      </c>
      <c r="V66" s="185"/>
      <c r="W66" s="185">
        <v>47594</v>
      </c>
      <c r="X66" s="185"/>
      <c r="Y66" s="185">
        <f>2237+7742</f>
        <v>9979</v>
      </c>
      <c r="Z66" s="185"/>
      <c r="AA66" s="185"/>
      <c r="AB66" s="185">
        <v>3578</v>
      </c>
      <c r="AC66" s="185"/>
      <c r="AD66" s="185"/>
      <c r="AE66" s="185">
        <v>10564</v>
      </c>
      <c r="AF66" s="185"/>
      <c r="AG66" s="185">
        <v>11849</v>
      </c>
      <c r="AH66" s="185"/>
      <c r="AI66" s="185"/>
      <c r="AJ66" s="185">
        <v>9624</v>
      </c>
      <c r="AK66" s="185"/>
      <c r="AL66" s="185">
        <v>5565</v>
      </c>
      <c r="AM66" s="185">
        <v>1200</v>
      </c>
      <c r="AN66" s="185"/>
      <c r="AO66" s="185"/>
      <c r="AP66" s="185">
        <v>56245</v>
      </c>
      <c r="AQ66" s="185"/>
      <c r="AR66" s="185"/>
      <c r="AS66" s="185"/>
      <c r="AT66" s="185"/>
      <c r="AU66" s="185"/>
      <c r="AV66" s="185"/>
      <c r="AW66" s="185"/>
      <c r="AX66" s="185"/>
      <c r="AY66" s="185">
        <v>218703</v>
      </c>
      <c r="AZ66" s="185"/>
      <c r="BA66" s="185"/>
      <c r="BB66" s="185">
        <v>375</v>
      </c>
      <c r="BC66" s="185"/>
      <c r="BD66" s="185"/>
      <c r="BE66" s="185">
        <v>291887</v>
      </c>
      <c r="BF66" s="185"/>
      <c r="BG66" s="185"/>
      <c r="BH66" s="185">
        <v>280745</v>
      </c>
      <c r="BI66" s="185"/>
      <c r="BJ66" s="185">
        <v>2082</v>
      </c>
      <c r="BK66" s="185">
        <v>702193</v>
      </c>
      <c r="BL66" s="185"/>
      <c r="BM66" s="185"/>
      <c r="BN66" s="185">
        <v>55683</v>
      </c>
      <c r="BO66" s="185"/>
      <c r="BP66" s="185">
        <v>595</v>
      </c>
      <c r="BQ66" s="185"/>
      <c r="BR66" s="185">
        <v>5485</v>
      </c>
      <c r="BS66" s="185"/>
      <c r="BT66" s="185"/>
      <c r="BU66" s="185"/>
      <c r="BV66" s="185"/>
      <c r="BW66" s="185">
        <v>5669</v>
      </c>
      <c r="BX66" s="185"/>
      <c r="BY66" s="185"/>
      <c r="BZ66" s="185"/>
      <c r="CA66" s="185"/>
      <c r="CB66" s="185"/>
      <c r="CC66" s="185">
        <v>948</v>
      </c>
      <c r="CD66" s="249" t="s">
        <v>221</v>
      </c>
      <c r="CE66" s="195">
        <f t="shared" si="0"/>
        <v>2221214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188054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752215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75051</v>
      </c>
      <c r="Q67" s="195">
        <f t="shared" si="3"/>
        <v>0</v>
      </c>
      <c r="R67" s="195">
        <f t="shared" si="3"/>
        <v>0</v>
      </c>
      <c r="S67" s="195">
        <f t="shared" si="3"/>
        <v>121940</v>
      </c>
      <c r="T67" s="195">
        <f t="shared" si="3"/>
        <v>0</v>
      </c>
      <c r="U67" s="195">
        <f t="shared" si="3"/>
        <v>64447</v>
      </c>
      <c r="V67" s="195">
        <f t="shared" si="3"/>
        <v>0</v>
      </c>
      <c r="W67" s="195">
        <f t="shared" si="3"/>
        <v>32447</v>
      </c>
      <c r="X67" s="195">
        <f t="shared" si="3"/>
        <v>57519</v>
      </c>
      <c r="Y67" s="195">
        <f t="shared" si="3"/>
        <v>57519</v>
      </c>
      <c r="Z67" s="195">
        <f t="shared" si="3"/>
        <v>0</v>
      </c>
      <c r="AA67" s="195">
        <f t="shared" si="3"/>
        <v>0</v>
      </c>
      <c r="AB67" s="195">
        <f t="shared" si="3"/>
        <v>67270</v>
      </c>
      <c r="AC67" s="195">
        <f t="shared" si="3"/>
        <v>0</v>
      </c>
      <c r="AD67" s="195">
        <f t="shared" si="3"/>
        <v>0</v>
      </c>
      <c r="AE67" s="195">
        <f t="shared" si="3"/>
        <v>85777</v>
      </c>
      <c r="AF67" s="195">
        <f t="shared" si="3"/>
        <v>0</v>
      </c>
      <c r="AG67" s="195">
        <f t="shared" si="3"/>
        <v>268324</v>
      </c>
      <c r="AH67" s="195">
        <f t="shared" si="3"/>
        <v>0</v>
      </c>
      <c r="AI67" s="195">
        <f t="shared" si="3"/>
        <v>0</v>
      </c>
      <c r="AJ67" s="195">
        <f t="shared" si="3"/>
        <v>110992</v>
      </c>
      <c r="AK67" s="195">
        <f t="shared" si="3"/>
        <v>47654</v>
      </c>
      <c r="AL67" s="195">
        <f t="shared" si="3"/>
        <v>25415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448721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163528</v>
      </c>
      <c r="AZ67" s="195">
        <f>ROUND(AZ51+AZ52,0)</f>
        <v>50745</v>
      </c>
      <c r="BA67" s="195">
        <f>ROUND(BA51+BA52,0)</f>
        <v>0</v>
      </c>
      <c r="BB67" s="195">
        <f t="shared" si="3"/>
        <v>10810</v>
      </c>
      <c r="BC67" s="195">
        <f t="shared" si="3"/>
        <v>0</v>
      </c>
      <c r="BD67" s="195">
        <f t="shared" si="3"/>
        <v>0</v>
      </c>
      <c r="BE67" s="195">
        <f t="shared" si="3"/>
        <v>348814</v>
      </c>
      <c r="BF67" s="195">
        <f t="shared" si="3"/>
        <v>56254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237339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10879</v>
      </c>
      <c r="BW67" s="195">
        <f t="shared" si="4"/>
        <v>0</v>
      </c>
      <c r="BX67" s="195">
        <f t="shared" si="4"/>
        <v>0</v>
      </c>
      <c r="BY67" s="195">
        <f t="shared" si="4"/>
        <v>5921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3287635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>
        <v>10475</v>
      </c>
      <c r="F68" s="184"/>
      <c r="G68" s="184"/>
      <c r="H68" s="184"/>
      <c r="I68" s="184"/>
      <c r="J68" s="184"/>
      <c r="K68" s="185"/>
      <c r="L68" s="185">
        <v>571490</v>
      </c>
      <c r="M68" s="184"/>
      <c r="N68" s="184"/>
      <c r="O68" s="184"/>
      <c r="P68" s="185"/>
      <c r="Q68" s="185"/>
      <c r="R68" s="185"/>
      <c r="S68" s="185"/>
      <c r="T68" s="185"/>
      <c r="U68" s="185">
        <v>16417</v>
      </c>
      <c r="V68" s="185"/>
      <c r="W68" s="185">
        <v>180254</v>
      </c>
      <c r="X68" s="185">
        <v>168686</v>
      </c>
      <c r="Y68" s="185">
        <v>124193</v>
      </c>
      <c r="Z68" s="185"/>
      <c r="AA68" s="185"/>
      <c r="AB68" s="185">
        <v>74697</v>
      </c>
      <c r="AC68" s="185"/>
      <c r="AD68" s="185"/>
      <c r="AE68" s="185">
        <v>11941</v>
      </c>
      <c r="AF68" s="185"/>
      <c r="AG68" s="185">
        <v>29</v>
      </c>
      <c r="AH68" s="185"/>
      <c r="AI68" s="185"/>
      <c r="AJ68" s="185"/>
      <c r="AK68" s="185"/>
      <c r="AL68" s="185"/>
      <c r="AM68" s="185"/>
      <c r="AN68" s="185"/>
      <c r="AO68" s="185"/>
      <c r="AP68" s="185">
        <v>185877</v>
      </c>
      <c r="AQ68" s="185"/>
      <c r="AR68" s="185"/>
      <c r="AS68" s="185"/>
      <c r="AT68" s="185"/>
      <c r="AU68" s="185"/>
      <c r="AV68" s="185"/>
      <c r="AW68" s="185"/>
      <c r="AX68" s="185"/>
      <c r="AY68" s="185">
        <v>36849</v>
      </c>
      <c r="AZ68" s="185"/>
      <c r="BA68" s="185"/>
      <c r="BB68" s="185"/>
      <c r="BC68" s="185"/>
      <c r="BD68" s="185"/>
      <c r="BE68" s="185">
        <v>202398</v>
      </c>
      <c r="BF68" s="185">
        <v>9597</v>
      </c>
      <c r="BG68" s="185"/>
      <c r="BH68" s="185"/>
      <c r="BI68" s="185"/>
      <c r="BJ68" s="185"/>
      <c r="BK68" s="185"/>
      <c r="BL68" s="185"/>
      <c r="BM68" s="185"/>
      <c r="BN68" s="185">
        <v>340190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1933093</v>
      </c>
      <c r="CF68" s="252"/>
    </row>
    <row r="69" spans="1:84" ht="12.6" customHeight="1" x14ac:dyDescent="0.25">
      <c r="A69" s="171" t="s">
        <v>241</v>
      </c>
      <c r="B69" s="175"/>
      <c r="C69" s="184"/>
      <c r="D69" s="184"/>
      <c r="E69" s="185">
        <v>367</v>
      </c>
      <c r="F69" s="185"/>
      <c r="G69" s="184"/>
      <c r="H69" s="184"/>
      <c r="I69" s="185"/>
      <c r="J69" s="185"/>
      <c r="K69" s="185"/>
      <c r="L69" s="185">
        <v>20030</v>
      </c>
      <c r="M69" s="184"/>
      <c r="N69" s="184">
        <v>5586</v>
      </c>
      <c r="O69" s="184"/>
      <c r="P69" s="185">
        <v>160</v>
      </c>
      <c r="Q69" s="185"/>
      <c r="R69" s="224"/>
      <c r="S69" s="185">
        <v>-3627</v>
      </c>
      <c r="T69" s="184"/>
      <c r="U69" s="185">
        <v>3531</v>
      </c>
      <c r="V69" s="185"/>
      <c r="W69" s="184"/>
      <c r="X69" s="185"/>
      <c r="Y69" s="185">
        <v>224</v>
      </c>
      <c r="Z69" s="185"/>
      <c r="AA69" s="185"/>
      <c r="AB69" s="185">
        <v>2789</v>
      </c>
      <c r="AC69" s="185"/>
      <c r="AD69" s="185"/>
      <c r="AE69" s="185">
        <v>5512</v>
      </c>
      <c r="AF69" s="185"/>
      <c r="AG69" s="185">
        <v>14064</v>
      </c>
      <c r="AH69" s="185"/>
      <c r="AI69" s="185"/>
      <c r="AJ69" s="185">
        <v>13567</v>
      </c>
      <c r="AK69" s="185">
        <v>743</v>
      </c>
      <c r="AL69" s="185">
        <v>59</v>
      </c>
      <c r="AM69" s="185">
        <v>1764</v>
      </c>
      <c r="AN69" s="185"/>
      <c r="AO69" s="184"/>
      <c r="AP69" s="185">
        <v>40981</v>
      </c>
      <c r="AQ69" s="184"/>
      <c r="AR69" s="184"/>
      <c r="AS69" s="184"/>
      <c r="AT69" s="184"/>
      <c r="AU69" s="185"/>
      <c r="AV69" s="185">
        <v>505</v>
      </c>
      <c r="AW69" s="185"/>
      <c r="AX69" s="185"/>
      <c r="AY69" s="185">
        <v>65</v>
      </c>
      <c r="AZ69" s="185"/>
      <c r="BA69" s="185"/>
      <c r="BB69" s="185">
        <v>2082</v>
      </c>
      <c r="BC69" s="185"/>
      <c r="BD69" s="185"/>
      <c r="BE69" s="185">
        <v>4303</v>
      </c>
      <c r="BF69" s="185">
        <v>108</v>
      </c>
      <c r="BG69" s="185"/>
      <c r="BH69" s="224">
        <v>17541</v>
      </c>
      <c r="BI69" s="185"/>
      <c r="BJ69" s="185">
        <v>841</v>
      </c>
      <c r="BK69" s="185">
        <v>6834</v>
      </c>
      <c r="BL69" s="185">
        <v>149</v>
      </c>
      <c r="BM69" s="185"/>
      <c r="BN69" s="185">
        <f>260565</f>
        <v>260565</v>
      </c>
      <c r="BO69" s="185"/>
      <c r="BP69" s="185">
        <v>277</v>
      </c>
      <c r="BQ69" s="185"/>
      <c r="BR69" s="185">
        <v>29344</v>
      </c>
      <c r="BS69" s="185"/>
      <c r="BT69" s="185"/>
      <c r="BU69" s="185"/>
      <c r="BV69" s="185">
        <v>1639</v>
      </c>
      <c r="BW69" s="185">
        <v>4567</v>
      </c>
      <c r="BX69" s="185"/>
      <c r="BY69" s="185">
        <v>15206</v>
      </c>
      <c r="BZ69" s="185"/>
      <c r="CA69" s="185"/>
      <c r="CB69" s="185"/>
      <c r="CC69" s="185"/>
      <c r="CD69" s="188">
        <v>5653859</v>
      </c>
      <c r="CE69" s="195">
        <f t="shared" si="0"/>
        <v>6103635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432723</v>
      </c>
      <c r="CE70" s="195">
        <f t="shared" si="0"/>
        <v>432723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289005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6259714</v>
      </c>
      <c r="M71" s="195">
        <f t="shared" si="5"/>
        <v>0</v>
      </c>
      <c r="N71" s="195">
        <f t="shared" si="5"/>
        <v>758460</v>
      </c>
      <c r="O71" s="195">
        <f t="shared" si="5"/>
        <v>0</v>
      </c>
      <c r="P71" s="195">
        <f t="shared" si="5"/>
        <v>284099</v>
      </c>
      <c r="Q71" s="195">
        <f t="shared" si="5"/>
        <v>0</v>
      </c>
      <c r="R71" s="195">
        <f t="shared" si="5"/>
        <v>0</v>
      </c>
      <c r="S71" s="195">
        <f t="shared" si="5"/>
        <v>492785</v>
      </c>
      <c r="T71" s="195">
        <f t="shared" si="5"/>
        <v>0</v>
      </c>
      <c r="U71" s="195">
        <f t="shared" si="5"/>
        <v>1390426</v>
      </c>
      <c r="V71" s="195">
        <f t="shared" si="5"/>
        <v>0</v>
      </c>
      <c r="W71" s="195">
        <f t="shared" si="5"/>
        <v>266415</v>
      </c>
      <c r="X71" s="195">
        <f t="shared" si="5"/>
        <v>270805</v>
      </c>
      <c r="Y71" s="195">
        <f t="shared" si="5"/>
        <v>1095468</v>
      </c>
      <c r="Z71" s="195">
        <f t="shared" si="5"/>
        <v>0</v>
      </c>
      <c r="AA71" s="195">
        <f t="shared" si="5"/>
        <v>0</v>
      </c>
      <c r="AB71" s="195">
        <f t="shared" si="5"/>
        <v>1442404</v>
      </c>
      <c r="AC71" s="195">
        <f t="shared" si="5"/>
        <v>0</v>
      </c>
      <c r="AD71" s="195">
        <f t="shared" si="5"/>
        <v>0</v>
      </c>
      <c r="AE71" s="195">
        <f t="shared" si="5"/>
        <v>835696</v>
      </c>
      <c r="AF71" s="195">
        <f t="shared" si="5"/>
        <v>0</v>
      </c>
      <c r="AG71" s="195">
        <f t="shared" si="5"/>
        <v>2905027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1786634</v>
      </c>
      <c r="AK71" s="195">
        <f t="shared" si="6"/>
        <v>575937</v>
      </c>
      <c r="AL71" s="195">
        <f t="shared" si="6"/>
        <v>277491</v>
      </c>
      <c r="AM71" s="195">
        <f t="shared" si="6"/>
        <v>308504</v>
      </c>
      <c r="AN71" s="195">
        <f t="shared" si="6"/>
        <v>0</v>
      </c>
      <c r="AO71" s="195">
        <f t="shared" si="6"/>
        <v>0</v>
      </c>
      <c r="AP71" s="195">
        <f t="shared" si="6"/>
        <v>2639505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208309</v>
      </c>
      <c r="AW71" s="195">
        <f t="shared" si="6"/>
        <v>0</v>
      </c>
      <c r="AX71" s="195">
        <f t="shared" si="6"/>
        <v>0</v>
      </c>
      <c r="AY71" s="195">
        <f t="shared" si="6"/>
        <v>1189727</v>
      </c>
      <c r="AZ71" s="195">
        <f t="shared" si="6"/>
        <v>50745</v>
      </c>
      <c r="BA71" s="195">
        <f t="shared" si="6"/>
        <v>0</v>
      </c>
      <c r="BB71" s="195">
        <f t="shared" si="6"/>
        <v>253412</v>
      </c>
      <c r="BC71" s="195">
        <f t="shared" si="6"/>
        <v>0</v>
      </c>
      <c r="BD71" s="195">
        <f t="shared" si="6"/>
        <v>0</v>
      </c>
      <c r="BE71" s="195">
        <f t="shared" si="6"/>
        <v>1669806</v>
      </c>
      <c r="BF71" s="195">
        <f t="shared" si="6"/>
        <v>649630</v>
      </c>
      <c r="BG71" s="195">
        <f t="shared" si="6"/>
        <v>0</v>
      </c>
      <c r="BH71" s="195">
        <f t="shared" si="6"/>
        <v>1159940</v>
      </c>
      <c r="BI71" s="195">
        <f t="shared" si="6"/>
        <v>0</v>
      </c>
      <c r="BJ71" s="195">
        <f t="shared" si="6"/>
        <v>444898</v>
      </c>
      <c r="BK71" s="195">
        <f t="shared" si="6"/>
        <v>1042643</v>
      </c>
      <c r="BL71" s="195">
        <f t="shared" si="6"/>
        <v>594205</v>
      </c>
      <c r="BM71" s="195">
        <f t="shared" si="6"/>
        <v>0</v>
      </c>
      <c r="BN71" s="195">
        <f t="shared" si="6"/>
        <v>1855393</v>
      </c>
      <c r="BO71" s="195">
        <f t="shared" si="6"/>
        <v>0</v>
      </c>
      <c r="BP71" s="195">
        <f t="shared" ref="BP71:CC71" si="7">SUM(BP61:BP69)-BP70</f>
        <v>14729</v>
      </c>
      <c r="BQ71" s="195">
        <f t="shared" si="7"/>
        <v>0</v>
      </c>
      <c r="BR71" s="195">
        <f t="shared" si="7"/>
        <v>231916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308409</v>
      </c>
      <c r="BW71" s="195">
        <f t="shared" si="7"/>
        <v>116482</v>
      </c>
      <c r="BX71" s="195">
        <f t="shared" si="7"/>
        <v>0</v>
      </c>
      <c r="BY71" s="195">
        <f t="shared" si="7"/>
        <v>689655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60631</v>
      </c>
      <c r="CD71" s="245">
        <f>CD69-CD70</f>
        <v>5221136</v>
      </c>
      <c r="CE71" s="195">
        <f>SUM(CE61:CE69)-CE70</f>
        <v>37640041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3785604</v>
      </c>
      <c r="CF72" s="252"/>
    </row>
    <row r="73" spans="1:84" ht="12.6" customHeight="1" x14ac:dyDescent="0.25">
      <c r="A73" s="171" t="s">
        <v>245</v>
      </c>
      <c r="B73" s="175"/>
      <c r="C73" s="184"/>
      <c r="D73" s="184"/>
      <c r="E73" s="185">
        <v>516702</v>
      </c>
      <c r="F73" s="185"/>
      <c r="G73" s="184"/>
      <c r="H73" s="184"/>
      <c r="I73" s="185"/>
      <c r="J73" s="185"/>
      <c r="K73" s="185"/>
      <c r="L73" s="185">
        <v>19454395</v>
      </c>
      <c r="M73" s="184"/>
      <c r="N73" s="184">
        <v>619818</v>
      </c>
      <c r="O73" s="184"/>
      <c r="P73" s="185">
        <v>18336</v>
      </c>
      <c r="Q73" s="185"/>
      <c r="R73" s="185"/>
      <c r="S73" s="185"/>
      <c r="T73" s="185"/>
      <c r="U73" s="185">
        <v>647501</v>
      </c>
      <c r="V73" s="185"/>
      <c r="W73" s="185">
        <v>77698</v>
      </c>
      <c r="X73" s="185">
        <v>210329</v>
      </c>
      <c r="Y73" s="185">
        <v>193330</v>
      </c>
      <c r="Z73" s="185"/>
      <c r="AA73" s="185"/>
      <c r="AB73" s="185">
        <v>1866151</v>
      </c>
      <c r="AC73" s="185"/>
      <c r="AD73" s="185"/>
      <c r="AE73" s="185">
        <v>1219747</v>
      </c>
      <c r="AF73" s="185"/>
      <c r="AG73" s="185">
        <v>35242</v>
      </c>
      <c r="AH73" s="185"/>
      <c r="AI73" s="185"/>
      <c r="AJ73" s="185">
        <v>24081</v>
      </c>
      <c r="AK73" s="185">
        <v>1440599</v>
      </c>
      <c r="AL73" s="185">
        <v>751767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f>297857+2</f>
        <v>297859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27373555</v>
      </c>
      <c r="CF73" s="252"/>
    </row>
    <row r="74" spans="1:84" ht="12.6" customHeight="1" x14ac:dyDescent="0.25">
      <c r="A74" s="171" t="s">
        <v>246</v>
      </c>
      <c r="B74" s="175"/>
      <c r="C74" s="184"/>
      <c r="D74" s="184"/>
      <c r="E74" s="185">
        <v>86748</v>
      </c>
      <c r="F74" s="185"/>
      <c r="G74" s="184"/>
      <c r="H74" s="184"/>
      <c r="I74" s="184"/>
      <c r="J74" s="185"/>
      <c r="K74" s="185"/>
      <c r="L74" s="185"/>
      <c r="M74" s="184"/>
      <c r="N74" s="184">
        <v>8296</v>
      </c>
      <c r="O74" s="184"/>
      <c r="P74" s="185">
        <v>1177067</v>
      </c>
      <c r="Q74" s="185"/>
      <c r="R74" s="185"/>
      <c r="S74" s="185"/>
      <c r="T74" s="185"/>
      <c r="U74" s="185">
        <v>2692030</v>
      </c>
      <c r="V74" s="185"/>
      <c r="W74" s="185">
        <v>532014</v>
      </c>
      <c r="X74" s="185">
        <v>2535138</v>
      </c>
      <c r="Y74" s="185">
        <v>1473403</v>
      </c>
      <c r="Z74" s="185"/>
      <c r="AA74" s="185"/>
      <c r="AB74" s="185">
        <v>559312</v>
      </c>
      <c r="AC74" s="185"/>
      <c r="AD74" s="185"/>
      <c r="AE74" s="185">
        <v>936340</v>
      </c>
      <c r="AF74" s="185"/>
      <c r="AG74" s="185">
        <v>6356443</v>
      </c>
      <c r="AH74" s="185"/>
      <c r="AI74" s="185"/>
      <c r="AJ74" s="185">
        <v>1855537</v>
      </c>
      <c r="AK74" s="185">
        <v>103209</v>
      </c>
      <c r="AL74" s="185">
        <v>86975</v>
      </c>
      <c r="AM74" s="185"/>
      <c r="AN74" s="185"/>
      <c r="AO74" s="185"/>
      <c r="AP74" s="185">
        <v>2237726</v>
      </c>
      <c r="AQ74" s="185"/>
      <c r="AR74" s="185"/>
      <c r="AS74" s="185"/>
      <c r="AT74" s="185"/>
      <c r="AU74" s="185"/>
      <c r="AV74" s="185">
        <f>141606+14812-176</f>
        <v>156242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20796480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603450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19454395</v>
      </c>
      <c r="M75" s="195">
        <f t="shared" si="9"/>
        <v>0</v>
      </c>
      <c r="N75" s="195">
        <f t="shared" si="9"/>
        <v>628114</v>
      </c>
      <c r="O75" s="195">
        <f t="shared" si="9"/>
        <v>0</v>
      </c>
      <c r="P75" s="195">
        <f t="shared" si="9"/>
        <v>1195403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3339531</v>
      </c>
      <c r="V75" s="195">
        <f t="shared" si="9"/>
        <v>0</v>
      </c>
      <c r="W75" s="195">
        <f t="shared" si="9"/>
        <v>609712</v>
      </c>
      <c r="X75" s="195">
        <f t="shared" si="9"/>
        <v>2745467</v>
      </c>
      <c r="Y75" s="195">
        <f t="shared" si="9"/>
        <v>1666733</v>
      </c>
      <c r="Z75" s="195">
        <f t="shared" si="9"/>
        <v>0</v>
      </c>
      <c r="AA75" s="195">
        <f t="shared" si="9"/>
        <v>0</v>
      </c>
      <c r="AB75" s="195">
        <f t="shared" si="9"/>
        <v>2425463</v>
      </c>
      <c r="AC75" s="195">
        <f t="shared" si="9"/>
        <v>0</v>
      </c>
      <c r="AD75" s="195">
        <f t="shared" si="9"/>
        <v>0</v>
      </c>
      <c r="AE75" s="195">
        <f t="shared" si="9"/>
        <v>2156087</v>
      </c>
      <c r="AF75" s="195">
        <f t="shared" si="9"/>
        <v>0</v>
      </c>
      <c r="AG75" s="195">
        <f t="shared" si="9"/>
        <v>6391685</v>
      </c>
      <c r="AH75" s="195">
        <f t="shared" si="9"/>
        <v>0</v>
      </c>
      <c r="AI75" s="195">
        <f t="shared" si="9"/>
        <v>0</v>
      </c>
      <c r="AJ75" s="195">
        <f t="shared" si="9"/>
        <v>1879618</v>
      </c>
      <c r="AK75" s="195">
        <f t="shared" si="9"/>
        <v>1543808</v>
      </c>
      <c r="AL75" s="195">
        <f t="shared" si="9"/>
        <v>838742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2237726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454101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48170035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185">
        <f>13656*(5/25)</f>
        <v>2731.2000000000003</v>
      </c>
      <c r="F76" s="185"/>
      <c r="G76" s="184"/>
      <c r="H76" s="184"/>
      <c r="I76" s="185"/>
      <c r="J76" s="185"/>
      <c r="K76" s="185"/>
      <c r="L76" s="185">
        <f>13656*(20/25)</f>
        <v>10924.800000000001</v>
      </c>
      <c r="M76" s="185"/>
      <c r="N76" s="185"/>
      <c r="O76" s="185"/>
      <c r="P76" s="185">
        <f>917+173</f>
        <v>1090</v>
      </c>
      <c r="Q76" s="185"/>
      <c r="R76" s="185"/>
      <c r="S76" s="185">
        <v>1771</v>
      </c>
      <c r="T76" s="185"/>
      <c r="U76" s="185">
        <v>936</v>
      </c>
      <c r="V76" s="185"/>
      <c r="W76" s="185">
        <f>2142*0.22</f>
        <v>471.24</v>
      </c>
      <c r="X76" s="185">
        <f>2142*0.39</f>
        <v>835.38</v>
      </c>
      <c r="Y76" s="185">
        <f>2142*0.39</f>
        <v>835.38</v>
      </c>
      <c r="Z76" s="185"/>
      <c r="AA76" s="185"/>
      <c r="AB76" s="185">
        <v>977</v>
      </c>
      <c r="AC76" s="185"/>
      <c r="AD76" s="185"/>
      <c r="AE76" s="185">
        <f>2307*0.54</f>
        <v>1245.78</v>
      </c>
      <c r="AF76" s="185"/>
      <c r="AG76" s="185">
        <v>3897</v>
      </c>
      <c r="AH76" s="185"/>
      <c r="AI76" s="185"/>
      <c r="AJ76" s="185">
        <f>1612</f>
        <v>1612</v>
      </c>
      <c r="AK76" s="185">
        <f>2307*0.3</f>
        <v>692.1</v>
      </c>
      <c r="AL76" s="185">
        <f>2307*0.16</f>
        <v>369.12</v>
      </c>
      <c r="AM76" s="185"/>
      <c r="AN76" s="185"/>
      <c r="AO76" s="185"/>
      <c r="AP76" s="185">
        <v>6517</v>
      </c>
      <c r="AQ76" s="185"/>
      <c r="AR76" s="185"/>
      <c r="AS76" s="185"/>
      <c r="AT76" s="185"/>
      <c r="AU76" s="185"/>
      <c r="AV76" s="185"/>
      <c r="AW76" s="185"/>
      <c r="AX76" s="185"/>
      <c r="AY76" s="185">
        <v>2375</v>
      </c>
      <c r="AZ76" s="185">
        <v>737</v>
      </c>
      <c r="BA76" s="185"/>
      <c r="BB76" s="185">
        <v>157</v>
      </c>
      <c r="BC76" s="185"/>
      <c r="BD76" s="185"/>
      <c r="BE76" s="185">
        <v>5066</v>
      </c>
      <c r="BF76" s="185">
        <v>817</v>
      </c>
      <c r="BG76" s="185"/>
      <c r="BH76" s="185"/>
      <c r="BI76" s="185"/>
      <c r="BJ76" s="185"/>
      <c r="BK76" s="185"/>
      <c r="BL76" s="185"/>
      <c r="BM76" s="185"/>
      <c r="BN76" s="185">
        <v>3447</v>
      </c>
      <c r="BO76" s="185"/>
      <c r="BP76" s="185"/>
      <c r="BQ76" s="185"/>
      <c r="BR76" s="185"/>
      <c r="BS76" s="185"/>
      <c r="BT76" s="185"/>
      <c r="BU76" s="185"/>
      <c r="BV76" s="185">
        <v>158</v>
      </c>
      <c r="BW76" s="185"/>
      <c r="BX76" s="185"/>
      <c r="BY76" s="185">
        <v>86</v>
      </c>
      <c r="BZ76" s="185"/>
      <c r="CA76" s="185"/>
      <c r="CB76" s="185"/>
      <c r="CC76" s="185"/>
      <c r="CD76" s="249" t="s">
        <v>221</v>
      </c>
      <c r="CE76" s="195">
        <f t="shared" si="8"/>
        <v>47748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/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>
        <v>22598</v>
      </c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22598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f>E$76/$CE$76*19337</f>
        <v>1106.0822317165118</v>
      </c>
      <c r="F78" s="184"/>
      <c r="G78" s="184"/>
      <c r="H78" s="184"/>
      <c r="I78" s="184"/>
      <c r="J78" s="184"/>
      <c r="K78" s="184"/>
      <c r="L78" s="184">
        <f>L$76/$CE$76*19337</f>
        <v>4424.3289268660474</v>
      </c>
      <c r="M78" s="184"/>
      <c r="N78" s="184"/>
      <c r="O78" s="184"/>
      <c r="P78" s="184">
        <f>P$76/$CE$76*19337</f>
        <v>441.42854150959204</v>
      </c>
      <c r="Q78" s="184"/>
      <c r="R78" s="184"/>
      <c r="S78" s="184">
        <f>S$76/$CE$76*19337</f>
        <v>717.22013487475908</v>
      </c>
      <c r="T78" s="184"/>
      <c r="U78" s="184">
        <f>U$76/$CE$76*19337</f>
        <v>379.06157325961294</v>
      </c>
      <c r="V78" s="184"/>
      <c r="W78" s="184">
        <f>W$76/$CE$76*19337</f>
        <v>190.84292284493594</v>
      </c>
      <c r="X78" s="184">
        <f>X$76/$CE$76*19337</f>
        <v>338.31245413420459</v>
      </c>
      <c r="Y78" s="184">
        <f>Y$76/$CE$76*19337</f>
        <v>338.31245413420459</v>
      </c>
      <c r="Z78" s="184"/>
      <c r="AA78" s="184"/>
      <c r="AB78" s="184">
        <f>AB$76/$CE$76*19337</f>
        <v>395.66576610538658</v>
      </c>
      <c r="AC78" s="184"/>
      <c r="AD78" s="184"/>
      <c r="AE78" s="184">
        <f>AE$76/$CE$76*19337</f>
        <v>504.51637471726565</v>
      </c>
      <c r="AF78" s="184"/>
      <c r="AG78" s="184">
        <f>AG$76/$CE$76*19337</f>
        <v>1578.2082809751194</v>
      </c>
      <c r="AH78" s="184"/>
      <c r="AI78" s="184"/>
      <c r="AJ78" s="184">
        <f>AJ$76/$CE$76*19337</f>
        <v>652.82826505822231</v>
      </c>
      <c r="AK78" s="184">
        <f>AK$76/$CE$76*19337</f>
        <v>280.28687484292539</v>
      </c>
      <c r="AL78" s="184">
        <f>AL$76/$CE$76*19337</f>
        <v>149.4863332495602</v>
      </c>
      <c r="AM78" s="184"/>
      <c r="AN78" s="184"/>
      <c r="AO78" s="184"/>
      <c r="AP78" s="184">
        <f>AP$76/$CE$76*19337</f>
        <v>2639.2567018513864</v>
      </c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>
        <f>BB$76/$CE$76*19337</f>
        <v>63.581909189913709</v>
      </c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f>BV$76/$CE$76*19337</f>
        <v>63.986889503225271</v>
      </c>
      <c r="BW78" s="184"/>
      <c r="BX78" s="184"/>
      <c r="BY78" s="184">
        <f>BY$76/$CE$76*19337</f>
        <v>34.828306944793496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14298.234941777666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>
        <v>2702</v>
      </c>
      <c r="F79" s="184"/>
      <c r="G79" s="184"/>
      <c r="H79" s="184"/>
      <c r="I79" s="184"/>
      <c r="J79" s="184"/>
      <c r="K79" s="184"/>
      <c r="L79" s="184">
        <v>147425</v>
      </c>
      <c r="M79" s="184"/>
      <c r="N79" s="184"/>
      <c r="O79" s="184"/>
      <c r="P79" s="184">
        <v>9155</v>
      </c>
      <c r="Q79" s="184"/>
      <c r="R79" s="184"/>
      <c r="S79" s="184"/>
      <c r="T79" s="184"/>
      <c r="U79" s="184"/>
      <c r="V79" s="184"/>
      <c r="W79" s="184"/>
      <c r="X79" s="184"/>
      <c r="Y79" s="184">
        <v>3165</v>
      </c>
      <c r="Z79" s="184"/>
      <c r="AA79" s="184"/>
      <c r="AB79" s="184"/>
      <c r="AC79" s="184"/>
      <c r="AD79" s="184"/>
      <c r="AE79" s="184">
        <v>412</v>
      </c>
      <c r="AF79" s="184"/>
      <c r="AG79" s="184">
        <v>27020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189879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0.8</v>
      </c>
      <c r="F80" s="187"/>
      <c r="G80" s="187"/>
      <c r="H80" s="187"/>
      <c r="I80" s="187"/>
      <c r="J80" s="187"/>
      <c r="K80" s="187"/>
      <c r="L80" s="187">
        <f>45.7+4.25+0.4</f>
        <v>50.35</v>
      </c>
      <c r="M80" s="187"/>
      <c r="N80" s="187"/>
      <c r="O80" s="187"/>
      <c r="P80" s="187">
        <v>0.66</v>
      </c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>
        <v>0.04</v>
      </c>
      <c r="AF80" s="187"/>
      <c r="AG80" s="187">
        <v>6.21</v>
      </c>
      <c r="AH80" s="187"/>
      <c r="AI80" s="187"/>
      <c r="AJ80" s="187">
        <v>0.01</v>
      </c>
      <c r="AK80" s="187"/>
      <c r="AL80" s="187"/>
      <c r="AM80" s="187">
        <v>0.32</v>
      </c>
      <c r="AN80" s="187"/>
      <c r="AO80" s="187"/>
      <c r="AP80" s="187">
        <v>0.01</v>
      </c>
      <c r="AQ80" s="187"/>
      <c r="AR80" s="187"/>
      <c r="AS80" s="187"/>
      <c r="AT80" s="187"/>
      <c r="AU80" s="187"/>
      <c r="AV80" s="187">
        <v>0.49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58.889999999999993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1267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1269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1270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1271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/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1268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1278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1275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42</v>
      </c>
      <c r="D111" s="174">
        <v>151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260</v>
      </c>
      <c r="D112" s="174">
        <v>8212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>
        <v>15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/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7249786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23</v>
      </c>
      <c r="C138" s="189">
        <v>7</v>
      </c>
      <c r="D138" s="174">
        <v>12</v>
      </c>
      <c r="E138" s="175">
        <f>SUM(B138:D138)</f>
        <v>42</v>
      </c>
    </row>
    <row r="139" spans="1:6" ht="12.6" customHeight="1" x14ac:dyDescent="0.25">
      <c r="A139" s="173" t="s">
        <v>215</v>
      </c>
      <c r="B139" s="174">
        <v>76</v>
      </c>
      <c r="C139" s="189">
        <v>28</v>
      </c>
      <c r="D139" s="174">
        <f>152-104</f>
        <v>48</v>
      </c>
      <c r="E139" s="175">
        <f>SUM(B139:D139)</f>
        <v>152</v>
      </c>
    </row>
    <row r="140" spans="1:6" ht="12.6" customHeight="1" x14ac:dyDescent="0.25">
      <c r="A140" s="173" t="s">
        <v>298</v>
      </c>
      <c r="B140" s="174">
        <v>8044</v>
      </c>
      <c r="C140" s="174">
        <v>5329</v>
      </c>
      <c r="D140" s="174">
        <v>19004</v>
      </c>
      <c r="E140" s="175">
        <f>SUM(B140:D140)</f>
        <v>32377</v>
      </c>
    </row>
    <row r="141" spans="1:6" ht="12.6" customHeight="1" x14ac:dyDescent="0.25">
      <c r="A141" s="173" t="s">
        <v>245</v>
      </c>
      <c r="B141" s="174">
        <f>198346+96457</f>
        <v>294803</v>
      </c>
      <c r="C141" s="189">
        <v>120243</v>
      </c>
      <c r="D141" s="174">
        <f>603034-415046</f>
        <v>187988</v>
      </c>
      <c r="E141" s="175">
        <f>SUM(B141:D141)</f>
        <v>603034</v>
      </c>
      <c r="F141" s="199"/>
    </row>
    <row r="142" spans="1:6" ht="12.6" customHeight="1" x14ac:dyDescent="0.25">
      <c r="A142" s="173" t="s">
        <v>246</v>
      </c>
      <c r="B142" s="174">
        <f>3189970+1485363</f>
        <v>4675333</v>
      </c>
      <c r="C142" s="189">
        <v>3848046</v>
      </c>
      <c r="D142" s="174">
        <v>12291027</v>
      </c>
      <c r="E142" s="175">
        <f>SUM(B142:D142)</f>
        <v>20814406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241</v>
      </c>
      <c r="C144" s="189">
        <v>7</v>
      </c>
      <c r="D144" s="174">
        <f>263-248</f>
        <v>15</v>
      </c>
      <c r="E144" s="175">
        <f>SUM(B144:D144)</f>
        <v>263</v>
      </c>
    </row>
    <row r="145" spans="1:5" ht="12.6" customHeight="1" x14ac:dyDescent="0.25">
      <c r="A145" s="173" t="s">
        <v>215</v>
      </c>
      <c r="B145" s="174">
        <f>6625+988</f>
        <v>7613</v>
      </c>
      <c r="C145" s="189">
        <v>348</v>
      </c>
      <c r="D145" s="174">
        <f>8210-7961</f>
        <v>249</v>
      </c>
      <c r="E145" s="175">
        <f>SUM(B145:D145)</f>
        <v>8210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>
        <f>22114979+3397284</f>
        <v>25512263</v>
      </c>
      <c r="C147" s="189">
        <v>425460</v>
      </c>
      <c r="D147" s="174">
        <f>26752595-25937723</f>
        <v>814872</v>
      </c>
      <c r="E147" s="175">
        <f>SUM(B147:D147)</f>
        <v>26752595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3992865</v>
      </c>
      <c r="C157" s="174">
        <v>3576623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1181408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43076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132286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1542703+116584+24553+224247</f>
        <v>1908087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13378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143761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3405134-3421996</f>
        <v>-16862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3405134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f>28636+214372</f>
        <v>243008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1690086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1933094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112780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f>142969-112780</f>
        <v>30189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142969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46848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194143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240991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5459715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5459715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14631177.529999999</v>
      </c>
      <c r="C195" s="189"/>
      <c r="D195" s="174"/>
      <c r="E195" s="175">
        <f t="shared" ref="E195:E203" si="10">SUM(B195:C195)-D195</f>
        <v>14631177.529999999</v>
      </c>
    </row>
    <row r="196" spans="1:8" ht="12.6" customHeight="1" x14ac:dyDescent="0.25">
      <c r="A196" s="173" t="s">
        <v>333</v>
      </c>
      <c r="B196" s="174">
        <v>11955882.33</v>
      </c>
      <c r="C196" s="189"/>
      <c r="D196" s="174"/>
      <c r="E196" s="175">
        <f t="shared" si="10"/>
        <v>11955882.33</v>
      </c>
    </row>
    <row r="197" spans="1:8" ht="12.6" customHeight="1" x14ac:dyDescent="0.25">
      <c r="A197" s="173" t="s">
        <v>334</v>
      </c>
      <c r="B197" s="174">
        <v>31774154.57</v>
      </c>
      <c r="C197" s="189">
        <f>32029211-31774155</f>
        <v>255056</v>
      </c>
      <c r="D197" s="174"/>
      <c r="E197" s="175">
        <f t="shared" si="10"/>
        <v>32029210.57</v>
      </c>
    </row>
    <row r="198" spans="1:8" ht="12.6" customHeight="1" x14ac:dyDescent="0.25">
      <c r="A198" s="173" t="s">
        <v>335</v>
      </c>
      <c r="B198" s="174">
        <v>6064809.5199999996</v>
      </c>
      <c r="C198" s="189"/>
      <c r="D198" s="174"/>
      <c r="E198" s="175">
        <f t="shared" si="10"/>
        <v>6064809.5199999996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6014831.3899999997</v>
      </c>
      <c r="C200" s="189">
        <f>12319903-12079641</f>
        <v>240262</v>
      </c>
      <c r="D200" s="174"/>
      <c r="E200" s="175">
        <f t="shared" si="10"/>
        <v>6255093.3899999997</v>
      </c>
    </row>
    <row r="201" spans="1:8" ht="12.6" customHeight="1" x14ac:dyDescent="0.2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0</v>
      </c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401252</v>
      </c>
      <c r="C203" s="189"/>
      <c r="D203" s="174">
        <v>401252</v>
      </c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70842107.340000004</v>
      </c>
      <c r="C204" s="191">
        <f>SUM(C195:C203)</f>
        <v>495318</v>
      </c>
      <c r="D204" s="175">
        <f>SUM(D195:D203)</f>
        <v>401252</v>
      </c>
      <c r="E204" s="175">
        <f>SUM(E195:E203)</f>
        <v>70936173.340000004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2063526.49</v>
      </c>
      <c r="C209" s="189">
        <f>2828537-2063526</f>
        <v>765011</v>
      </c>
      <c r="D209" s="174"/>
      <c r="E209" s="175">
        <f t="shared" ref="E209:E216" si="11">SUM(B209:C209)-D209</f>
        <v>2828537.49</v>
      </c>
      <c r="H209" s="259"/>
    </row>
    <row r="210" spans="1:8" ht="12.6" customHeight="1" x14ac:dyDescent="0.25">
      <c r="A210" s="173" t="s">
        <v>334</v>
      </c>
      <c r="B210" s="174">
        <v>5332795.32</v>
      </c>
      <c r="C210" s="189">
        <v>1680122</v>
      </c>
      <c r="D210" s="174"/>
      <c r="E210" s="175">
        <f t="shared" si="11"/>
        <v>7012917.3200000003</v>
      </c>
      <c r="H210" s="259"/>
    </row>
    <row r="211" spans="1:8" ht="12.6" customHeight="1" x14ac:dyDescent="0.25">
      <c r="A211" s="173" t="s">
        <v>335</v>
      </c>
      <c r="B211" s="174">
        <v>1129279.44</v>
      </c>
      <c r="C211" s="189">
        <f>1515898+36892-1129279</f>
        <v>423511</v>
      </c>
      <c r="D211" s="174"/>
      <c r="E211" s="175">
        <f t="shared" si="11"/>
        <v>1552790.44</v>
      </c>
      <c r="H211" s="259"/>
    </row>
    <row r="212" spans="1:8" ht="12.6" customHeight="1" x14ac:dyDescent="0.25">
      <c r="A212" s="173" t="s">
        <v>336</v>
      </c>
      <c r="B212" s="174">
        <v>4119693</v>
      </c>
      <c r="C212" s="189">
        <v>411974</v>
      </c>
      <c r="D212" s="174"/>
      <c r="E212" s="175">
        <f t="shared" si="11"/>
        <v>4531667</v>
      </c>
      <c r="H212" s="259"/>
    </row>
    <row r="213" spans="1:8" ht="12.6" customHeight="1" x14ac:dyDescent="0.25">
      <c r="A213" s="173" t="s">
        <v>337</v>
      </c>
      <c r="B213" s="174">
        <v>0</v>
      </c>
      <c r="C213" s="189"/>
      <c r="D213" s="174"/>
      <c r="E213" s="175">
        <f t="shared" si="11"/>
        <v>0</v>
      </c>
      <c r="H213" s="259"/>
    </row>
    <row r="214" spans="1:8" ht="12.6" customHeight="1" x14ac:dyDescent="0.2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/>
      <c r="D215" s="174"/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12645294.25</v>
      </c>
      <c r="C217" s="191">
        <f>SUM(C208:C216)</f>
        <v>3280618</v>
      </c>
      <c r="D217" s="175">
        <f>SUM(D208:D216)</f>
        <v>0</v>
      </c>
      <c r="E217" s="175">
        <f>SUM(E208:E216)</f>
        <v>15925912.25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f>619456+55331</f>
        <v>674787</v>
      </c>
      <c r="D221" s="172">
        <f>C221</f>
        <v>674787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5213329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1353446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182991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f>86413</f>
        <v>86413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1593298+785461+1625985+2158375</f>
        <v>6163119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0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12999298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/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f>565161+27253</f>
        <v>592414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592414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-92360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-92360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14174139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f>15525385-102277</f>
        <v>15423108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7436943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2828681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197177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f>82935+37115</f>
        <v>120050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133878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48619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20531094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>
        <v>102277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102277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14631177.529999999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11955882.33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32029211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6064809.5199999996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6255093.3899999997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/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70936173.769999996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15924673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55011500.769999996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2343632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2343632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77988503.769999996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678513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1959334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f>-21577-82823-16799</f>
        <v>-121199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556250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3072898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f>94413321+556250</f>
        <v>94969571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94969571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556250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94413321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/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-19497716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77988503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77988503.769999996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27373555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f>48170035-27373555</f>
        <v>20796480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48170035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f>619456+55331</f>
        <v>674787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f>12906939+92360</f>
        <v>12999299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f>565161+27253</f>
        <v>592414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-92360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14174140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33995895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f>317965+114758</f>
        <v>432723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3785604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4218327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38214222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17143137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3405134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1035393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2492076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451448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>2073956+147257</f>
        <v>2221213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3287636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1933093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142969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46848+194143</f>
        <v>240991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5459715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38072764-37812805</f>
        <v>259959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38072764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141458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81816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223274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223274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Snoqualmie Valley Hospital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42</v>
      </c>
      <c r="C414" s="194">
        <f>E138</f>
        <v>42</v>
      </c>
      <c r="D414" s="179"/>
    </row>
    <row r="415" spans="1:5" ht="12.6" customHeight="1" x14ac:dyDescent="0.25">
      <c r="A415" s="179" t="s">
        <v>464</v>
      </c>
      <c r="B415" s="179">
        <f>D111</f>
        <v>151</v>
      </c>
      <c r="C415" s="179">
        <f>E139</f>
        <v>152</v>
      </c>
      <c r="D415" s="194">
        <f>SUM(C59:H59)+N59</f>
        <v>151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260</v>
      </c>
      <c r="C417" s="194">
        <f>E144</f>
        <v>263</v>
      </c>
      <c r="D417" s="179"/>
    </row>
    <row r="418" spans="1:7" ht="12.6" customHeight="1" x14ac:dyDescent="0.25">
      <c r="A418" s="179" t="s">
        <v>466</v>
      </c>
      <c r="B418" s="179">
        <f>D112</f>
        <v>8212</v>
      </c>
      <c r="C418" s="179">
        <f>E145</f>
        <v>8210</v>
      </c>
      <c r="D418" s="179">
        <f>K59+L59</f>
        <v>8212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17143137</v>
      </c>
      <c r="C427" s="179">
        <f t="shared" ref="C427:C434" si="13">CE61</f>
        <v>17143136</v>
      </c>
      <c r="D427" s="179"/>
    </row>
    <row r="428" spans="1:7" ht="12.6" customHeight="1" x14ac:dyDescent="0.25">
      <c r="A428" s="179" t="s">
        <v>3</v>
      </c>
      <c r="B428" s="179">
        <f t="shared" si="12"/>
        <v>3405134</v>
      </c>
      <c r="C428" s="179">
        <f t="shared" si="13"/>
        <v>3405134</v>
      </c>
      <c r="D428" s="179">
        <f>D173</f>
        <v>3405134</v>
      </c>
    </row>
    <row r="429" spans="1:7" ht="12.6" customHeight="1" x14ac:dyDescent="0.25">
      <c r="A429" s="179" t="s">
        <v>236</v>
      </c>
      <c r="B429" s="179">
        <f t="shared" si="12"/>
        <v>1035393</v>
      </c>
      <c r="C429" s="179">
        <f t="shared" si="13"/>
        <v>1035393</v>
      </c>
      <c r="D429" s="179"/>
    </row>
    <row r="430" spans="1:7" ht="12.6" customHeight="1" x14ac:dyDescent="0.25">
      <c r="A430" s="179" t="s">
        <v>237</v>
      </c>
      <c r="B430" s="179">
        <f t="shared" si="12"/>
        <v>2492076</v>
      </c>
      <c r="C430" s="179">
        <f t="shared" si="13"/>
        <v>2492076</v>
      </c>
      <c r="D430" s="179"/>
    </row>
    <row r="431" spans="1:7" ht="12.6" customHeight="1" x14ac:dyDescent="0.25">
      <c r="A431" s="179" t="s">
        <v>444</v>
      </c>
      <c r="B431" s="179">
        <f t="shared" si="12"/>
        <v>451448</v>
      </c>
      <c r="C431" s="179">
        <f t="shared" si="13"/>
        <v>451448</v>
      </c>
      <c r="D431" s="179"/>
    </row>
    <row r="432" spans="1:7" ht="12.6" customHeight="1" x14ac:dyDescent="0.25">
      <c r="A432" s="179" t="s">
        <v>445</v>
      </c>
      <c r="B432" s="179">
        <f t="shared" si="12"/>
        <v>2221213</v>
      </c>
      <c r="C432" s="179">
        <f t="shared" si="13"/>
        <v>2221214</v>
      </c>
      <c r="D432" s="179"/>
    </row>
    <row r="433" spans="1:7" ht="12.6" customHeight="1" x14ac:dyDescent="0.25">
      <c r="A433" s="179" t="s">
        <v>6</v>
      </c>
      <c r="B433" s="179">
        <f t="shared" si="12"/>
        <v>3287636</v>
      </c>
      <c r="C433" s="179">
        <f t="shared" si="13"/>
        <v>3287635</v>
      </c>
      <c r="D433" s="179">
        <f>C217</f>
        <v>3280618</v>
      </c>
    </row>
    <row r="434" spans="1:7" ht="12.6" customHeight="1" x14ac:dyDescent="0.25">
      <c r="A434" s="179" t="s">
        <v>474</v>
      </c>
      <c r="B434" s="179">
        <f t="shared" si="12"/>
        <v>1933093</v>
      </c>
      <c r="C434" s="179">
        <f t="shared" si="13"/>
        <v>1933093</v>
      </c>
      <c r="D434" s="179">
        <f>D177</f>
        <v>1933094</v>
      </c>
    </row>
    <row r="435" spans="1:7" ht="12.6" customHeight="1" x14ac:dyDescent="0.25">
      <c r="A435" s="179" t="s">
        <v>447</v>
      </c>
      <c r="B435" s="179">
        <f t="shared" si="12"/>
        <v>142969</v>
      </c>
      <c r="C435" s="179"/>
      <c r="D435" s="179">
        <f>D181</f>
        <v>142969</v>
      </c>
    </row>
    <row r="436" spans="1:7" ht="12.6" customHeight="1" x14ac:dyDescent="0.25">
      <c r="A436" s="179" t="s">
        <v>475</v>
      </c>
      <c r="B436" s="179">
        <f t="shared" si="12"/>
        <v>240991</v>
      </c>
      <c r="C436" s="179"/>
      <c r="D436" s="179">
        <f>D186</f>
        <v>240991</v>
      </c>
    </row>
    <row r="437" spans="1:7" ht="12.6" customHeight="1" x14ac:dyDescent="0.25">
      <c r="A437" s="194" t="s">
        <v>449</v>
      </c>
      <c r="B437" s="194">
        <f t="shared" si="12"/>
        <v>5459715</v>
      </c>
      <c r="C437" s="194"/>
      <c r="D437" s="194">
        <f>D190</f>
        <v>5459715</v>
      </c>
    </row>
    <row r="438" spans="1:7" ht="12.6" customHeight="1" x14ac:dyDescent="0.25">
      <c r="A438" s="194" t="s">
        <v>476</v>
      </c>
      <c r="B438" s="194">
        <f>C386+C387+C388</f>
        <v>5843675</v>
      </c>
      <c r="C438" s="194">
        <f>CD69</f>
        <v>5653859</v>
      </c>
      <c r="D438" s="194">
        <f>D181+D186+D190</f>
        <v>5843675</v>
      </c>
    </row>
    <row r="439" spans="1:7" ht="12.6" customHeight="1" x14ac:dyDescent="0.25">
      <c r="A439" s="179" t="s">
        <v>451</v>
      </c>
      <c r="B439" s="194">
        <f>C389</f>
        <v>259959</v>
      </c>
      <c r="C439" s="194">
        <f>SUM(C69:CC69)</f>
        <v>449776</v>
      </c>
      <c r="D439" s="179"/>
    </row>
    <row r="440" spans="1:7" ht="12.6" customHeight="1" x14ac:dyDescent="0.25">
      <c r="A440" s="179" t="s">
        <v>477</v>
      </c>
      <c r="B440" s="194">
        <f>B438+B439</f>
        <v>6103634</v>
      </c>
      <c r="C440" s="194">
        <f>CE69</f>
        <v>6103635</v>
      </c>
      <c r="D440" s="179"/>
    </row>
    <row r="441" spans="1:7" ht="12.6" customHeight="1" x14ac:dyDescent="0.25">
      <c r="A441" s="179" t="s">
        <v>478</v>
      </c>
      <c r="B441" s="179">
        <f>D390</f>
        <v>38072764</v>
      </c>
      <c r="C441" s="179">
        <f>SUM(C427:C437)+C440</f>
        <v>38072764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674787</v>
      </c>
      <c r="C444" s="179">
        <f>C363</f>
        <v>674787</v>
      </c>
      <c r="D444" s="179"/>
    </row>
    <row r="445" spans="1:7" ht="12.6" customHeight="1" x14ac:dyDescent="0.25">
      <c r="A445" s="179" t="s">
        <v>343</v>
      </c>
      <c r="B445" s="179">
        <f>D229</f>
        <v>12999298</v>
      </c>
      <c r="C445" s="179">
        <f>C364</f>
        <v>12999299</v>
      </c>
      <c r="D445" s="179"/>
    </row>
    <row r="446" spans="1:7" ht="12.6" customHeight="1" x14ac:dyDescent="0.25">
      <c r="A446" s="179" t="s">
        <v>351</v>
      </c>
      <c r="B446" s="179">
        <f>D236</f>
        <v>592414</v>
      </c>
      <c r="C446" s="179">
        <f>C365</f>
        <v>592414</v>
      </c>
      <c r="D446" s="179"/>
    </row>
    <row r="447" spans="1:7" ht="12.6" customHeight="1" x14ac:dyDescent="0.25">
      <c r="A447" s="179" t="s">
        <v>356</v>
      </c>
      <c r="B447" s="179">
        <f>D240</f>
        <v>-92360</v>
      </c>
      <c r="C447" s="179">
        <f>C366</f>
        <v>-92360</v>
      </c>
      <c r="D447" s="179"/>
    </row>
    <row r="448" spans="1:7" ht="12.6" customHeight="1" x14ac:dyDescent="0.25">
      <c r="A448" s="179" t="s">
        <v>358</v>
      </c>
      <c r="B448" s="179">
        <f>D242</f>
        <v>14174139</v>
      </c>
      <c r="C448" s="179">
        <f>D367</f>
        <v>14174140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592414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432723</v>
      </c>
      <c r="C458" s="194">
        <f>CE70</f>
        <v>432723</v>
      </c>
      <c r="D458" s="194"/>
    </row>
    <row r="459" spans="1:7" ht="12.6" customHeight="1" x14ac:dyDescent="0.25">
      <c r="A459" s="179" t="s">
        <v>244</v>
      </c>
      <c r="B459" s="194">
        <f>C371</f>
        <v>3785604</v>
      </c>
      <c r="C459" s="194">
        <f>CE72</f>
        <v>3785604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27373555</v>
      </c>
      <c r="C463" s="194">
        <f>CE73</f>
        <v>27373555</v>
      </c>
      <c r="D463" s="194">
        <f>E141+E147+E153</f>
        <v>27355629</v>
      </c>
    </row>
    <row r="464" spans="1:7" ht="12.6" customHeight="1" x14ac:dyDescent="0.25">
      <c r="A464" s="179" t="s">
        <v>246</v>
      </c>
      <c r="B464" s="194">
        <f>C360</f>
        <v>20796480</v>
      </c>
      <c r="C464" s="194">
        <f>CE74</f>
        <v>20796480</v>
      </c>
      <c r="D464" s="194">
        <f>E142+E148+E154</f>
        <v>20814406</v>
      </c>
    </row>
    <row r="465" spans="1:7" ht="12.6" customHeight="1" x14ac:dyDescent="0.25">
      <c r="A465" s="179" t="s">
        <v>247</v>
      </c>
      <c r="B465" s="194">
        <f>D361</f>
        <v>48170035</v>
      </c>
      <c r="C465" s="194">
        <f>CE75</f>
        <v>48170035</v>
      </c>
      <c r="D465" s="194">
        <f>D463+D464</f>
        <v>48170035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14631177.529999999</v>
      </c>
      <c r="C468" s="179">
        <f>E195</f>
        <v>14631177.529999999</v>
      </c>
      <c r="D468" s="179"/>
    </row>
    <row r="469" spans="1:7" ht="12.6" customHeight="1" x14ac:dyDescent="0.25">
      <c r="A469" s="179" t="s">
        <v>333</v>
      </c>
      <c r="B469" s="179">
        <f t="shared" si="14"/>
        <v>11955882.33</v>
      </c>
      <c r="C469" s="179">
        <f>E196</f>
        <v>11955882.33</v>
      </c>
      <c r="D469" s="179"/>
    </row>
    <row r="470" spans="1:7" ht="12.6" customHeight="1" x14ac:dyDescent="0.25">
      <c r="A470" s="179" t="s">
        <v>334</v>
      </c>
      <c r="B470" s="179">
        <f t="shared" si="14"/>
        <v>32029211</v>
      </c>
      <c r="C470" s="179">
        <f>E197</f>
        <v>32029210.57</v>
      </c>
      <c r="D470" s="179"/>
    </row>
    <row r="471" spans="1:7" ht="12.6" customHeight="1" x14ac:dyDescent="0.25">
      <c r="A471" s="179" t="s">
        <v>494</v>
      </c>
      <c r="B471" s="179">
        <f t="shared" si="14"/>
        <v>6064809.5199999996</v>
      </c>
      <c r="C471" s="179">
        <f>E198</f>
        <v>6064809.5199999996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6255093.3899999997</v>
      </c>
      <c r="C473" s="179">
        <f>SUM(E200:E201)</f>
        <v>6255093.3899999997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70936173.769999996</v>
      </c>
      <c r="C476" s="179">
        <f>E204</f>
        <v>70936173.340000004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15924673</v>
      </c>
      <c r="C478" s="179">
        <f>E217</f>
        <v>15925912.25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77988503.769999996</v>
      </c>
    </row>
    <row r="482" spans="1:12" ht="12.6" customHeight="1" x14ac:dyDescent="0.25">
      <c r="A482" s="180" t="s">
        <v>499</v>
      </c>
      <c r="C482" s="180">
        <f>D339</f>
        <v>77988503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195</v>
      </c>
      <c r="B493" s="261" t="str">
        <f>RIGHT('Prior Year'!C82,4)</f>
        <v>2017</v>
      </c>
      <c r="C493" s="261" t="str">
        <f>RIGHT(C82,4)</f>
        <v>2018</v>
      </c>
      <c r="D493" s="261" t="str">
        <f>RIGHT('Prior Year'!C82,4)</f>
        <v>2017</v>
      </c>
      <c r="E493" s="261" t="str">
        <f>RIGHT(C82,4)</f>
        <v>2018</v>
      </c>
      <c r="F493" s="261" t="str">
        <f>RIGHT('Prior Year'!C82,4)</f>
        <v>2017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267197</v>
      </c>
      <c r="C498" s="240">
        <f>E71</f>
        <v>289005</v>
      </c>
      <c r="D498" s="240">
        <f>'Prior Year'!E59</f>
        <v>148</v>
      </c>
      <c r="E498" s="180">
        <f>E59</f>
        <v>151</v>
      </c>
      <c r="F498" s="263">
        <f t="shared" si="15"/>
        <v>1805.3851351351352</v>
      </c>
      <c r="G498" s="263">
        <f t="shared" si="15"/>
        <v>1913.9403973509934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5725810.46</v>
      </c>
      <c r="C505" s="240">
        <f>L71</f>
        <v>6259714</v>
      </c>
      <c r="D505" s="240">
        <f>'Prior Year'!L59</f>
        <v>8105</v>
      </c>
      <c r="E505" s="180">
        <f>L59</f>
        <v>8212</v>
      </c>
      <c r="F505" s="263">
        <f t="shared" si="15"/>
        <v>706.45409747069709</v>
      </c>
      <c r="G505" s="263">
        <f t="shared" si="15"/>
        <v>762.26424744276665</v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770220.37</v>
      </c>
      <c r="C507" s="240">
        <f>N71</f>
        <v>758460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260260.16999999998</v>
      </c>
      <c r="C509" s="240">
        <f>P71</f>
        <v>284099</v>
      </c>
      <c r="D509" s="240">
        <f>'Prior Year'!P59</f>
        <v>14580</v>
      </c>
      <c r="E509" s="180">
        <f>P59</f>
        <v>14310</v>
      </c>
      <c r="F509" s="263">
        <f t="shared" si="15"/>
        <v>17.850491769547325</v>
      </c>
      <c r="G509" s="263">
        <f t="shared" si="15"/>
        <v>19.853179594689028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0</v>
      </c>
      <c r="C511" s="240">
        <f>R71</f>
        <v>0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381761</v>
      </c>
      <c r="C512" s="240">
        <f>S71</f>
        <v>492785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1391516.09</v>
      </c>
      <c r="C514" s="240">
        <f>U71</f>
        <v>1390426</v>
      </c>
      <c r="D514" s="240">
        <f>'Prior Year'!U59</f>
        <v>42614</v>
      </c>
      <c r="E514" s="180">
        <f>U59</f>
        <v>41523</v>
      </c>
      <c r="F514" s="263">
        <f t="shared" si="17"/>
        <v>32.653965598160234</v>
      </c>
      <c r="G514" s="263">
        <f t="shared" si="17"/>
        <v>33.485682633721069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0</v>
      </c>
      <c r="C515" s="240">
        <f>V71</f>
        <v>0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259430.55</v>
      </c>
      <c r="C516" s="240">
        <f>W71</f>
        <v>266415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272878.5</v>
      </c>
      <c r="C517" s="240">
        <f>X71</f>
        <v>270805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1033758.02</v>
      </c>
      <c r="C518" s="240">
        <f>Y71</f>
        <v>1095468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1422361.18</v>
      </c>
      <c r="C521" s="240">
        <f>AB71</f>
        <v>1442404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0</v>
      </c>
      <c r="C522" s="240">
        <f>AC71</f>
        <v>0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896010.80999999994</v>
      </c>
      <c r="C524" s="240">
        <f>AE71</f>
        <v>835696</v>
      </c>
      <c r="D524" s="240">
        <f>'Prior Year'!AE59</f>
        <v>16529</v>
      </c>
      <c r="E524" s="180">
        <f>AE59</f>
        <v>15277</v>
      </c>
      <c r="F524" s="263">
        <f t="shared" si="17"/>
        <v>54.208410067154695</v>
      </c>
      <c r="G524" s="263">
        <f t="shared" si="17"/>
        <v>54.702886692413429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2902208.8799999994</v>
      </c>
      <c r="C526" s="240">
        <f>AG71</f>
        <v>2905027</v>
      </c>
      <c r="D526" s="240">
        <f>'Prior Year'!AG59</f>
        <v>3920</v>
      </c>
      <c r="E526" s="180">
        <f>AG59</f>
        <v>3818</v>
      </c>
      <c r="F526" s="263">
        <f t="shared" si="17"/>
        <v>740.35940816326513</v>
      </c>
      <c r="G526" s="263">
        <f t="shared" si="17"/>
        <v>760.87663698271342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1620239.44</v>
      </c>
      <c r="C529" s="240">
        <f>AJ71</f>
        <v>1786634</v>
      </c>
      <c r="D529" s="240">
        <f>'Prior Year'!AJ59</f>
        <v>6160</v>
      </c>
      <c r="E529" s="180">
        <f>AJ59</f>
        <v>7671</v>
      </c>
      <c r="F529" s="263">
        <f t="shared" si="18"/>
        <v>263.02588311688311</v>
      </c>
      <c r="G529" s="263">
        <f t="shared" si="18"/>
        <v>232.90757397992439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545927.15</v>
      </c>
      <c r="C530" s="240">
        <f>AK71</f>
        <v>575937</v>
      </c>
      <c r="D530" s="240">
        <f>'Prior Year'!AK59</f>
        <v>11439</v>
      </c>
      <c r="E530" s="180">
        <f>AK59</f>
        <v>9991</v>
      </c>
      <c r="F530" s="263">
        <f t="shared" si="18"/>
        <v>47.72507649270041</v>
      </c>
      <c r="G530" s="263">
        <f t="shared" si="18"/>
        <v>57.645581022920631</v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243985.02</v>
      </c>
      <c r="C531" s="240">
        <f>AL71</f>
        <v>277491</v>
      </c>
      <c r="D531" s="240">
        <f>'Prior Year'!AL59</f>
        <v>3717</v>
      </c>
      <c r="E531" s="180">
        <f>AL59</f>
        <v>4253</v>
      </c>
      <c r="F531" s="263">
        <f t="shared" si="18"/>
        <v>65.640306698950766</v>
      </c>
      <c r="G531" s="263">
        <f t="shared" si="18"/>
        <v>65.245944039501524</v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322162.02</v>
      </c>
      <c r="C532" s="240">
        <f>AM71</f>
        <v>308504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2550424.38</v>
      </c>
      <c r="C535" s="240">
        <f>AP71</f>
        <v>2639505</v>
      </c>
      <c r="D535" s="240">
        <f>'Prior Year'!AP59</f>
        <v>11814</v>
      </c>
      <c r="E535" s="180">
        <f>AP59</f>
        <v>10381</v>
      </c>
      <c r="F535" s="263">
        <f t="shared" si="18"/>
        <v>215.88152869476892</v>
      </c>
      <c r="G535" s="263">
        <f t="shared" si="18"/>
        <v>254.26307677487719</v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232709.46</v>
      </c>
      <c r="C541" s="240">
        <f>AV71</f>
        <v>208309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1128538.8699999999</v>
      </c>
      <c r="C544" s="240">
        <f>AY71</f>
        <v>1189727</v>
      </c>
      <c r="D544" s="240">
        <f>'Prior Year'!AY59</f>
        <v>24759</v>
      </c>
      <c r="E544" s="180">
        <f>AY59</f>
        <v>22598</v>
      </c>
      <c r="F544" s="263">
        <f t="shared" ref="F544:G550" si="19">IF(B544=0,"",IF(D544=0,"",B544/D544))</f>
        <v>45.580955208207115</v>
      </c>
      <c r="G544" s="263">
        <f t="shared" si="19"/>
        <v>52.647446676697051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50354</v>
      </c>
      <c r="C545" s="240">
        <f>AZ71</f>
        <v>50745</v>
      </c>
      <c r="D545" s="240">
        <f>'Prior Year'!AZ59</f>
        <v>0</v>
      </c>
      <c r="E545" s="180">
        <f>AZ59</f>
        <v>17137</v>
      </c>
      <c r="F545" s="263" t="str">
        <f t="shared" si="19"/>
        <v/>
      </c>
      <c r="G545" s="263">
        <f t="shared" si="19"/>
        <v>2.961136721713252</v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0</v>
      </c>
      <c r="C546" s="240">
        <f>BA71</f>
        <v>0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379865.56</v>
      </c>
      <c r="C547" s="240">
        <f>BB71</f>
        <v>253412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0</v>
      </c>
      <c r="C549" s="240">
        <f>BD71</f>
        <v>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1690326.0199999998</v>
      </c>
      <c r="C550" s="240">
        <f>BE71</f>
        <v>1669806</v>
      </c>
      <c r="D550" s="240">
        <f>'Prior Year'!BE59</f>
        <v>47748</v>
      </c>
      <c r="E550" s="180">
        <f>BE59</f>
        <v>47748</v>
      </c>
      <c r="F550" s="263">
        <f t="shared" si="19"/>
        <v>35.400980564630977</v>
      </c>
      <c r="G550" s="263">
        <f t="shared" si="19"/>
        <v>34.971223925609451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625652.29</v>
      </c>
      <c r="C551" s="240">
        <f>BF71</f>
        <v>649630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979619.21000000008</v>
      </c>
      <c r="C553" s="240">
        <f>BH71</f>
        <v>1159940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440446.66000000003</v>
      </c>
      <c r="C555" s="240">
        <f>BJ71</f>
        <v>444898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1054380.8799999999</v>
      </c>
      <c r="C556" s="240">
        <f>BK71</f>
        <v>1042643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559585.24000000011</v>
      </c>
      <c r="C557" s="240">
        <f>BL71</f>
        <v>594205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2242172.52</v>
      </c>
      <c r="C559" s="240">
        <f>BN71</f>
        <v>1855393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42190.539999999994</v>
      </c>
      <c r="C561" s="240">
        <f>BP71</f>
        <v>14729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200318.97</v>
      </c>
      <c r="C563" s="240">
        <f>BR71</f>
        <v>231916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261375.31</v>
      </c>
      <c r="C567" s="240">
        <f>BV71</f>
        <v>308409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97306.69</v>
      </c>
      <c r="C568" s="240">
        <f>BW71</f>
        <v>116482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674564.54</v>
      </c>
      <c r="C570" s="240">
        <f>BY71</f>
        <v>689655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65012.7</v>
      </c>
      <c r="C574" s="240">
        <f>CC71</f>
        <v>60631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6013261.7599999979</v>
      </c>
      <c r="C575" s="240">
        <f>CD71</f>
        <v>5221136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42682</v>
      </c>
      <c r="E612" s="180">
        <f>SUM(C624:D647)+SUM(C668:D713)</f>
        <v>34707877.252846636</v>
      </c>
      <c r="F612" s="180">
        <f>CE64-(AX64+BD64+BE64+BG64+BJ64+BN64+BP64+BQ64+CB64+CC64+CD64)</f>
        <v>2403081</v>
      </c>
      <c r="G612" s="180">
        <f>CE77-(AX77+AY77+BD77+BE77+BG77+BJ77+BN77+BP77+BQ77+CB77+CC77+CD77)</f>
        <v>22598</v>
      </c>
      <c r="H612" s="197">
        <f>CE60-(AX60+AY60+AZ60+BD60+BE60+BG60+BJ60+BN60+BO60+BP60+BQ60+BR60+CB60+CC60+CD60)</f>
        <v>189.91000000000003</v>
      </c>
      <c r="I612" s="180">
        <f>CE78-(AX78+AY78+AZ78+BD78+BE78+BF78+BG78+BJ78+BN78+BO78+BP78+BQ78+BR78+CB78+CC78+CD78)</f>
        <v>14298.234941777666</v>
      </c>
      <c r="J612" s="180">
        <f>CE79-(AX79+AY79+AZ79+BA79+BD79+BE79+BF79+BG79+BJ79+BN79+BO79+BP79+BQ79+BR79+CB79+CC79+CD79)</f>
        <v>189879</v>
      </c>
      <c r="K612" s="180">
        <f>CE75-(AW75+AX75+AY75+AZ75+BA75+BB75+BC75+BD75+BE75+BF75+BG75+BH75+BI75+BJ75+BK75+BL75+BM75+BN75+BO75+BP75+BQ75+BR75+BS75+BT75+BU75+BV75+BW75+BX75+CB75+CC75+CD75)</f>
        <v>48170035</v>
      </c>
      <c r="L612" s="197">
        <f>CE80-(AW80+AX80+AY80+AZ80+BA80+BB80+BC80+BD80+BE80+BF80+BG80+BH80+BI80+BJ80+BK80+BL80+BM80+BN80+BO80+BP80+BQ80+BR80+BS80+BT80+BU80+BV80+BW80+BX80+BY80+BZ80+CA80+CB80+CC80+CD80)</f>
        <v>58.889999999999993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1669806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5221136</v>
      </c>
      <c r="D615" s="266">
        <f>SUM(C614:C615)</f>
        <v>6890942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444898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1855393</v>
      </c>
      <c r="D619" s="180">
        <f>(D615/D612)*BN76</f>
        <v>556512.7471533668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60631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14729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2932163.7471533669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1189727</v>
      </c>
      <c r="D625" s="180">
        <f>(D615/D612)*AY76</f>
        <v>383440.0274120238</v>
      </c>
      <c r="E625" s="180">
        <f>(E623/E612)*SUM(C625:D625)</f>
        <v>132903.06671279462</v>
      </c>
      <c r="F625" s="180">
        <f>(F624/F612)*AY64</f>
        <v>0</v>
      </c>
      <c r="G625" s="180">
        <f>SUM(C625:F625)</f>
        <v>1706070.0941248185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231916</v>
      </c>
      <c r="D626" s="180">
        <f>(D615/D612)*BR76</f>
        <v>0</v>
      </c>
      <c r="E626" s="180">
        <f>(E623/E612)*SUM(C626:D626)</f>
        <v>19592.546171317561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50745</v>
      </c>
      <c r="D628" s="180">
        <f>(D615/D612)*AZ76</f>
        <v>118987.49482217328</v>
      </c>
      <c r="E628" s="180">
        <f>(E623/E612)*SUM(C628:D628)</f>
        <v>14339.207909658448</v>
      </c>
      <c r="F628" s="180">
        <f>(F624/F612)*AZ64</f>
        <v>0</v>
      </c>
      <c r="G628" s="180">
        <f>(G625/G612)*AZ77</f>
        <v>1706070.0941248187</v>
      </c>
      <c r="H628" s="180">
        <f>SUM(C626:G628)</f>
        <v>2141650.343027968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649630</v>
      </c>
      <c r="D629" s="180">
        <f>(D615/D612)*BF76</f>
        <v>131903.36942973619</v>
      </c>
      <c r="E629" s="180">
        <f>(E623/E612)*SUM(C629:D629)</f>
        <v>66024.891016477908</v>
      </c>
      <c r="F629" s="180">
        <f>(F624/F612)*BF64</f>
        <v>0</v>
      </c>
      <c r="G629" s="180">
        <f>(G625/G612)*BF77</f>
        <v>0</v>
      </c>
      <c r="H629" s="180">
        <f>(H628/H612)*BF60</f>
        <v>104877.827340109</v>
      </c>
      <c r="I629" s="180">
        <f>SUM(C629:H629)</f>
        <v>952436.08778632316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253412</v>
      </c>
      <c r="D632" s="180">
        <f>(D615/D612)*BB76</f>
        <v>25347.403917342206</v>
      </c>
      <c r="E632" s="180">
        <f>(E623/E612)*SUM(C632:D632)</f>
        <v>23549.933993081497</v>
      </c>
      <c r="F632" s="180">
        <f>(F624/F612)*BB64</f>
        <v>0</v>
      </c>
      <c r="G632" s="180">
        <f>(G625/G612)*BB77</f>
        <v>0</v>
      </c>
      <c r="H632" s="180">
        <f>(H628/H612)*BB60</f>
        <v>28644.051768158799</v>
      </c>
      <c r="I632" s="180">
        <f>(I629/I612)*BB78</f>
        <v>4235.3273036439341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1042643</v>
      </c>
      <c r="D635" s="180">
        <f>(D615/D612)*BK76</f>
        <v>0</v>
      </c>
      <c r="E635" s="180">
        <f>(E623/E612)*SUM(C635:D635)</f>
        <v>88083.750658432604</v>
      </c>
      <c r="F635" s="180">
        <f>(F624/F612)*BK64</f>
        <v>0</v>
      </c>
      <c r="G635" s="180">
        <f>(G625/G612)*BK77</f>
        <v>0</v>
      </c>
      <c r="H635" s="180">
        <f>(H628/H612)*BK60</f>
        <v>52551.685527409449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1159940</v>
      </c>
      <c r="D636" s="180">
        <f>(D615/D612)*BH76</f>
        <v>0</v>
      </c>
      <c r="E636" s="180">
        <f>(E623/E612)*SUM(C636:D636)</f>
        <v>97993.144095095166</v>
      </c>
      <c r="F636" s="180">
        <f>(F624/F612)*BH64</f>
        <v>0</v>
      </c>
      <c r="G636" s="180">
        <f>(G625/G612)*BH77</f>
        <v>0</v>
      </c>
      <c r="H636" s="180">
        <f>(H628/H612)*BH60</f>
        <v>79278.615720533999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594205</v>
      </c>
      <c r="D637" s="180">
        <f>(D615/D612)*BL76</f>
        <v>0</v>
      </c>
      <c r="E637" s="180">
        <f>(E623/E612)*SUM(C637:D637)</f>
        <v>50199.162186859685</v>
      </c>
      <c r="F637" s="180">
        <f>(F624/F612)*BL64</f>
        <v>0</v>
      </c>
      <c r="G637" s="180">
        <f>(G625/G612)*BL77</f>
        <v>0</v>
      </c>
      <c r="H637" s="180">
        <f>(H628/H612)*BL60</f>
        <v>113448.48849908564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308409</v>
      </c>
      <c r="D642" s="180">
        <f>(D615/D612)*BV76</f>
        <v>25508.852349936744</v>
      </c>
      <c r="E642" s="180">
        <f>(E623/E612)*SUM(C642:D642)</f>
        <v>28209.786903850254</v>
      </c>
      <c r="F642" s="180">
        <f>(F624/F612)*BV64</f>
        <v>0</v>
      </c>
      <c r="G642" s="180">
        <f>(G625/G612)*BV77</f>
        <v>0</v>
      </c>
      <c r="H642" s="180">
        <f>(H628/H612)*BV60</f>
        <v>45221.51479933731</v>
      </c>
      <c r="I642" s="180">
        <f>(I629/I612)*BV78</f>
        <v>4262.3039106735141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116482</v>
      </c>
      <c r="D643" s="180">
        <f>(D615/D612)*BW76</f>
        <v>0</v>
      </c>
      <c r="E643" s="180">
        <f>(E623/E612)*SUM(C643:D643)</f>
        <v>9840.5412439306128</v>
      </c>
      <c r="F643" s="180">
        <f>(F624/F612)*BW64</f>
        <v>0</v>
      </c>
      <c r="G643" s="180">
        <f>(G625/G612)*BW77</f>
        <v>0</v>
      </c>
      <c r="H643" s="180">
        <f>(H628/H612)*BW60</f>
        <v>11277.18573549559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4162742.7486128677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689655</v>
      </c>
      <c r="D645" s="180">
        <f>(D615/D612)*BY76</f>
        <v>13884.565203130125</v>
      </c>
      <c r="E645" s="180">
        <f>(E623/E612)*SUM(C645:D645)</f>
        <v>59435.879433031827</v>
      </c>
      <c r="F645" s="180">
        <f>(F624/F612)*BY64</f>
        <v>0</v>
      </c>
      <c r="G645" s="180">
        <f>(G625/G612)*BY77</f>
        <v>0</v>
      </c>
      <c r="H645" s="180">
        <f>(H628/H612)*BY60</f>
        <v>67212.026983553718</v>
      </c>
      <c r="I645" s="180">
        <f>(I629/I612)*BY78</f>
        <v>2319.9882045438108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832507.45982425951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15553357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289005</v>
      </c>
      <c r="D670" s="180">
        <f>(D615/D612)*E76</f>
        <v>440947.95910219772</v>
      </c>
      <c r="E670" s="180">
        <f>(E623/E612)*SUM(C670:D670)</f>
        <v>61667.315123146698</v>
      </c>
      <c r="F670" s="180">
        <f>(F624/F612)*E64</f>
        <v>0</v>
      </c>
      <c r="G670" s="180">
        <f>(G625/G612)*E77</f>
        <v>0</v>
      </c>
      <c r="H670" s="180">
        <f>(H628/H612)*E60</f>
        <v>11277.18573549559</v>
      </c>
      <c r="I670" s="180">
        <f>(I629/I612)*E78</f>
        <v>73678.509119186725</v>
      </c>
      <c r="J670" s="180">
        <f>(J630/J612)*E79</f>
        <v>0</v>
      </c>
      <c r="K670" s="180">
        <f>(K644/K612)*E75</f>
        <v>52148.749978081498</v>
      </c>
      <c r="L670" s="180">
        <f>(L647/L612)*E80</f>
        <v>11309.321919840511</v>
      </c>
      <c r="M670" s="180">
        <f t="shared" si="20"/>
        <v>651029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6259714</v>
      </c>
      <c r="D677" s="180">
        <f>(D615/D612)*L76</f>
        <v>1763791.8364087909</v>
      </c>
      <c r="E677" s="180">
        <f>(E623/E612)*SUM(C677:D677)</f>
        <v>677835.54629984638</v>
      </c>
      <c r="F677" s="180">
        <f>(F624/F612)*L64</f>
        <v>0</v>
      </c>
      <c r="G677" s="180">
        <f>(G625/G612)*L77</f>
        <v>0</v>
      </c>
      <c r="H677" s="180">
        <f>(H628/H612)*L60</f>
        <v>598818.5625548159</v>
      </c>
      <c r="I677" s="180">
        <f>(I629/I612)*L78</f>
        <v>294714.0364767469</v>
      </c>
      <c r="J677" s="180">
        <f>(J630/J612)*L79</f>
        <v>0</v>
      </c>
      <c r="K677" s="180">
        <f>(K644/K612)*L75</f>
        <v>1681203.7133645518</v>
      </c>
      <c r="L677" s="180">
        <f>(L647/L612)*L80</f>
        <v>711780.44832996209</v>
      </c>
      <c r="M677" s="180">
        <f t="shared" si="20"/>
        <v>5728144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758460</v>
      </c>
      <c r="D679" s="180">
        <f>(D615/D612)*N76</f>
        <v>0</v>
      </c>
      <c r="E679" s="180">
        <f>(E623/E612)*SUM(C679:D679)</f>
        <v>64075.624661935857</v>
      </c>
      <c r="F679" s="180">
        <f>(F624/F612)*N64</f>
        <v>0</v>
      </c>
      <c r="G679" s="180">
        <f>(G625/G612)*N77</f>
        <v>0</v>
      </c>
      <c r="H679" s="180">
        <f>(H628/H612)*N60</f>
        <v>30561.173343193048</v>
      </c>
      <c r="I679" s="180">
        <f>(I629/I612)*N78</f>
        <v>0</v>
      </c>
      <c r="J679" s="180">
        <f>(J630/J612)*N79</f>
        <v>0</v>
      </c>
      <c r="K679" s="180">
        <f>(K644/K612)*N75</f>
        <v>54280.155677740797</v>
      </c>
      <c r="L679" s="180">
        <f>(L647/L612)*N80</f>
        <v>0</v>
      </c>
      <c r="M679" s="180">
        <f t="shared" si="20"/>
        <v>148917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284099</v>
      </c>
      <c r="D681" s="180">
        <f>(D615/D612)*P76</f>
        <v>175978.79152804462</v>
      </c>
      <c r="E681" s="180">
        <f>(E623/E612)*SUM(C681:D681)</f>
        <v>38867.932238013025</v>
      </c>
      <c r="F681" s="180">
        <f>(F624/F612)*P64</f>
        <v>0</v>
      </c>
      <c r="G681" s="180">
        <f>(G625/G612)*P77</f>
        <v>0</v>
      </c>
      <c r="H681" s="180">
        <f>(H628/H612)*P60</f>
        <v>15788.060029693825</v>
      </c>
      <c r="I681" s="180">
        <f>(I629/I612)*P78</f>
        <v>29404.501662241328</v>
      </c>
      <c r="J681" s="180">
        <f>(J630/J612)*P79</f>
        <v>0</v>
      </c>
      <c r="K681" s="180">
        <f>(K644/K612)*P75</f>
        <v>103303.95587049227</v>
      </c>
      <c r="L681" s="180">
        <f>(L647/L612)*P80</f>
        <v>9330.1905838684215</v>
      </c>
      <c r="M681" s="180">
        <f t="shared" si="20"/>
        <v>372673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492785</v>
      </c>
      <c r="D684" s="180">
        <f>(D615/D612)*S76</f>
        <v>285925.17412492388</v>
      </c>
      <c r="E684" s="180">
        <f>(E623/E612)*SUM(C684:D684)</f>
        <v>65786.384038260876</v>
      </c>
      <c r="F684" s="180">
        <f>(F624/F612)*S64</f>
        <v>0</v>
      </c>
      <c r="G684" s="180">
        <f>(G625/G612)*S77</f>
        <v>0</v>
      </c>
      <c r="H684" s="180">
        <f>(H628/H612)*S60</f>
        <v>34169.872778551638</v>
      </c>
      <c r="I684" s="180">
        <f>(I629/I612)*S78</f>
        <v>47775.571049384758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433657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1390426</v>
      </c>
      <c r="D686" s="180">
        <f>(D615/D612)*U76</f>
        <v>151115.73290848601</v>
      </c>
      <c r="E686" s="180">
        <f>(E623/E612)*SUM(C686:D686)</f>
        <v>130231.32331112296</v>
      </c>
      <c r="F686" s="180">
        <f>(F624/F612)*U64</f>
        <v>0</v>
      </c>
      <c r="G686" s="180">
        <f>(G625/G612)*U77</f>
        <v>0</v>
      </c>
      <c r="H686" s="180">
        <f>(H628/H612)*U60</f>
        <v>101494.67161946031</v>
      </c>
      <c r="I686" s="180">
        <f>(I629/I612)*U78</f>
        <v>25250.104179686128</v>
      </c>
      <c r="J686" s="180">
        <f>(J630/J612)*U79</f>
        <v>0</v>
      </c>
      <c r="K686" s="180">
        <f>(K644/K612)*U75</f>
        <v>288594.52674298198</v>
      </c>
      <c r="L686" s="180">
        <f>(L647/L612)*U80</f>
        <v>0</v>
      </c>
      <c r="M686" s="180">
        <f t="shared" si="20"/>
        <v>696686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266415</v>
      </c>
      <c r="D688" s="180">
        <f>(D615/D612)*W76</f>
        <v>76080.959375849314</v>
      </c>
      <c r="E688" s="180">
        <f>(E623/E612)*SUM(C688:D688)</f>
        <v>28934.475834185792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12712.456296618904</v>
      </c>
      <c r="J688" s="180">
        <f>(J630/J612)*W79</f>
        <v>0</v>
      </c>
      <c r="K688" s="180">
        <f>(K644/K612)*W75</f>
        <v>52689.897500432555</v>
      </c>
      <c r="L688" s="180">
        <f>(L647/L612)*W80</f>
        <v>0</v>
      </c>
      <c r="M688" s="180">
        <f t="shared" si="20"/>
        <v>170418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270805</v>
      </c>
      <c r="D689" s="180">
        <f>(D615/D612)*X76</f>
        <v>134870.79162082376</v>
      </c>
      <c r="E689" s="180">
        <f>(E623/E612)*SUM(C689:D689)</f>
        <v>34271.98502007965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22535.717980369871</v>
      </c>
      <c r="J689" s="180">
        <f>(J630/J612)*X79</f>
        <v>0</v>
      </c>
      <c r="K689" s="180">
        <f>(K644/K612)*X75</f>
        <v>237256.8931246557</v>
      </c>
      <c r="L689" s="180">
        <f>(L647/L612)*X80</f>
        <v>0</v>
      </c>
      <c r="M689" s="180">
        <f t="shared" si="20"/>
        <v>428935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1095468</v>
      </c>
      <c r="D690" s="180">
        <f>(D615/D612)*Y76</f>
        <v>134870.79162082376</v>
      </c>
      <c r="E690" s="180">
        <f>(E623/E612)*SUM(C690:D690)</f>
        <v>103940.51976230206</v>
      </c>
      <c r="F690" s="180">
        <f>(F624/F612)*Y64</f>
        <v>0</v>
      </c>
      <c r="G690" s="180">
        <f>(G625/G612)*Y77</f>
        <v>0</v>
      </c>
      <c r="H690" s="180">
        <f>(H628/H612)*Y60</f>
        <v>90217.48588396472</v>
      </c>
      <c r="I690" s="180">
        <f>(I629/I612)*Y78</f>
        <v>22535.717980369871</v>
      </c>
      <c r="J690" s="180">
        <f>(J630/J612)*Y79</f>
        <v>0</v>
      </c>
      <c r="K690" s="180">
        <f>(K644/K612)*Y75</f>
        <v>144035.20175195576</v>
      </c>
      <c r="L690" s="180">
        <f>(L647/L612)*Y80</f>
        <v>0</v>
      </c>
      <c r="M690" s="180">
        <f t="shared" si="20"/>
        <v>495600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1442404</v>
      </c>
      <c r="D693" s="180">
        <f>(D615/D612)*AB76</f>
        <v>157735.118644862</v>
      </c>
      <c r="E693" s="180">
        <f>(E623/E612)*SUM(C693:D693)</f>
        <v>135181.70183420225</v>
      </c>
      <c r="F693" s="180">
        <f>(F624/F612)*AB64</f>
        <v>0</v>
      </c>
      <c r="G693" s="180">
        <f>(G625/G612)*AB77</f>
        <v>0</v>
      </c>
      <c r="H693" s="180">
        <f>(H628/H612)*AB60</f>
        <v>65294.905408519466</v>
      </c>
      <c r="I693" s="180">
        <f>(I629/I612)*AB78</f>
        <v>26356.145067898877</v>
      </c>
      <c r="J693" s="180">
        <f>(J630/J612)*AB79</f>
        <v>0</v>
      </c>
      <c r="K693" s="180">
        <f>(K644/K612)*AB75</f>
        <v>209602.88933314689</v>
      </c>
      <c r="L693" s="180">
        <f>(L647/L612)*AB80</f>
        <v>0</v>
      </c>
      <c r="M693" s="180">
        <f t="shared" si="20"/>
        <v>594171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835696</v>
      </c>
      <c r="D696" s="180">
        <f>(D615/D612)*AE76</f>
        <v>201129.22835762147</v>
      </c>
      <c r="E696" s="180">
        <f>(E623/E612)*SUM(C696:D696)</f>
        <v>87592.258223596349</v>
      </c>
      <c r="F696" s="180">
        <f>(F624/F612)*AE64</f>
        <v>0</v>
      </c>
      <c r="G696" s="180">
        <f>(G625/G612)*AE77</f>
        <v>0</v>
      </c>
      <c r="H696" s="180">
        <f>(H628/H612)*AE60</f>
        <v>79278.615720533984</v>
      </c>
      <c r="I696" s="180">
        <f>(I629/I612)*AE78</f>
        <v>33606.917505309175</v>
      </c>
      <c r="J696" s="180">
        <f>(J630/J612)*AE79</f>
        <v>0</v>
      </c>
      <c r="K696" s="180">
        <f>(K644/K612)*AE75</f>
        <v>186324.03992707233</v>
      </c>
      <c r="L696" s="180">
        <f>(L647/L612)*AE80</f>
        <v>565.46609599202554</v>
      </c>
      <c r="M696" s="180">
        <f t="shared" si="20"/>
        <v>588497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2905027</v>
      </c>
      <c r="D698" s="180">
        <f>(D615/D612)*AG76</f>
        <v>629164.54182090808</v>
      </c>
      <c r="E698" s="180">
        <f>(E623/E612)*SUM(C698:D698)</f>
        <v>298572.80636698689</v>
      </c>
      <c r="F698" s="180">
        <f>(F624/F612)*AG64</f>
        <v>0</v>
      </c>
      <c r="G698" s="180">
        <f>(G625/G612)*AG77</f>
        <v>0</v>
      </c>
      <c r="H698" s="180">
        <f>(H628/H612)*AG60</f>
        <v>178179.53462083032</v>
      </c>
      <c r="I698" s="180">
        <f>(I629/I612)*AG78</f>
        <v>105127.83759427014</v>
      </c>
      <c r="J698" s="180">
        <f>(J630/J612)*AG79</f>
        <v>0</v>
      </c>
      <c r="K698" s="180">
        <f>(K644/K612)*AG75</f>
        <v>552354.59939291386</v>
      </c>
      <c r="L698" s="180">
        <f>(L647/L612)*AG80</f>
        <v>87788.611402761962</v>
      </c>
      <c r="M698" s="180">
        <f t="shared" si="20"/>
        <v>1851188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1786634</v>
      </c>
      <c r="D701" s="180">
        <f>(D615/D612)*AJ76</f>
        <v>260254.87334239259</v>
      </c>
      <c r="E701" s="180">
        <f>(E623/E612)*SUM(C701:D701)</f>
        <v>172923.66528621141</v>
      </c>
      <c r="F701" s="180">
        <f>(F624/F612)*AJ64</f>
        <v>0</v>
      </c>
      <c r="G701" s="180">
        <f>(G625/G612)*AJ77</f>
        <v>0</v>
      </c>
      <c r="H701" s="180">
        <f>(H628/H612)*AJ60</f>
        <v>109614.24534901715</v>
      </c>
      <c r="I701" s="180">
        <f>(I629/I612)*AJ78</f>
        <v>43486.290531681669</v>
      </c>
      <c r="J701" s="180">
        <f>(J630/J612)*AJ79</f>
        <v>0</v>
      </c>
      <c r="K701" s="180">
        <f>(K644/K612)*AJ75</f>
        <v>162432.22990521434</v>
      </c>
      <c r="L701" s="180">
        <f>(L647/L612)*AJ80</f>
        <v>141.36652399800639</v>
      </c>
      <c r="M701" s="180">
        <f t="shared" si="20"/>
        <v>748853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575937</v>
      </c>
      <c r="D702" s="180">
        <f>(D615/D612)*AK76</f>
        <v>111738.4601986786</v>
      </c>
      <c r="E702" s="180">
        <f>(E623/E612)*SUM(C702:D702)</f>
        <v>58095.660518569915</v>
      </c>
      <c r="F702" s="180">
        <f>(F624/F612)*AK64</f>
        <v>0</v>
      </c>
      <c r="G702" s="180">
        <f>(G625/G612)*AK77</f>
        <v>0</v>
      </c>
      <c r="H702" s="180">
        <f>(H628/H612)*AK60</f>
        <v>51423.966953859883</v>
      </c>
      <c r="I702" s="180">
        <f>(I629/I612)*AK78</f>
        <v>18670.509725171767</v>
      </c>
      <c r="J702" s="180">
        <f>(J630/J612)*AK79</f>
        <v>0</v>
      </c>
      <c r="K702" s="180">
        <f>(K644/K612)*AK75</f>
        <v>133412.30823790212</v>
      </c>
      <c r="L702" s="180">
        <f>(L647/L612)*AK80</f>
        <v>0</v>
      </c>
      <c r="M702" s="180">
        <f t="shared" si="20"/>
        <v>373341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277491</v>
      </c>
      <c r="D703" s="180">
        <f>(D615/D612)*AL76</f>
        <v>59593.845439295255</v>
      </c>
      <c r="E703" s="180">
        <f>(E623/E612)*SUM(C703:D703)</f>
        <v>28477.338337677593</v>
      </c>
      <c r="F703" s="180">
        <f>(F624/F612)*AL64</f>
        <v>0</v>
      </c>
      <c r="G703" s="180">
        <f>(G625/G612)*AL77</f>
        <v>0</v>
      </c>
      <c r="H703" s="180">
        <f>(H628/H612)*AL60</f>
        <v>24809.808618090301</v>
      </c>
      <c r="I703" s="180">
        <f>(I629/I612)*AL78</f>
        <v>9957.6051867582755</v>
      </c>
      <c r="J703" s="180">
        <f>(J630/J612)*AL79</f>
        <v>0</v>
      </c>
      <c r="K703" s="180">
        <f>(K644/K612)*AL75</f>
        <v>72482.139123566216</v>
      </c>
      <c r="L703" s="180">
        <f>(L647/L612)*AL80</f>
        <v>0</v>
      </c>
      <c r="M703" s="180">
        <f t="shared" si="20"/>
        <v>195321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308504</v>
      </c>
      <c r="D704" s="180">
        <f>(D615/D612)*AM76</f>
        <v>0</v>
      </c>
      <c r="E704" s="180">
        <f>(E623/E612)*SUM(C704:D704)</f>
        <v>26062.79370132355</v>
      </c>
      <c r="F704" s="180">
        <f>(F624/F612)*AM64</f>
        <v>0</v>
      </c>
      <c r="G704" s="180">
        <f>(G625/G612)*AM77</f>
        <v>0</v>
      </c>
      <c r="H704" s="180">
        <f>(H628/H612)*AM60</f>
        <v>41612.815363978727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4523.7287679362043</v>
      </c>
      <c r="M704" s="180">
        <f t="shared" si="20"/>
        <v>72199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2639505</v>
      </c>
      <c r="D707" s="180">
        <f>(D615/D612)*AP76</f>
        <v>1052159.4352185933</v>
      </c>
      <c r="E707" s="180">
        <f>(E623/E612)*SUM(C707:D707)</f>
        <v>311876.30821517814</v>
      </c>
      <c r="F707" s="180">
        <f>(F624/F612)*AP64</f>
        <v>0</v>
      </c>
      <c r="G707" s="180">
        <f>(G625/G612)*AP77</f>
        <v>0</v>
      </c>
      <c r="H707" s="180">
        <f>(H628/H612)*AP60</f>
        <v>184381.98677535291</v>
      </c>
      <c r="I707" s="180">
        <f>(I629/I612)*AP78</f>
        <v>175806.54801176765</v>
      </c>
      <c r="J707" s="180">
        <f>(J630/J612)*AP79</f>
        <v>0</v>
      </c>
      <c r="K707" s="180">
        <f>(K644/K612)*AP75</f>
        <v>193379.09303745528</v>
      </c>
      <c r="L707" s="180">
        <f>(L647/L612)*AP80</f>
        <v>141.36652399800639</v>
      </c>
      <c r="M707" s="180">
        <f t="shared" si="20"/>
        <v>1917745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208309</v>
      </c>
      <c r="D713" s="180">
        <f>(D615/D612)*AV76</f>
        <v>0</v>
      </c>
      <c r="E713" s="180">
        <f>(E623/E612)*SUM(C713:D713)</f>
        <v>17598.198056197027</v>
      </c>
      <c r="F713" s="180">
        <f>(F624/F612)*AV64</f>
        <v>0</v>
      </c>
      <c r="G713" s="180">
        <f>(G625/G612)*AV77</f>
        <v>0</v>
      </c>
      <c r="H713" s="180">
        <f>(H628/H612)*AV60</f>
        <v>22216.055898926312</v>
      </c>
      <c r="I713" s="180">
        <f>(I629/I612)*AV78</f>
        <v>0</v>
      </c>
      <c r="J713" s="180">
        <f>(J630/J612)*AV79</f>
        <v>0</v>
      </c>
      <c r="K713" s="180">
        <f>(K644/K612)*AV75</f>
        <v>39242.355644704257</v>
      </c>
      <c r="L713" s="180">
        <f>(L647/L612)*AV80</f>
        <v>6926.9596759023125</v>
      </c>
      <c r="M713" s="180">
        <f t="shared" si="20"/>
        <v>85984</v>
      </c>
      <c r="N713" s="199" t="s">
        <v>741</v>
      </c>
    </row>
    <row r="715" spans="1:15" ht="12.6" customHeight="1" x14ac:dyDescent="0.25">
      <c r="C715" s="180">
        <f>SUM(C614:C647)+SUM(C668:C713)</f>
        <v>37640041</v>
      </c>
      <c r="D715" s="180">
        <f>SUM(D616:D647)+SUM(D668:D713)</f>
        <v>6890942</v>
      </c>
      <c r="E715" s="180">
        <f>SUM(E624:E647)+SUM(E668:E713)</f>
        <v>2932163.7471533665</v>
      </c>
      <c r="F715" s="180">
        <f>SUM(F625:F648)+SUM(F668:F713)</f>
        <v>0</v>
      </c>
      <c r="G715" s="180">
        <f>SUM(G626:G647)+SUM(G668:G713)</f>
        <v>1706070.0941248187</v>
      </c>
      <c r="H715" s="180">
        <f>SUM(H629:H647)+SUM(H668:H713)</f>
        <v>2141650.3430279675</v>
      </c>
      <c r="I715" s="180">
        <f>SUM(I630:I647)+SUM(I668:I713)</f>
        <v>952436.08778632339</v>
      </c>
      <c r="J715" s="180">
        <f>SUM(J631:J647)+SUM(J668:J713)</f>
        <v>0</v>
      </c>
      <c r="K715" s="180">
        <f>SUM(K668:K713)</f>
        <v>4162742.7486128681</v>
      </c>
      <c r="L715" s="180">
        <f>SUM(L668:L713)</f>
        <v>832507.45982425951</v>
      </c>
      <c r="M715" s="180">
        <f>SUM(M668:M713)</f>
        <v>15553358</v>
      </c>
      <c r="N715" s="198" t="s">
        <v>742</v>
      </c>
    </row>
    <row r="716" spans="1:15" ht="12.6" customHeight="1" x14ac:dyDescent="0.25">
      <c r="C716" s="180">
        <f>CE71</f>
        <v>37640041</v>
      </c>
      <c r="D716" s="180">
        <f>D615</f>
        <v>6890942</v>
      </c>
      <c r="E716" s="180">
        <f>E623</f>
        <v>2932163.7471533669</v>
      </c>
      <c r="F716" s="180">
        <f>F624</f>
        <v>0</v>
      </c>
      <c r="G716" s="180">
        <f>G625</f>
        <v>1706070.0941248185</v>
      </c>
      <c r="H716" s="180">
        <f>H628</f>
        <v>2141650.343027968</v>
      </c>
      <c r="I716" s="180">
        <f>I629</f>
        <v>952436.08778632316</v>
      </c>
      <c r="J716" s="180">
        <f>J630</f>
        <v>0</v>
      </c>
      <c r="K716" s="180">
        <f>K644</f>
        <v>4162742.7486128677</v>
      </c>
      <c r="L716" s="180">
        <f>L647</f>
        <v>832507.45982425951</v>
      </c>
      <c r="M716" s="180">
        <f>C648</f>
        <v>15553357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X55" transitionEvaluation="1" transitionEntry="1" codeName="Sheet10">
    <pageSetUpPr autoPageBreaks="0" fitToPage="1"/>
  </sheetPr>
  <dimension ref="A1:CF817"/>
  <sheetViews>
    <sheetView showGridLines="0" topLeftCell="BX55" zoomScale="75" workbookViewId="0">
      <selection activeCell="CN77" sqref="CN77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>
        <v>11996</v>
      </c>
      <c r="F47" s="184"/>
      <c r="G47" s="184"/>
      <c r="H47" s="184"/>
      <c r="I47" s="184"/>
      <c r="J47" s="184"/>
      <c r="K47" s="184"/>
      <c r="L47" s="184">
        <f>666490.87-11996</f>
        <v>654494.87</v>
      </c>
      <c r="M47" s="184"/>
      <c r="N47" s="184">
        <v>74898.070000000007</v>
      </c>
      <c r="O47" s="184"/>
      <c r="P47" s="184">
        <v>16617.669999999998</v>
      </c>
      <c r="Q47" s="184"/>
      <c r="R47" s="184"/>
      <c r="S47" s="184">
        <v>41665.910000000003</v>
      </c>
      <c r="T47" s="184"/>
      <c r="U47" s="184">
        <v>146216.04</v>
      </c>
      <c r="V47" s="184"/>
      <c r="W47" s="184"/>
      <c r="X47" s="184"/>
      <c r="Y47" s="184">
        <v>106039.82</v>
      </c>
      <c r="Z47" s="184"/>
      <c r="AA47" s="184"/>
      <c r="AB47" s="184">
        <v>64699.68</v>
      </c>
      <c r="AC47" s="184"/>
      <c r="AD47" s="184"/>
      <c r="AE47" s="184">
        <v>124124.87</v>
      </c>
      <c r="AF47" s="184"/>
      <c r="AG47" s="184">
        <v>285735.05</v>
      </c>
      <c r="AH47" s="184"/>
      <c r="AI47" s="184"/>
      <c r="AJ47" s="184">
        <v>211481.42</v>
      </c>
      <c r="AK47" s="184">
        <v>79089.919999999998</v>
      </c>
      <c r="AL47" s="184">
        <v>32611.119999999999</v>
      </c>
      <c r="AM47" s="184">
        <v>66521.86</v>
      </c>
      <c r="AN47" s="184"/>
      <c r="AO47" s="184"/>
      <c r="AP47" s="184">
        <v>259527.29</v>
      </c>
      <c r="AQ47" s="184"/>
      <c r="AR47" s="184"/>
      <c r="AS47" s="184"/>
      <c r="AT47" s="184"/>
      <c r="AU47" s="184"/>
      <c r="AV47" s="184">
        <f>19339.79+21431.41</f>
        <v>40771.199999999997</v>
      </c>
      <c r="AW47" s="184"/>
      <c r="AX47" s="184"/>
      <c r="AY47" s="184">
        <v>128360.01</v>
      </c>
      <c r="AZ47" s="184"/>
      <c r="BA47" s="184"/>
      <c r="BB47" s="184">
        <v>56121.75</v>
      </c>
      <c r="BC47" s="184"/>
      <c r="BD47" s="184"/>
      <c r="BE47" s="184">
        <v>72010.61</v>
      </c>
      <c r="BF47" s="184">
        <v>87591.49</v>
      </c>
      <c r="BG47" s="184"/>
      <c r="BH47" s="184">
        <v>92353.42</v>
      </c>
      <c r="BI47" s="184"/>
      <c r="BJ47" s="184">
        <v>61215.41</v>
      </c>
      <c r="BK47" s="184">
        <v>80033.66</v>
      </c>
      <c r="BL47" s="184">
        <v>125903.97</v>
      </c>
      <c r="BM47" s="184"/>
      <c r="BN47" s="184">
        <v>141149.94</v>
      </c>
      <c r="BO47" s="184"/>
      <c r="BP47" s="184">
        <v>201.24</v>
      </c>
      <c r="BQ47" s="184"/>
      <c r="BR47" s="184">
        <v>26669.27</v>
      </c>
      <c r="BS47" s="184"/>
      <c r="BT47" s="184"/>
      <c r="BU47" s="184"/>
      <c r="BV47" s="184">
        <v>49762.239999999998</v>
      </c>
      <c r="BW47" s="184">
        <v>20620.73</v>
      </c>
      <c r="BX47" s="184"/>
      <c r="BY47" s="184">
        <v>115311.2</v>
      </c>
      <c r="BZ47" s="184"/>
      <c r="CA47" s="184"/>
      <c r="CB47" s="184"/>
      <c r="CC47" s="184">
        <v>12440.38</v>
      </c>
      <c r="CD47" s="195"/>
      <c r="CE47" s="195">
        <f>SUM(C47:CC47)</f>
        <v>3286236.1100000013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3262280.14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186603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746414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74472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121000</v>
      </c>
      <c r="T52" s="195">
        <f>ROUND((B52/(CE76+CF76)*T76),0)</f>
        <v>0</v>
      </c>
      <c r="U52" s="195">
        <f>ROUND((B52/(CE76+CF76)*U76),0)</f>
        <v>63950</v>
      </c>
      <c r="V52" s="195">
        <f>ROUND((B52/(CE76+CF76)*V76),0)</f>
        <v>0</v>
      </c>
      <c r="W52" s="195">
        <f>ROUND((B52/(CE76+CF76)*W76),0)</f>
        <v>32196</v>
      </c>
      <c r="X52" s="195">
        <f>ROUND((B52/(CE76+CF76)*X76),0)</f>
        <v>57076</v>
      </c>
      <c r="Y52" s="195">
        <f>ROUND((B52/(CE76+CF76)*Y76),0)</f>
        <v>57076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66751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85115</v>
      </c>
      <c r="AF52" s="195">
        <f>ROUND((B52/(CE76+CF76)*AF76),0)</f>
        <v>0</v>
      </c>
      <c r="AG52" s="195">
        <f>ROUND((B52/(CE76+CF76)*AG76),0)</f>
        <v>266254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110136</v>
      </c>
      <c r="AK52" s="195">
        <f>ROUND((B52/(CE76+CF76)*AK76),0)</f>
        <v>47286</v>
      </c>
      <c r="AL52" s="195">
        <f>ROUND((B52/(CE76+CF76)*AL76),0)</f>
        <v>25219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445260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162267</v>
      </c>
      <c r="AZ52" s="195">
        <f>ROUND((B52/(CE76+CF76)*AZ76),0)</f>
        <v>50354</v>
      </c>
      <c r="BA52" s="195">
        <f>ROUND((B52/(CE76+CF76)*BA76),0)</f>
        <v>0</v>
      </c>
      <c r="BB52" s="195">
        <f>ROUND((B52/(CE76+CF76)*BB76),0)</f>
        <v>10727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346124</v>
      </c>
      <c r="BF52" s="195">
        <f>ROUND((B52/(CE76+CF76)*BF76),0)</f>
        <v>55820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235509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10795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5876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3262280</v>
      </c>
    </row>
    <row r="53" spans="1:84" ht="12.6" customHeight="1" x14ac:dyDescent="0.25">
      <c r="A53" s="175" t="s">
        <v>206</v>
      </c>
      <c r="B53" s="195">
        <f>B51+B52</f>
        <v>3262280.14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148</v>
      </c>
      <c r="F59" s="184"/>
      <c r="G59" s="184"/>
      <c r="H59" s="184"/>
      <c r="I59" s="184"/>
      <c r="J59" s="184"/>
      <c r="K59" s="184"/>
      <c r="L59" s="184">
        <v>8105</v>
      </c>
      <c r="M59" s="184"/>
      <c r="N59" s="184"/>
      <c r="O59" s="184"/>
      <c r="P59" s="185">
        <f>324*45</f>
        <v>14580</v>
      </c>
      <c r="Q59" s="185"/>
      <c r="R59" s="185"/>
      <c r="S59" s="248"/>
      <c r="T59" s="248"/>
      <c r="U59" s="224">
        <v>42614</v>
      </c>
      <c r="V59" s="185"/>
      <c r="W59" s="185"/>
      <c r="X59" s="185"/>
      <c r="Y59" s="185"/>
      <c r="Z59" s="185"/>
      <c r="AA59" s="185"/>
      <c r="AB59" s="248"/>
      <c r="AC59" s="185"/>
      <c r="AD59" s="185"/>
      <c r="AE59" s="185">
        <v>16529</v>
      </c>
      <c r="AF59" s="185"/>
      <c r="AG59" s="185">
        <v>3920</v>
      </c>
      <c r="AH59" s="185"/>
      <c r="AI59" s="185"/>
      <c r="AJ59" s="185">
        <v>6160</v>
      </c>
      <c r="AK59" s="185">
        <v>11439</v>
      </c>
      <c r="AL59" s="185">
        <v>3717</v>
      </c>
      <c r="AM59" s="185"/>
      <c r="AN59" s="185"/>
      <c r="AO59" s="185"/>
      <c r="AP59" s="185">
        <v>11814</v>
      </c>
      <c r="AQ59" s="185"/>
      <c r="AR59" s="185"/>
      <c r="AS59" s="185"/>
      <c r="AT59" s="185"/>
      <c r="AU59" s="185"/>
      <c r="AV59" s="248"/>
      <c r="AW59" s="248"/>
      <c r="AX59" s="248"/>
      <c r="AY59" s="185">
        <f>8253*3</f>
        <v>24759</v>
      </c>
      <c r="AZ59" s="185"/>
      <c r="BA59" s="248"/>
      <c r="BB59" s="248"/>
      <c r="BC59" s="248"/>
      <c r="BD59" s="248"/>
      <c r="BE59" s="185">
        <v>47748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>
        <v>0.9</v>
      </c>
      <c r="F60" s="223"/>
      <c r="G60" s="187"/>
      <c r="H60" s="187"/>
      <c r="I60" s="187"/>
      <c r="J60" s="223"/>
      <c r="K60" s="187"/>
      <c r="L60" s="187">
        <v>49.04</v>
      </c>
      <c r="M60" s="187"/>
      <c r="N60" s="187">
        <v>2.87</v>
      </c>
      <c r="O60" s="187"/>
      <c r="P60" s="221">
        <v>1.18</v>
      </c>
      <c r="Q60" s="221"/>
      <c r="R60" s="221"/>
      <c r="S60" s="221">
        <v>2.71</v>
      </c>
      <c r="T60" s="221"/>
      <c r="U60" s="221">
        <v>9.89</v>
      </c>
      <c r="V60" s="221"/>
      <c r="W60" s="221"/>
      <c r="X60" s="221"/>
      <c r="Y60" s="221">
        <v>8.01</v>
      </c>
      <c r="Z60" s="221"/>
      <c r="AA60" s="221"/>
      <c r="AB60" s="221">
        <v>5.62</v>
      </c>
      <c r="AC60" s="221"/>
      <c r="AD60" s="221"/>
      <c r="AE60" s="221">
        <f>3.76+4.04</f>
        <v>7.8</v>
      </c>
      <c r="AF60" s="221"/>
      <c r="AG60" s="221">
        <v>16.079999999999998</v>
      </c>
      <c r="AH60" s="221"/>
      <c r="AI60" s="221"/>
      <c r="AJ60" s="221">
        <v>8.91</v>
      </c>
      <c r="AK60" s="221">
        <v>4.5</v>
      </c>
      <c r="AL60" s="221">
        <v>2.02</v>
      </c>
      <c r="AM60" s="221">
        <v>4.07</v>
      </c>
      <c r="AN60" s="221"/>
      <c r="AO60" s="221"/>
      <c r="AP60" s="221">
        <f>15.15+1.04</f>
        <v>16.190000000000001</v>
      </c>
      <c r="AQ60" s="221"/>
      <c r="AR60" s="221"/>
      <c r="AS60" s="221"/>
      <c r="AT60" s="221"/>
      <c r="AU60" s="221"/>
      <c r="AV60" s="221">
        <f>0.99+1.15</f>
        <v>2.1399999999999997</v>
      </c>
      <c r="AW60" s="221"/>
      <c r="AX60" s="221"/>
      <c r="AY60" s="221">
        <v>10.11</v>
      </c>
      <c r="AZ60" s="221"/>
      <c r="BA60" s="221"/>
      <c r="BB60" s="221">
        <v>3.67</v>
      </c>
      <c r="BC60" s="221"/>
      <c r="BD60" s="221"/>
      <c r="BE60" s="221">
        <v>5.3</v>
      </c>
      <c r="BF60" s="221">
        <v>8.83</v>
      </c>
      <c r="BG60" s="221"/>
      <c r="BH60" s="221">
        <f>3.18+2.19</f>
        <v>5.37</v>
      </c>
      <c r="BI60" s="221"/>
      <c r="BJ60" s="221">
        <v>3.85</v>
      </c>
      <c r="BK60" s="221">
        <v>5.75</v>
      </c>
      <c r="BL60" s="221">
        <v>10.09</v>
      </c>
      <c r="BM60" s="221"/>
      <c r="BN60" s="221">
        <v>5.0199999999999996</v>
      </c>
      <c r="BO60" s="221"/>
      <c r="BP60" s="221">
        <v>0.05</v>
      </c>
      <c r="BQ60" s="221"/>
      <c r="BR60" s="221">
        <v>2.1</v>
      </c>
      <c r="BS60" s="221"/>
      <c r="BT60" s="221"/>
      <c r="BU60" s="221"/>
      <c r="BV60" s="221">
        <v>3.5</v>
      </c>
      <c r="BW60" s="221">
        <v>0.96</v>
      </c>
      <c r="BX60" s="221"/>
      <c r="BY60" s="221">
        <v>5.8</v>
      </c>
      <c r="BZ60" s="221"/>
      <c r="CA60" s="221"/>
      <c r="CB60" s="221"/>
      <c r="CC60" s="221">
        <f>0.74+0.01</f>
        <v>0.75</v>
      </c>
      <c r="CD60" s="249" t="s">
        <v>221</v>
      </c>
      <c r="CE60" s="251">
        <f t="shared" ref="CE60:CE70" si="0">SUM(C60:CD60)</f>
        <v>213.08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v>56374</v>
      </c>
      <c r="F61" s="185"/>
      <c r="G61" s="184"/>
      <c r="H61" s="184"/>
      <c r="I61" s="185"/>
      <c r="J61" s="185"/>
      <c r="K61" s="185"/>
      <c r="L61" s="185">
        <f>3131904.91-56374</f>
        <v>3075530.91</v>
      </c>
      <c r="M61" s="184"/>
      <c r="N61" s="184">
        <v>689814.36</v>
      </c>
      <c r="O61" s="184"/>
      <c r="P61" s="185">
        <v>99185.18</v>
      </c>
      <c r="Q61" s="185"/>
      <c r="R61" s="185"/>
      <c r="S61" s="185">
        <v>160928.37</v>
      </c>
      <c r="T61" s="185"/>
      <c r="U61" s="185">
        <v>582115.66</v>
      </c>
      <c r="V61" s="185"/>
      <c r="W61" s="185"/>
      <c r="X61" s="185"/>
      <c r="Y61" s="185">
        <v>621659.15</v>
      </c>
      <c r="Z61" s="185"/>
      <c r="AA61" s="185"/>
      <c r="AB61" s="185">
        <v>432887.91</v>
      </c>
      <c r="AC61" s="185"/>
      <c r="AD61" s="185"/>
      <c r="AE61" s="185">
        <v>628387.56999999995</v>
      </c>
      <c r="AF61" s="185"/>
      <c r="AG61" s="185">
        <v>1967500.21</v>
      </c>
      <c r="AH61" s="185"/>
      <c r="AI61" s="185"/>
      <c r="AJ61" s="185">
        <v>1244124.31</v>
      </c>
      <c r="AK61" s="185">
        <v>418639.1</v>
      </c>
      <c r="AL61" s="185">
        <v>181810.02</v>
      </c>
      <c r="AM61" s="185">
        <v>252267.81</v>
      </c>
      <c r="AN61" s="185"/>
      <c r="AO61" s="185"/>
      <c r="AP61" s="185">
        <v>1490456.81</v>
      </c>
      <c r="AQ61" s="185"/>
      <c r="AR61" s="185"/>
      <c r="AS61" s="185"/>
      <c r="AT61" s="185"/>
      <c r="AU61" s="185"/>
      <c r="AV61" s="185">
        <v>187462.96</v>
      </c>
      <c r="AW61" s="185"/>
      <c r="AX61" s="185"/>
      <c r="AY61" s="185">
        <v>389799.07</v>
      </c>
      <c r="AZ61" s="185"/>
      <c r="BA61" s="185"/>
      <c r="BB61" s="185">
        <v>309475.13</v>
      </c>
      <c r="BC61" s="185"/>
      <c r="BD61" s="185"/>
      <c r="BE61" s="185">
        <v>289598.73</v>
      </c>
      <c r="BF61" s="185">
        <v>280664.63</v>
      </c>
      <c r="BG61" s="185"/>
      <c r="BH61" s="185">
        <f>230180.95+198209.67</f>
        <v>428390.62</v>
      </c>
      <c r="BI61" s="185"/>
      <c r="BJ61" s="185">
        <v>293343.92</v>
      </c>
      <c r="BK61" s="185">
        <v>316151.95</v>
      </c>
      <c r="BL61" s="185">
        <v>431274.03</v>
      </c>
      <c r="BM61" s="185"/>
      <c r="BN61" s="185">
        <v>861536.07</v>
      </c>
      <c r="BO61" s="185"/>
      <c r="BP61" s="185">
        <v>20555.07</v>
      </c>
      <c r="BQ61" s="185"/>
      <c r="BR61" s="185">
        <v>137896.23000000001</v>
      </c>
      <c r="BS61" s="185"/>
      <c r="BT61" s="185"/>
      <c r="BU61" s="185"/>
      <c r="BV61" s="185">
        <v>198654.65</v>
      </c>
      <c r="BW61" s="185">
        <v>68908.22</v>
      </c>
      <c r="BX61" s="185"/>
      <c r="BY61" s="185">
        <v>541877.9</v>
      </c>
      <c r="BZ61" s="185"/>
      <c r="CA61" s="185"/>
      <c r="CB61" s="185"/>
      <c r="CC61" s="185">
        <v>28208.42</v>
      </c>
      <c r="CD61" s="249" t="s">
        <v>221</v>
      </c>
      <c r="CE61" s="195">
        <f t="shared" si="0"/>
        <v>16685478.970000004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11996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654495</v>
      </c>
      <c r="M62" s="195">
        <f t="shared" si="1"/>
        <v>0</v>
      </c>
      <c r="N62" s="195">
        <f t="shared" si="1"/>
        <v>74898</v>
      </c>
      <c r="O62" s="195">
        <f t="shared" si="1"/>
        <v>0</v>
      </c>
      <c r="P62" s="195">
        <f t="shared" si="1"/>
        <v>16618</v>
      </c>
      <c r="Q62" s="195">
        <f t="shared" si="1"/>
        <v>0</v>
      </c>
      <c r="R62" s="195">
        <f t="shared" si="1"/>
        <v>0</v>
      </c>
      <c r="S62" s="195">
        <f t="shared" si="1"/>
        <v>41666</v>
      </c>
      <c r="T62" s="195">
        <f t="shared" si="1"/>
        <v>0</v>
      </c>
      <c r="U62" s="195">
        <f t="shared" si="1"/>
        <v>146216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106040</v>
      </c>
      <c r="Z62" s="195">
        <f t="shared" si="1"/>
        <v>0</v>
      </c>
      <c r="AA62" s="195">
        <f t="shared" si="1"/>
        <v>0</v>
      </c>
      <c r="AB62" s="195">
        <f t="shared" si="1"/>
        <v>64700</v>
      </c>
      <c r="AC62" s="195">
        <f t="shared" si="1"/>
        <v>0</v>
      </c>
      <c r="AD62" s="195">
        <f t="shared" si="1"/>
        <v>0</v>
      </c>
      <c r="AE62" s="195">
        <f t="shared" si="1"/>
        <v>124125</v>
      </c>
      <c r="AF62" s="195">
        <f t="shared" si="1"/>
        <v>0</v>
      </c>
      <c r="AG62" s="195">
        <f t="shared" si="1"/>
        <v>285735</v>
      </c>
      <c r="AH62" s="195">
        <f t="shared" si="1"/>
        <v>0</v>
      </c>
      <c r="AI62" s="195">
        <f t="shared" si="1"/>
        <v>0</v>
      </c>
      <c r="AJ62" s="195">
        <f t="shared" si="1"/>
        <v>211481</v>
      </c>
      <c r="AK62" s="195">
        <f t="shared" si="1"/>
        <v>79090</v>
      </c>
      <c r="AL62" s="195">
        <f t="shared" si="1"/>
        <v>32611</v>
      </c>
      <c r="AM62" s="195">
        <f t="shared" si="1"/>
        <v>66522</v>
      </c>
      <c r="AN62" s="195">
        <f t="shared" si="1"/>
        <v>0</v>
      </c>
      <c r="AO62" s="195">
        <f t="shared" si="1"/>
        <v>0</v>
      </c>
      <c r="AP62" s="195">
        <f t="shared" si="1"/>
        <v>259527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40771</v>
      </c>
      <c r="AW62" s="195">
        <f t="shared" si="1"/>
        <v>0</v>
      </c>
      <c r="AX62" s="195">
        <f t="shared" si="1"/>
        <v>0</v>
      </c>
      <c r="AY62" s="195">
        <f>ROUND(AY47+AY48,0)</f>
        <v>128360</v>
      </c>
      <c r="AZ62" s="195">
        <f>ROUND(AZ47+AZ48,0)</f>
        <v>0</v>
      </c>
      <c r="BA62" s="195">
        <f>ROUND(BA47+BA48,0)</f>
        <v>0</v>
      </c>
      <c r="BB62" s="195">
        <f t="shared" si="1"/>
        <v>56122</v>
      </c>
      <c r="BC62" s="195">
        <f t="shared" si="1"/>
        <v>0</v>
      </c>
      <c r="BD62" s="195">
        <f t="shared" si="1"/>
        <v>0</v>
      </c>
      <c r="BE62" s="195">
        <f t="shared" si="1"/>
        <v>72011</v>
      </c>
      <c r="BF62" s="195">
        <f t="shared" si="1"/>
        <v>87591</v>
      </c>
      <c r="BG62" s="195">
        <f t="shared" si="1"/>
        <v>0</v>
      </c>
      <c r="BH62" s="195">
        <f t="shared" si="1"/>
        <v>92353</v>
      </c>
      <c r="BI62" s="195">
        <f t="shared" si="1"/>
        <v>0</v>
      </c>
      <c r="BJ62" s="195">
        <f t="shared" si="1"/>
        <v>61215</v>
      </c>
      <c r="BK62" s="195">
        <f t="shared" si="1"/>
        <v>80034</v>
      </c>
      <c r="BL62" s="195">
        <f t="shared" si="1"/>
        <v>125904</v>
      </c>
      <c r="BM62" s="195">
        <f t="shared" si="1"/>
        <v>0</v>
      </c>
      <c r="BN62" s="195">
        <f t="shared" si="1"/>
        <v>141150</v>
      </c>
      <c r="BO62" s="195">
        <f t="shared" ref="BO62:CC62" si="2">ROUND(BO47+BO48,0)</f>
        <v>0</v>
      </c>
      <c r="BP62" s="195">
        <f t="shared" si="2"/>
        <v>201</v>
      </c>
      <c r="BQ62" s="195">
        <f t="shared" si="2"/>
        <v>0</v>
      </c>
      <c r="BR62" s="195">
        <f t="shared" si="2"/>
        <v>26669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49762</v>
      </c>
      <c r="BW62" s="195">
        <f t="shared" si="2"/>
        <v>20621</v>
      </c>
      <c r="BX62" s="195">
        <f t="shared" si="2"/>
        <v>0</v>
      </c>
      <c r="BY62" s="195">
        <f t="shared" si="2"/>
        <v>115311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12440</v>
      </c>
      <c r="CD62" s="249" t="s">
        <v>221</v>
      </c>
      <c r="CE62" s="195">
        <f t="shared" si="0"/>
        <v>3286235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>
        <v>5071</v>
      </c>
      <c r="F63" s="185"/>
      <c r="G63" s="184"/>
      <c r="H63" s="184"/>
      <c r="I63" s="185"/>
      <c r="J63" s="185"/>
      <c r="K63" s="185"/>
      <c r="L63" s="185">
        <f>281746.55-5071</f>
        <v>276675.55</v>
      </c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>
        <v>8640</v>
      </c>
      <c r="X63" s="185">
        <v>38340</v>
      </c>
      <c r="Y63" s="185">
        <f>51440+15210</f>
        <v>66650</v>
      </c>
      <c r="Z63" s="185"/>
      <c r="AA63" s="185"/>
      <c r="AB63" s="185"/>
      <c r="AC63" s="185"/>
      <c r="AD63" s="185"/>
      <c r="AE63" s="185"/>
      <c r="AF63" s="185"/>
      <c r="AG63" s="185">
        <v>276618.8</v>
      </c>
      <c r="AH63" s="185"/>
      <c r="AI63" s="185"/>
      <c r="AJ63" s="185">
        <v>23997.8</v>
      </c>
      <c r="AK63" s="185"/>
      <c r="AL63" s="185"/>
      <c r="AM63" s="185"/>
      <c r="AN63" s="185"/>
      <c r="AO63" s="185"/>
      <c r="AP63" s="185">
        <v>34471.69</v>
      </c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>
        <v>400</v>
      </c>
      <c r="BC63" s="185"/>
      <c r="BD63" s="185"/>
      <c r="BE63" s="185"/>
      <c r="BF63" s="185"/>
      <c r="BG63" s="185"/>
      <c r="BH63" s="185">
        <v>5555.53</v>
      </c>
      <c r="BI63" s="185"/>
      <c r="BJ63" s="185">
        <v>71502.570000000007</v>
      </c>
      <c r="BK63" s="185"/>
      <c r="BL63" s="185"/>
      <c r="BM63" s="185"/>
      <c r="BN63" s="185">
        <v>267014.24</v>
      </c>
      <c r="BO63" s="185"/>
      <c r="BP63" s="185">
        <v>19158.41</v>
      </c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1094095.5900000001</v>
      </c>
      <c r="CF63" s="252"/>
    </row>
    <row r="64" spans="1:84" ht="12.6" customHeight="1" x14ac:dyDescent="0.25">
      <c r="A64" s="171" t="s">
        <v>237</v>
      </c>
      <c r="B64" s="175"/>
      <c r="C64" s="184"/>
      <c r="D64" s="184"/>
      <c r="E64" s="185">
        <v>5133</v>
      </c>
      <c r="F64" s="185"/>
      <c r="G64" s="184"/>
      <c r="H64" s="184"/>
      <c r="I64" s="185"/>
      <c r="J64" s="185"/>
      <c r="K64" s="185"/>
      <c r="L64" s="185">
        <f>285181.12-5133</f>
        <v>280048.12</v>
      </c>
      <c r="M64" s="184"/>
      <c r="N64" s="184">
        <v>197.11</v>
      </c>
      <c r="O64" s="184"/>
      <c r="P64" s="185">
        <v>66570.48</v>
      </c>
      <c r="Q64" s="185"/>
      <c r="R64" s="185"/>
      <c r="S64" s="185">
        <v>-1852.04</v>
      </c>
      <c r="T64" s="185"/>
      <c r="U64" s="185">
        <v>385774.8</v>
      </c>
      <c r="V64" s="185"/>
      <c r="W64" s="185"/>
      <c r="X64" s="185"/>
      <c r="Y64" s="185">
        <v>49980.71</v>
      </c>
      <c r="Z64" s="185"/>
      <c r="AA64" s="185"/>
      <c r="AB64" s="185">
        <v>761532.07</v>
      </c>
      <c r="AC64" s="185"/>
      <c r="AD64" s="185"/>
      <c r="AE64" s="185">
        <v>34597.78</v>
      </c>
      <c r="AF64" s="185"/>
      <c r="AG64" s="185">
        <v>76893.52</v>
      </c>
      <c r="AH64" s="185"/>
      <c r="AI64" s="185"/>
      <c r="AJ64" s="185">
        <v>11361.19</v>
      </c>
      <c r="AK64" s="185">
        <v>463.43</v>
      </c>
      <c r="AL64" s="185"/>
      <c r="AM64" s="185">
        <v>899.31</v>
      </c>
      <c r="AN64" s="185"/>
      <c r="AO64" s="185"/>
      <c r="AP64" s="185">
        <v>38012.639999999999</v>
      </c>
      <c r="AQ64" s="185"/>
      <c r="AR64" s="185"/>
      <c r="AS64" s="185"/>
      <c r="AT64" s="185"/>
      <c r="AU64" s="185"/>
      <c r="AV64" s="185">
        <v>3691.15</v>
      </c>
      <c r="AW64" s="185"/>
      <c r="AX64" s="185"/>
      <c r="AY64" s="185">
        <v>232161.93</v>
      </c>
      <c r="AZ64" s="185"/>
      <c r="BA64" s="185"/>
      <c r="BB64" s="185">
        <v>1206.8800000000001</v>
      </c>
      <c r="BC64" s="185"/>
      <c r="BD64" s="185"/>
      <c r="BE64" s="185">
        <v>67836.289999999994</v>
      </c>
      <c r="BF64" s="185">
        <v>193474.43</v>
      </c>
      <c r="BG64" s="185"/>
      <c r="BH64" s="185">
        <v>220816.78</v>
      </c>
      <c r="BI64" s="185"/>
      <c r="BJ64" s="185">
        <v>6363.63</v>
      </c>
      <c r="BK64" s="185">
        <v>8848.58</v>
      </c>
      <c r="BL64" s="185">
        <v>2133.04</v>
      </c>
      <c r="BM64" s="185"/>
      <c r="BN64" s="185">
        <v>16219.81</v>
      </c>
      <c r="BO64" s="185"/>
      <c r="BP64" s="185">
        <v>1307.6099999999999</v>
      </c>
      <c r="BQ64" s="185"/>
      <c r="BR64" s="185">
        <v>9972.25</v>
      </c>
      <c r="BS64" s="185"/>
      <c r="BT64" s="185"/>
      <c r="BU64" s="185"/>
      <c r="BV64" s="185">
        <v>1554.66</v>
      </c>
      <c r="BW64" s="185">
        <v>5000</v>
      </c>
      <c r="BX64" s="185"/>
      <c r="BY64" s="185">
        <v>689.14</v>
      </c>
      <c r="BZ64" s="185"/>
      <c r="CA64" s="185"/>
      <c r="CB64" s="185"/>
      <c r="CC64" s="185">
        <v>22423.34</v>
      </c>
      <c r="CD64" s="249" t="s">
        <v>221</v>
      </c>
      <c r="CE64" s="195">
        <f t="shared" si="0"/>
        <v>2503311.6399999997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>
        <v>18</v>
      </c>
      <c r="F65" s="184"/>
      <c r="G65" s="184"/>
      <c r="H65" s="184"/>
      <c r="I65" s="185"/>
      <c r="J65" s="184"/>
      <c r="K65" s="185"/>
      <c r="L65" s="185">
        <f>1011.69-18</f>
        <v>993.69</v>
      </c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>
        <v>16732.41</v>
      </c>
      <c r="AC65" s="185"/>
      <c r="AD65" s="185"/>
      <c r="AE65" s="185"/>
      <c r="AF65" s="185"/>
      <c r="AG65" s="185"/>
      <c r="AH65" s="185"/>
      <c r="AI65" s="185"/>
      <c r="AJ65" s="185">
        <v>1751.13</v>
      </c>
      <c r="AK65" s="185"/>
      <c r="AL65" s="185"/>
      <c r="AM65" s="185"/>
      <c r="AN65" s="185"/>
      <c r="AO65" s="185"/>
      <c r="AP65" s="185">
        <v>16399.88</v>
      </c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393763.14</v>
      </c>
      <c r="BF65" s="185"/>
      <c r="BG65" s="185"/>
      <c r="BH65" s="185">
        <v>9115.0499999999993</v>
      </c>
      <c r="BI65" s="185"/>
      <c r="BJ65" s="185"/>
      <c r="BK65" s="185"/>
      <c r="BL65" s="185"/>
      <c r="BM65" s="185"/>
      <c r="BN65" s="185">
        <v>14652.62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9" t="s">
        <v>221</v>
      </c>
      <c r="CE65" s="195">
        <f t="shared" si="0"/>
        <v>453425.91999999998</v>
      </c>
      <c r="CF65" s="252"/>
    </row>
    <row r="66" spans="1:84" ht="12.6" customHeight="1" x14ac:dyDescent="0.25">
      <c r="A66" s="171" t="s">
        <v>239</v>
      </c>
      <c r="B66" s="175"/>
      <c r="C66" s="184"/>
      <c r="D66" s="184"/>
      <c r="E66" s="184">
        <v>1672</v>
      </c>
      <c r="F66" s="184"/>
      <c r="G66" s="184"/>
      <c r="H66" s="184"/>
      <c r="I66" s="184"/>
      <c r="J66" s="184"/>
      <c r="K66" s="185"/>
      <c r="L66" s="185">
        <f>92909.5-1672</f>
        <v>91237.5</v>
      </c>
      <c r="M66" s="184"/>
      <c r="N66" s="184"/>
      <c r="O66" s="185"/>
      <c r="P66" s="185">
        <v>1932.72</v>
      </c>
      <c r="Q66" s="185"/>
      <c r="R66" s="185"/>
      <c r="S66" s="184">
        <v>55741.46</v>
      </c>
      <c r="T66" s="184"/>
      <c r="U66" s="185">
        <v>196673.44</v>
      </c>
      <c r="V66" s="185"/>
      <c r="W66" s="185">
        <v>96.71</v>
      </c>
      <c r="X66" s="185"/>
      <c r="Y66" s="185">
        <f>2575+6194.88</f>
        <v>8769.880000000001</v>
      </c>
      <c r="Z66" s="185"/>
      <c r="AA66" s="185"/>
      <c r="AB66" s="185">
        <v>5700</v>
      </c>
      <c r="AC66" s="185"/>
      <c r="AD66" s="185"/>
      <c r="AE66" s="185">
        <v>8316</v>
      </c>
      <c r="AF66" s="185"/>
      <c r="AG66" s="185">
        <v>3055.8</v>
      </c>
      <c r="AH66" s="185"/>
      <c r="AI66" s="185"/>
      <c r="AJ66" s="185">
        <v>5789.28</v>
      </c>
      <c r="AK66" s="185"/>
      <c r="AL66" s="185">
        <v>4115</v>
      </c>
      <c r="AM66" s="185">
        <v>2000</v>
      </c>
      <c r="AN66" s="185"/>
      <c r="AO66" s="185"/>
      <c r="AP66" s="185">
        <v>58989.74</v>
      </c>
      <c r="AQ66" s="185"/>
      <c r="AR66" s="185"/>
      <c r="AS66" s="185"/>
      <c r="AT66" s="185"/>
      <c r="AU66" s="185"/>
      <c r="AV66" s="185">
        <v>320</v>
      </c>
      <c r="AW66" s="185"/>
      <c r="AX66" s="185"/>
      <c r="AY66" s="185">
        <v>180393.99</v>
      </c>
      <c r="AZ66" s="185"/>
      <c r="BA66" s="185"/>
      <c r="BB66" s="185">
        <v>890</v>
      </c>
      <c r="BC66" s="185"/>
      <c r="BD66" s="185"/>
      <c r="BE66" s="185">
        <v>302099.46999999997</v>
      </c>
      <c r="BF66" s="185">
        <v>485.77</v>
      </c>
      <c r="BG66" s="185"/>
      <c r="BH66" s="185">
        <v>210395.99</v>
      </c>
      <c r="BI66" s="185"/>
      <c r="BJ66" s="185">
        <v>6045.95</v>
      </c>
      <c r="BK66" s="185">
        <v>646537.94999999995</v>
      </c>
      <c r="BL66" s="185"/>
      <c r="BM66" s="185"/>
      <c r="BN66" s="185">
        <v>48798.9</v>
      </c>
      <c r="BO66" s="185"/>
      <c r="BP66" s="185">
        <v>468.45</v>
      </c>
      <c r="BQ66" s="185"/>
      <c r="BR66" s="185">
        <v>5253.99</v>
      </c>
      <c r="BS66" s="185"/>
      <c r="BT66" s="185"/>
      <c r="BU66" s="185"/>
      <c r="BV66" s="185"/>
      <c r="BW66" s="185"/>
      <c r="BX66" s="185"/>
      <c r="BY66" s="185"/>
      <c r="BZ66" s="185"/>
      <c r="CA66" s="185"/>
      <c r="CB66" s="185"/>
      <c r="CC66" s="185">
        <v>1930.94</v>
      </c>
      <c r="CD66" s="249" t="s">
        <v>221</v>
      </c>
      <c r="CE66" s="195">
        <f t="shared" si="0"/>
        <v>1847710.9299999997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186603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746414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74472</v>
      </c>
      <c r="Q67" s="195">
        <f t="shared" si="3"/>
        <v>0</v>
      </c>
      <c r="R67" s="195">
        <f t="shared" si="3"/>
        <v>0</v>
      </c>
      <c r="S67" s="195">
        <f t="shared" si="3"/>
        <v>121000</v>
      </c>
      <c r="T67" s="195">
        <f t="shared" si="3"/>
        <v>0</v>
      </c>
      <c r="U67" s="195">
        <f t="shared" si="3"/>
        <v>63950</v>
      </c>
      <c r="V67" s="195">
        <f t="shared" si="3"/>
        <v>0</v>
      </c>
      <c r="W67" s="195">
        <f t="shared" si="3"/>
        <v>32196</v>
      </c>
      <c r="X67" s="195">
        <f t="shared" si="3"/>
        <v>57076</v>
      </c>
      <c r="Y67" s="195">
        <f t="shared" si="3"/>
        <v>57076</v>
      </c>
      <c r="Z67" s="195">
        <f t="shared" si="3"/>
        <v>0</v>
      </c>
      <c r="AA67" s="195">
        <f t="shared" si="3"/>
        <v>0</v>
      </c>
      <c r="AB67" s="195">
        <f t="shared" si="3"/>
        <v>66751</v>
      </c>
      <c r="AC67" s="195">
        <f t="shared" si="3"/>
        <v>0</v>
      </c>
      <c r="AD67" s="195">
        <f t="shared" si="3"/>
        <v>0</v>
      </c>
      <c r="AE67" s="195">
        <f t="shared" si="3"/>
        <v>85115</v>
      </c>
      <c r="AF67" s="195">
        <f t="shared" si="3"/>
        <v>0</v>
      </c>
      <c r="AG67" s="195">
        <f t="shared" si="3"/>
        <v>266254</v>
      </c>
      <c r="AH67" s="195">
        <f t="shared" si="3"/>
        <v>0</v>
      </c>
      <c r="AI67" s="195">
        <f t="shared" si="3"/>
        <v>0</v>
      </c>
      <c r="AJ67" s="195">
        <f t="shared" si="3"/>
        <v>110136</v>
      </c>
      <c r="AK67" s="195">
        <f t="shared" si="3"/>
        <v>47286</v>
      </c>
      <c r="AL67" s="195">
        <f t="shared" si="3"/>
        <v>25219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445260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162267</v>
      </c>
      <c r="AZ67" s="195">
        <f>ROUND(AZ51+AZ52,0)</f>
        <v>50354</v>
      </c>
      <c r="BA67" s="195">
        <f>ROUND(BA51+BA52,0)</f>
        <v>0</v>
      </c>
      <c r="BB67" s="195">
        <f t="shared" si="3"/>
        <v>10727</v>
      </c>
      <c r="BC67" s="195">
        <f t="shared" si="3"/>
        <v>0</v>
      </c>
      <c r="BD67" s="195">
        <f t="shared" si="3"/>
        <v>0</v>
      </c>
      <c r="BE67" s="195">
        <f t="shared" si="3"/>
        <v>346124</v>
      </c>
      <c r="BF67" s="195">
        <f t="shared" si="3"/>
        <v>55820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235509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10795</v>
      </c>
      <c r="BW67" s="195">
        <f t="shared" si="4"/>
        <v>0</v>
      </c>
      <c r="BX67" s="195">
        <f t="shared" si="4"/>
        <v>0</v>
      </c>
      <c r="BY67" s="195">
        <f t="shared" si="4"/>
        <v>5876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3262280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>
        <v>582385.42000000004</v>
      </c>
      <c r="M68" s="184"/>
      <c r="N68" s="184"/>
      <c r="O68" s="184"/>
      <c r="P68" s="185"/>
      <c r="Q68" s="185"/>
      <c r="R68" s="185"/>
      <c r="S68" s="185"/>
      <c r="T68" s="185"/>
      <c r="U68" s="185">
        <v>13524.6</v>
      </c>
      <c r="V68" s="185"/>
      <c r="W68" s="185">
        <v>218497.84</v>
      </c>
      <c r="X68" s="185">
        <v>177462.5</v>
      </c>
      <c r="Y68" s="185">
        <v>123504.79</v>
      </c>
      <c r="Z68" s="185"/>
      <c r="AA68" s="185"/>
      <c r="AB68" s="185">
        <v>73266.92</v>
      </c>
      <c r="AC68" s="185"/>
      <c r="AD68" s="185"/>
      <c r="AE68" s="185">
        <v>11440.12</v>
      </c>
      <c r="AF68" s="185"/>
      <c r="AG68" s="185">
        <v>14564.34</v>
      </c>
      <c r="AH68" s="185"/>
      <c r="AI68" s="185"/>
      <c r="AJ68" s="185"/>
      <c r="AK68" s="185"/>
      <c r="AL68" s="185"/>
      <c r="AM68" s="185"/>
      <c r="AN68" s="185"/>
      <c r="AO68" s="185"/>
      <c r="AP68" s="185">
        <v>172455.7</v>
      </c>
      <c r="AQ68" s="185"/>
      <c r="AR68" s="185"/>
      <c r="AS68" s="185"/>
      <c r="AT68" s="185"/>
      <c r="AU68" s="185"/>
      <c r="AV68" s="185"/>
      <c r="AW68" s="185"/>
      <c r="AX68" s="185"/>
      <c r="AY68" s="185">
        <v>35398.65</v>
      </c>
      <c r="AZ68" s="185"/>
      <c r="BA68" s="185"/>
      <c r="BB68" s="185"/>
      <c r="BC68" s="185"/>
      <c r="BD68" s="185"/>
      <c r="BE68" s="185">
        <v>214640.41</v>
      </c>
      <c r="BF68" s="185">
        <v>7116.46</v>
      </c>
      <c r="BG68" s="185"/>
      <c r="BH68" s="185"/>
      <c r="BI68" s="185"/>
      <c r="BJ68" s="185"/>
      <c r="BK68" s="185"/>
      <c r="BL68" s="185"/>
      <c r="BM68" s="185"/>
      <c r="BN68" s="185">
        <v>344152.53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1988410.2799999998</v>
      </c>
      <c r="CF68" s="252"/>
    </row>
    <row r="69" spans="1:84" ht="12.6" customHeight="1" x14ac:dyDescent="0.25">
      <c r="A69" s="171" t="s">
        <v>241</v>
      </c>
      <c r="B69" s="175"/>
      <c r="C69" s="184"/>
      <c r="D69" s="184"/>
      <c r="E69" s="185">
        <v>330</v>
      </c>
      <c r="F69" s="185"/>
      <c r="G69" s="184"/>
      <c r="H69" s="184"/>
      <c r="I69" s="185"/>
      <c r="J69" s="185"/>
      <c r="K69" s="185"/>
      <c r="L69" s="185">
        <f>18360.27-330</f>
        <v>18030.27</v>
      </c>
      <c r="M69" s="184"/>
      <c r="N69" s="184">
        <v>5310.9</v>
      </c>
      <c r="O69" s="184"/>
      <c r="P69" s="185">
        <v>1481.79</v>
      </c>
      <c r="Q69" s="185"/>
      <c r="R69" s="224"/>
      <c r="S69" s="185">
        <v>4277.21</v>
      </c>
      <c r="T69" s="184"/>
      <c r="U69" s="185">
        <v>3261.59</v>
      </c>
      <c r="V69" s="185"/>
      <c r="W69" s="184"/>
      <c r="X69" s="185"/>
      <c r="Y69" s="185">
        <v>77.489999999999995</v>
      </c>
      <c r="Z69" s="185"/>
      <c r="AA69" s="185"/>
      <c r="AB69" s="185">
        <v>790.87</v>
      </c>
      <c r="AC69" s="185"/>
      <c r="AD69" s="185"/>
      <c r="AE69" s="185">
        <v>4029.34</v>
      </c>
      <c r="AF69" s="185"/>
      <c r="AG69" s="185">
        <v>11587.21</v>
      </c>
      <c r="AH69" s="185"/>
      <c r="AI69" s="185"/>
      <c r="AJ69" s="185">
        <v>11598.73</v>
      </c>
      <c r="AK69" s="185">
        <v>448.62</v>
      </c>
      <c r="AL69" s="185">
        <v>230</v>
      </c>
      <c r="AM69" s="185">
        <v>472.9</v>
      </c>
      <c r="AN69" s="185"/>
      <c r="AO69" s="184"/>
      <c r="AP69" s="185">
        <v>34850.92</v>
      </c>
      <c r="AQ69" s="184"/>
      <c r="AR69" s="184"/>
      <c r="AS69" s="184"/>
      <c r="AT69" s="184"/>
      <c r="AU69" s="185"/>
      <c r="AV69" s="185">
        <v>464.35</v>
      </c>
      <c r="AW69" s="185"/>
      <c r="AX69" s="185"/>
      <c r="AY69" s="185">
        <v>158.22999999999999</v>
      </c>
      <c r="AZ69" s="185"/>
      <c r="BA69" s="185"/>
      <c r="BB69" s="185">
        <v>1044.55</v>
      </c>
      <c r="BC69" s="185"/>
      <c r="BD69" s="185"/>
      <c r="BE69" s="185">
        <v>4252.9799999999996</v>
      </c>
      <c r="BF69" s="185">
        <v>500</v>
      </c>
      <c r="BG69" s="185"/>
      <c r="BH69" s="224">
        <v>12992.24</v>
      </c>
      <c r="BI69" s="185"/>
      <c r="BJ69" s="185">
        <v>1975.59</v>
      </c>
      <c r="BK69" s="185">
        <v>2808.4</v>
      </c>
      <c r="BL69" s="185">
        <v>274.17</v>
      </c>
      <c r="BM69" s="185"/>
      <c r="BN69" s="185">
        <v>313139.34999999998</v>
      </c>
      <c r="BO69" s="185"/>
      <c r="BP69" s="185">
        <v>500</v>
      </c>
      <c r="BQ69" s="185"/>
      <c r="BR69" s="185">
        <v>20527.5</v>
      </c>
      <c r="BS69" s="185"/>
      <c r="BT69" s="185"/>
      <c r="BU69" s="185"/>
      <c r="BV69" s="185">
        <v>609</v>
      </c>
      <c r="BW69" s="185">
        <v>2777.47</v>
      </c>
      <c r="BX69" s="185"/>
      <c r="BY69" s="185">
        <v>10810.5</v>
      </c>
      <c r="BZ69" s="185"/>
      <c r="CA69" s="185"/>
      <c r="CB69" s="185"/>
      <c r="CC69" s="185">
        <v>10</v>
      </c>
      <c r="CD69" s="188">
        <f>37603832.76-31590571</f>
        <v>6013261.7599999979</v>
      </c>
      <c r="CE69" s="195">
        <f t="shared" si="0"/>
        <v>6482883.9299999978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267197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5725810.46</v>
      </c>
      <c r="M71" s="195">
        <f t="shared" si="5"/>
        <v>0</v>
      </c>
      <c r="N71" s="195">
        <f t="shared" si="5"/>
        <v>770220.37</v>
      </c>
      <c r="O71" s="195">
        <f t="shared" si="5"/>
        <v>0</v>
      </c>
      <c r="P71" s="195">
        <f t="shared" si="5"/>
        <v>260260.16999999998</v>
      </c>
      <c r="Q71" s="195">
        <f t="shared" si="5"/>
        <v>0</v>
      </c>
      <c r="R71" s="195">
        <f t="shared" si="5"/>
        <v>0</v>
      </c>
      <c r="S71" s="195">
        <f t="shared" si="5"/>
        <v>381761</v>
      </c>
      <c r="T71" s="195">
        <f t="shared" si="5"/>
        <v>0</v>
      </c>
      <c r="U71" s="195">
        <f t="shared" si="5"/>
        <v>1391516.09</v>
      </c>
      <c r="V71" s="195">
        <f t="shared" si="5"/>
        <v>0</v>
      </c>
      <c r="W71" s="195">
        <f t="shared" si="5"/>
        <v>259430.55</v>
      </c>
      <c r="X71" s="195">
        <f t="shared" si="5"/>
        <v>272878.5</v>
      </c>
      <c r="Y71" s="195">
        <f t="shared" si="5"/>
        <v>1033758.02</v>
      </c>
      <c r="Z71" s="195">
        <f t="shared" si="5"/>
        <v>0</v>
      </c>
      <c r="AA71" s="195">
        <f t="shared" si="5"/>
        <v>0</v>
      </c>
      <c r="AB71" s="195">
        <f t="shared" si="5"/>
        <v>1422361.18</v>
      </c>
      <c r="AC71" s="195">
        <f t="shared" si="5"/>
        <v>0</v>
      </c>
      <c r="AD71" s="195">
        <f t="shared" si="5"/>
        <v>0</v>
      </c>
      <c r="AE71" s="195">
        <f t="shared" si="5"/>
        <v>896010.80999999994</v>
      </c>
      <c r="AF71" s="195">
        <f t="shared" si="5"/>
        <v>0</v>
      </c>
      <c r="AG71" s="195">
        <f t="shared" si="5"/>
        <v>2902208.8799999994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1620239.44</v>
      </c>
      <c r="AK71" s="195">
        <f t="shared" si="6"/>
        <v>545927.15</v>
      </c>
      <c r="AL71" s="195">
        <f t="shared" si="6"/>
        <v>243985.02</v>
      </c>
      <c r="AM71" s="195">
        <f t="shared" si="6"/>
        <v>322162.02</v>
      </c>
      <c r="AN71" s="195">
        <f t="shared" si="6"/>
        <v>0</v>
      </c>
      <c r="AO71" s="195">
        <f t="shared" si="6"/>
        <v>0</v>
      </c>
      <c r="AP71" s="195">
        <f t="shared" si="6"/>
        <v>2550424.38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232709.46</v>
      </c>
      <c r="AW71" s="195">
        <f t="shared" si="6"/>
        <v>0</v>
      </c>
      <c r="AX71" s="195">
        <f t="shared" si="6"/>
        <v>0</v>
      </c>
      <c r="AY71" s="195">
        <f t="shared" si="6"/>
        <v>1128538.8699999999</v>
      </c>
      <c r="AZ71" s="195">
        <f t="shared" si="6"/>
        <v>50354</v>
      </c>
      <c r="BA71" s="195">
        <f t="shared" si="6"/>
        <v>0</v>
      </c>
      <c r="BB71" s="195">
        <f t="shared" si="6"/>
        <v>379865.56</v>
      </c>
      <c r="BC71" s="195">
        <f t="shared" si="6"/>
        <v>0</v>
      </c>
      <c r="BD71" s="195">
        <f t="shared" si="6"/>
        <v>0</v>
      </c>
      <c r="BE71" s="195">
        <f t="shared" si="6"/>
        <v>1690326.0199999998</v>
      </c>
      <c r="BF71" s="195">
        <f t="shared" si="6"/>
        <v>625652.29</v>
      </c>
      <c r="BG71" s="195">
        <f t="shared" si="6"/>
        <v>0</v>
      </c>
      <c r="BH71" s="195">
        <f t="shared" si="6"/>
        <v>979619.21000000008</v>
      </c>
      <c r="BI71" s="195">
        <f t="shared" si="6"/>
        <v>0</v>
      </c>
      <c r="BJ71" s="195">
        <f t="shared" si="6"/>
        <v>440446.66000000003</v>
      </c>
      <c r="BK71" s="195">
        <f t="shared" si="6"/>
        <v>1054380.8799999999</v>
      </c>
      <c r="BL71" s="195">
        <f t="shared" si="6"/>
        <v>559585.24000000011</v>
      </c>
      <c r="BM71" s="195">
        <f t="shared" si="6"/>
        <v>0</v>
      </c>
      <c r="BN71" s="195">
        <f t="shared" si="6"/>
        <v>2242172.52</v>
      </c>
      <c r="BO71" s="195">
        <f t="shared" si="6"/>
        <v>0</v>
      </c>
      <c r="BP71" s="195">
        <f t="shared" ref="BP71:CC71" si="7">SUM(BP61:BP69)-BP70</f>
        <v>42190.539999999994</v>
      </c>
      <c r="BQ71" s="195">
        <f t="shared" si="7"/>
        <v>0</v>
      </c>
      <c r="BR71" s="195">
        <f t="shared" si="7"/>
        <v>200318.97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261375.31</v>
      </c>
      <c r="BW71" s="195">
        <f t="shared" si="7"/>
        <v>97306.69</v>
      </c>
      <c r="BX71" s="195">
        <f t="shared" si="7"/>
        <v>0</v>
      </c>
      <c r="BY71" s="195">
        <f t="shared" si="7"/>
        <v>674564.54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65012.7</v>
      </c>
      <c r="CD71" s="245">
        <f>CD69-CD70</f>
        <v>6013261.7599999979</v>
      </c>
      <c r="CE71" s="195">
        <f>SUM(CE61:CE69)-CE70</f>
        <v>37603832.260000005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3673872.74</v>
      </c>
      <c r="CF72" s="252"/>
    </row>
    <row r="73" spans="1:84" ht="12.6" customHeight="1" x14ac:dyDescent="0.25">
      <c r="A73" s="171" t="s">
        <v>245</v>
      </c>
      <c r="B73" s="175"/>
      <c r="C73" s="184"/>
      <c r="D73" s="184"/>
      <c r="E73" s="185">
        <v>510785.2</v>
      </c>
      <c r="F73" s="185"/>
      <c r="G73" s="184"/>
      <c r="H73" s="184"/>
      <c r="I73" s="185"/>
      <c r="J73" s="185"/>
      <c r="K73" s="185"/>
      <c r="L73" s="185">
        <v>18063847.899999999</v>
      </c>
      <c r="M73" s="184"/>
      <c r="N73" s="184">
        <v>570142.30000000005</v>
      </c>
      <c r="O73" s="184"/>
      <c r="P73" s="185">
        <v>19712</v>
      </c>
      <c r="Q73" s="185"/>
      <c r="R73" s="185"/>
      <c r="S73" s="185"/>
      <c r="T73" s="185"/>
      <c r="U73" s="185">
        <v>627561.69999999995</v>
      </c>
      <c r="V73" s="185"/>
      <c r="W73" s="185">
        <v>124821</v>
      </c>
      <c r="X73" s="185">
        <v>232411.9</v>
      </c>
      <c r="Y73" s="185">
        <v>201630</v>
      </c>
      <c r="Z73" s="185"/>
      <c r="AA73" s="185"/>
      <c r="AB73" s="185">
        <v>2130376.73</v>
      </c>
      <c r="AC73" s="185"/>
      <c r="AD73" s="185"/>
      <c r="AE73" s="185">
        <v>1340174.2</v>
      </c>
      <c r="AF73" s="185"/>
      <c r="AG73" s="185">
        <v>25097.97</v>
      </c>
      <c r="AH73" s="185"/>
      <c r="AI73" s="185"/>
      <c r="AJ73" s="185">
        <v>18474.54</v>
      </c>
      <c r="AK73" s="185">
        <v>1364542.9</v>
      </c>
      <c r="AL73" s="185">
        <v>725790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v>324852.75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26280221.089999992</v>
      </c>
      <c r="CF73" s="252"/>
    </row>
    <row r="74" spans="1:84" ht="12.6" customHeight="1" x14ac:dyDescent="0.25">
      <c r="A74" s="171" t="s">
        <v>246</v>
      </c>
      <c r="B74" s="175"/>
      <c r="C74" s="184"/>
      <c r="D74" s="184"/>
      <c r="E74" s="185">
        <v>107502.7</v>
      </c>
      <c r="F74" s="185"/>
      <c r="G74" s="184"/>
      <c r="H74" s="184"/>
      <c r="I74" s="184"/>
      <c r="J74" s="185"/>
      <c r="K74" s="185"/>
      <c r="L74" s="185"/>
      <c r="M74" s="184"/>
      <c r="N74" s="184">
        <v>16810.5</v>
      </c>
      <c r="O74" s="184"/>
      <c r="P74" s="185">
        <v>1132549</v>
      </c>
      <c r="Q74" s="185"/>
      <c r="R74" s="185"/>
      <c r="S74" s="185"/>
      <c r="T74" s="185"/>
      <c r="U74" s="185">
        <v>2663472.42</v>
      </c>
      <c r="V74" s="185"/>
      <c r="W74" s="185">
        <v>664409.19999999995</v>
      </c>
      <c r="X74" s="185">
        <v>2267198.4</v>
      </c>
      <c r="Y74" s="185">
        <v>1456380.88</v>
      </c>
      <c r="Z74" s="185"/>
      <c r="AA74" s="185"/>
      <c r="AB74" s="185">
        <v>536483.57999999996</v>
      </c>
      <c r="AC74" s="185"/>
      <c r="AD74" s="185"/>
      <c r="AE74" s="185">
        <v>979442.4</v>
      </c>
      <c r="AF74" s="185"/>
      <c r="AG74" s="185">
        <v>6030266.4000000004</v>
      </c>
      <c r="AH74" s="185"/>
      <c r="AI74" s="185"/>
      <c r="AJ74" s="185">
        <v>1413966.64</v>
      </c>
      <c r="AK74" s="185">
        <v>272777.2</v>
      </c>
      <c r="AL74" s="185">
        <v>54921.8</v>
      </c>
      <c r="AM74" s="185"/>
      <c r="AN74" s="185"/>
      <c r="AO74" s="185"/>
      <c r="AP74" s="185">
        <v>2599627.4</v>
      </c>
      <c r="AQ74" s="185"/>
      <c r="AR74" s="185"/>
      <c r="AS74" s="185"/>
      <c r="AT74" s="185"/>
      <c r="AU74" s="185"/>
      <c r="AV74" s="185">
        <f>140003.1+12717.8</f>
        <v>152720.9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20348529.419999998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618287.9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18063847.899999999</v>
      </c>
      <c r="M75" s="195">
        <f t="shared" si="9"/>
        <v>0</v>
      </c>
      <c r="N75" s="195">
        <f t="shared" si="9"/>
        <v>586952.80000000005</v>
      </c>
      <c r="O75" s="195">
        <f t="shared" si="9"/>
        <v>0</v>
      </c>
      <c r="P75" s="195">
        <f t="shared" si="9"/>
        <v>1152261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3291034.12</v>
      </c>
      <c r="V75" s="195">
        <f t="shared" si="9"/>
        <v>0</v>
      </c>
      <c r="W75" s="195">
        <f t="shared" si="9"/>
        <v>789230.2</v>
      </c>
      <c r="X75" s="195">
        <f t="shared" si="9"/>
        <v>2499610.2999999998</v>
      </c>
      <c r="Y75" s="195">
        <f t="shared" si="9"/>
        <v>1658010.88</v>
      </c>
      <c r="Z75" s="195">
        <f t="shared" si="9"/>
        <v>0</v>
      </c>
      <c r="AA75" s="195">
        <f t="shared" si="9"/>
        <v>0</v>
      </c>
      <c r="AB75" s="195">
        <f t="shared" si="9"/>
        <v>2666860.31</v>
      </c>
      <c r="AC75" s="195">
        <f t="shared" si="9"/>
        <v>0</v>
      </c>
      <c r="AD75" s="195">
        <f t="shared" si="9"/>
        <v>0</v>
      </c>
      <c r="AE75" s="195">
        <f t="shared" si="9"/>
        <v>2319616.6</v>
      </c>
      <c r="AF75" s="195">
        <f t="shared" si="9"/>
        <v>0</v>
      </c>
      <c r="AG75" s="195">
        <f t="shared" si="9"/>
        <v>6055364.3700000001</v>
      </c>
      <c r="AH75" s="195">
        <f t="shared" si="9"/>
        <v>0</v>
      </c>
      <c r="AI75" s="195">
        <f t="shared" si="9"/>
        <v>0</v>
      </c>
      <c r="AJ75" s="195">
        <f t="shared" si="9"/>
        <v>1432441.18</v>
      </c>
      <c r="AK75" s="195">
        <f t="shared" si="9"/>
        <v>1637320.0999999999</v>
      </c>
      <c r="AL75" s="195">
        <f t="shared" si="9"/>
        <v>780711.8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2599627.4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477573.65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46628750.50999999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185">
        <f>13656*(5/25)</f>
        <v>2731.2000000000003</v>
      </c>
      <c r="F76" s="185"/>
      <c r="G76" s="184"/>
      <c r="H76" s="184"/>
      <c r="I76" s="185"/>
      <c r="J76" s="185"/>
      <c r="K76" s="185"/>
      <c r="L76" s="185">
        <f>13656*(20/25)</f>
        <v>10924.800000000001</v>
      </c>
      <c r="M76" s="185"/>
      <c r="N76" s="185"/>
      <c r="O76" s="185"/>
      <c r="P76" s="185">
        <f>917+173</f>
        <v>1090</v>
      </c>
      <c r="Q76" s="185"/>
      <c r="R76" s="185"/>
      <c r="S76" s="185">
        <v>1771</v>
      </c>
      <c r="T76" s="185"/>
      <c r="U76" s="185">
        <v>936</v>
      </c>
      <c r="V76" s="185"/>
      <c r="W76" s="185">
        <f>2142*0.22</f>
        <v>471.24</v>
      </c>
      <c r="X76" s="185">
        <f>2142*0.39</f>
        <v>835.38</v>
      </c>
      <c r="Y76" s="185">
        <f>2142*0.39</f>
        <v>835.38</v>
      </c>
      <c r="Z76" s="185"/>
      <c r="AA76" s="185"/>
      <c r="AB76" s="185">
        <v>977</v>
      </c>
      <c r="AC76" s="185"/>
      <c r="AD76" s="185"/>
      <c r="AE76" s="185">
        <f>2307*0.54</f>
        <v>1245.78</v>
      </c>
      <c r="AF76" s="185"/>
      <c r="AG76" s="185">
        <v>3897</v>
      </c>
      <c r="AH76" s="185"/>
      <c r="AI76" s="185"/>
      <c r="AJ76" s="185">
        <f>1612</f>
        <v>1612</v>
      </c>
      <c r="AK76" s="185">
        <f>2307*0.3</f>
        <v>692.1</v>
      </c>
      <c r="AL76" s="185">
        <f>2307*0.16</f>
        <v>369.12</v>
      </c>
      <c r="AM76" s="185"/>
      <c r="AN76" s="185"/>
      <c r="AO76" s="185"/>
      <c r="AP76" s="185">
        <v>6517</v>
      </c>
      <c r="AQ76" s="185"/>
      <c r="AR76" s="185"/>
      <c r="AS76" s="185"/>
      <c r="AT76" s="185"/>
      <c r="AU76" s="185"/>
      <c r="AV76" s="185"/>
      <c r="AW76" s="185"/>
      <c r="AX76" s="185"/>
      <c r="AY76" s="185">
        <v>2375</v>
      </c>
      <c r="AZ76" s="185">
        <v>737</v>
      </c>
      <c r="BA76" s="185"/>
      <c r="BB76" s="185">
        <v>157</v>
      </c>
      <c r="BC76" s="185"/>
      <c r="BD76" s="185"/>
      <c r="BE76" s="185">
        <v>5066</v>
      </c>
      <c r="BF76" s="185">
        <v>817</v>
      </c>
      <c r="BG76" s="185"/>
      <c r="BH76" s="185"/>
      <c r="BI76" s="185"/>
      <c r="BJ76" s="185"/>
      <c r="BK76" s="185"/>
      <c r="BL76" s="185"/>
      <c r="BM76" s="185"/>
      <c r="BN76" s="185">
        <v>3447</v>
      </c>
      <c r="BO76" s="185"/>
      <c r="BP76" s="185"/>
      <c r="BQ76" s="185"/>
      <c r="BR76" s="185"/>
      <c r="BS76" s="185"/>
      <c r="BT76" s="185"/>
      <c r="BU76" s="185"/>
      <c r="BV76" s="185">
        <v>158</v>
      </c>
      <c r="BW76" s="185"/>
      <c r="BX76" s="185"/>
      <c r="BY76" s="185">
        <v>86</v>
      </c>
      <c r="BZ76" s="185"/>
      <c r="CA76" s="185"/>
      <c r="CB76" s="185"/>
      <c r="CC76" s="185"/>
      <c r="CD76" s="249" t="s">
        <v>221</v>
      </c>
      <c r="CE76" s="195">
        <f t="shared" si="8"/>
        <v>47748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/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>
        <v>24759</v>
      </c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24759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f>E$76/$CE$76*18361</f>
        <v>1050.2547373711989</v>
      </c>
      <c r="F78" s="184"/>
      <c r="G78" s="184"/>
      <c r="H78" s="184"/>
      <c r="I78" s="184"/>
      <c r="J78" s="184"/>
      <c r="K78" s="184"/>
      <c r="L78" s="184">
        <f>L$76/$CE$76*18361</f>
        <v>4201.0189494847955</v>
      </c>
      <c r="M78" s="184"/>
      <c r="N78" s="184"/>
      <c r="O78" s="184"/>
      <c r="P78" s="184">
        <f>P$76/$CE$76*18361</f>
        <v>419.14823657535396</v>
      </c>
      <c r="Q78" s="184"/>
      <c r="R78" s="184"/>
      <c r="S78" s="184">
        <f>S$76/$CE$76*18361</f>
        <v>681.01974951830437</v>
      </c>
      <c r="T78" s="184"/>
      <c r="U78" s="184">
        <f>U$76/$CE$76*18361</f>
        <v>359.9291279215883</v>
      </c>
      <c r="V78" s="184"/>
      <c r="W78" s="184">
        <f>W$76/$CE$76*18361</f>
        <v>181.21047248052275</v>
      </c>
      <c r="X78" s="184">
        <f>X$76/$CE$76*18361</f>
        <v>321.23674667001762</v>
      </c>
      <c r="Y78" s="184">
        <f>Y$76/$CE$76*18361</f>
        <v>321.23674667001762</v>
      </c>
      <c r="Z78" s="184"/>
      <c r="AA78" s="184"/>
      <c r="AB78" s="184">
        <f>AB$76/$CE$76*18361</f>
        <v>375.69525425148697</v>
      </c>
      <c r="AC78" s="184"/>
      <c r="AD78" s="184"/>
      <c r="AE78" s="184">
        <f>AE$76/$CE$76*18361</f>
        <v>479.05182583563709</v>
      </c>
      <c r="AF78" s="184"/>
      <c r="AG78" s="184">
        <f>AG$76/$CE$76*18361</f>
        <v>1498.551080673536</v>
      </c>
      <c r="AH78" s="184"/>
      <c r="AI78" s="184"/>
      <c r="AJ78" s="184">
        <f t="shared" ref="AJ78:AL78" si="10">AJ$76/$CE$76*18361</f>
        <v>619.87794253162429</v>
      </c>
      <c r="AK78" s="184">
        <f t="shared" si="10"/>
        <v>266.13990324202064</v>
      </c>
      <c r="AL78" s="184">
        <f t="shared" si="10"/>
        <v>141.94128172907767</v>
      </c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>
        <f t="shared" ref="BB78" si="11">BB$76/$CE$76*18361</f>
        <v>60.372727653514282</v>
      </c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f t="shared" ref="BV78" si="12">BV$76/$CE$76*18361</f>
        <v>60.757267320097178</v>
      </c>
      <c r="BW78" s="184"/>
      <c r="BX78" s="184"/>
      <c r="BY78" s="184">
        <f t="shared" ref="BY78" si="13">BY$76/$CE$76*18361</f>
        <v>33.070411326128841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11070.512461254924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>
        <v>2627</v>
      </c>
      <c r="F79" s="184"/>
      <c r="G79" s="184"/>
      <c r="H79" s="184"/>
      <c r="I79" s="184"/>
      <c r="J79" s="184"/>
      <c r="K79" s="184"/>
      <c r="L79" s="184">
        <f>145940-2627</f>
        <v>143313</v>
      </c>
      <c r="M79" s="184"/>
      <c r="N79" s="184"/>
      <c r="O79" s="184"/>
      <c r="P79" s="184">
        <v>9355</v>
      </c>
      <c r="Q79" s="184"/>
      <c r="R79" s="184"/>
      <c r="S79" s="184"/>
      <c r="T79" s="184"/>
      <c r="U79" s="184"/>
      <c r="V79" s="184"/>
      <c r="W79" s="184"/>
      <c r="X79" s="184"/>
      <c r="Y79" s="184">
        <v>3274</v>
      </c>
      <c r="Z79" s="184"/>
      <c r="AA79" s="184"/>
      <c r="AB79" s="184"/>
      <c r="AC79" s="184"/>
      <c r="AD79" s="184"/>
      <c r="AE79" s="184">
        <v>468</v>
      </c>
      <c r="AF79" s="184"/>
      <c r="AG79" s="184">
        <v>28065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187102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0.9</v>
      </c>
      <c r="F80" s="187"/>
      <c r="G80" s="187"/>
      <c r="H80" s="187"/>
      <c r="I80" s="187"/>
      <c r="J80" s="187"/>
      <c r="K80" s="187"/>
      <c r="L80" s="187">
        <v>49.04</v>
      </c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49.94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1269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1270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1271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/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1268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1275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47</v>
      </c>
      <c r="D111" s="174">
        <v>148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261</v>
      </c>
      <c r="D112" s="174">
        <v>8105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>
        <v>15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/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7635337.5300000003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19</v>
      </c>
      <c r="C138" s="189">
        <v>10</v>
      </c>
      <c r="D138" s="174">
        <v>18</v>
      </c>
      <c r="E138" s="175">
        <f>SUM(B138:D138)</f>
        <v>47</v>
      </c>
    </row>
    <row r="139" spans="1:6" ht="12.6" customHeight="1" x14ac:dyDescent="0.25">
      <c r="A139" s="173" t="s">
        <v>215</v>
      </c>
      <c r="B139" s="174">
        <v>62</v>
      </c>
      <c r="C139" s="189">
        <v>35</v>
      </c>
      <c r="D139" s="174">
        <v>51</v>
      </c>
      <c r="E139" s="175">
        <f>SUM(B139:D139)</f>
        <v>148</v>
      </c>
    </row>
    <row r="140" spans="1:6" ht="12.6" customHeight="1" x14ac:dyDescent="0.25">
      <c r="A140" s="173" t="s">
        <v>298</v>
      </c>
      <c r="B140" s="174">
        <v>7800</v>
      </c>
      <c r="C140" s="189">
        <v>4993</v>
      </c>
      <c r="D140" s="174">
        <v>18210</v>
      </c>
      <c r="E140" s="175">
        <f>SUM(B140:D140)</f>
        <v>31003</v>
      </c>
    </row>
    <row r="141" spans="1:6" ht="12.6" customHeight="1" x14ac:dyDescent="0.25">
      <c r="A141" s="173" t="s">
        <v>245</v>
      </c>
      <c r="B141" s="174">
        <v>206206.55</v>
      </c>
      <c r="C141" s="189">
        <v>143980.47</v>
      </c>
      <c r="D141" s="174">
        <v>211230.74</v>
      </c>
      <c r="E141" s="175">
        <f>SUM(B141:D141)</f>
        <v>561417.76</v>
      </c>
      <c r="F141" s="199"/>
    </row>
    <row r="142" spans="1:6" ht="12.6" customHeight="1" x14ac:dyDescent="0.25">
      <c r="A142" s="173" t="s">
        <v>246</v>
      </c>
      <c r="B142" s="174">
        <v>4466391.8600000003</v>
      </c>
      <c r="C142" s="189">
        <v>4009558.32</v>
      </c>
      <c r="D142" s="174">
        <v>11872579.24</v>
      </c>
      <c r="E142" s="175">
        <f>SUM(B142:D142)</f>
        <v>20348529.420000002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215</v>
      </c>
      <c r="C144" s="189">
        <v>1</v>
      </c>
      <c r="D144" s="174">
        <v>45</v>
      </c>
      <c r="E144" s="175">
        <f>SUM(B144:D144)</f>
        <v>261</v>
      </c>
    </row>
    <row r="145" spans="1:5" ht="12.6" customHeight="1" x14ac:dyDescent="0.25">
      <c r="A145" s="173" t="s">
        <v>215</v>
      </c>
      <c r="B145" s="174">
        <v>6271</v>
      </c>
      <c r="C145" s="189">
        <v>374</v>
      </c>
      <c r="D145" s="174">
        <v>1460</v>
      </c>
      <c r="E145" s="175">
        <f>SUM(B145:D145)</f>
        <v>8105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>
        <f>20822633.17</f>
        <v>20822633.170000002</v>
      </c>
      <c r="C147" s="189">
        <f>32732.7</f>
        <v>32732.7</v>
      </c>
      <c r="D147" s="174">
        <f>5424855.22-561418</f>
        <v>4863437.22</v>
      </c>
      <c r="E147" s="175">
        <f>SUM(B147:D147)</f>
        <v>25718803.09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215</v>
      </c>
      <c r="C150" s="189">
        <v>1</v>
      </c>
      <c r="D150" s="174">
        <v>45</v>
      </c>
      <c r="E150" s="175">
        <f>SUM(B150:D150)</f>
        <v>261</v>
      </c>
    </row>
    <row r="151" spans="1:5" ht="12.6" customHeight="1" x14ac:dyDescent="0.25">
      <c r="A151" s="173" t="s">
        <v>215</v>
      </c>
      <c r="B151" s="174">
        <v>6271</v>
      </c>
      <c r="C151" s="189">
        <v>374</v>
      </c>
      <c r="D151" s="174">
        <v>1460</v>
      </c>
      <c r="E151" s="175">
        <f>SUM(B151:D151)</f>
        <v>8105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3201615</v>
      </c>
      <c r="C157" s="174">
        <v>2885782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1152271.3999999999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82085.16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214136.42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170017.15+1346235.28+23537.29+118053.5</f>
        <v>1657843.22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22255.57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148819.32999999999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7802.16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1022.85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3286236.11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f>171761.74+50349.56</f>
        <v>222111.3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1766298.98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1988410.28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90700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f>177930.52-90700</f>
        <v>87230.51999999999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177930.52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73513.64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201475.04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274988.68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5811786.1600000001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5811786.1600000001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14631177.529999999</v>
      </c>
      <c r="C195" s="189"/>
      <c r="D195" s="174"/>
      <c r="E195" s="175">
        <f t="shared" ref="E195:E203" si="14">SUM(B195:C195)-D195</f>
        <v>14631177.529999999</v>
      </c>
    </row>
    <row r="196" spans="1:8" ht="12.6" customHeight="1" x14ac:dyDescent="0.25">
      <c r="A196" s="173" t="s">
        <v>333</v>
      </c>
      <c r="B196" s="174">
        <v>11952081.33</v>
      </c>
      <c r="C196" s="189">
        <v>3801</v>
      </c>
      <c r="D196" s="174"/>
      <c r="E196" s="175">
        <f t="shared" si="14"/>
        <v>11955882.33</v>
      </c>
    </row>
    <row r="197" spans="1:8" ht="12.6" customHeight="1" x14ac:dyDescent="0.25">
      <c r="A197" s="173" t="s">
        <v>334</v>
      </c>
      <c r="B197" s="174">
        <v>31769050.07</v>
      </c>
      <c r="C197" s="189">
        <v>5104.5</v>
      </c>
      <c r="D197" s="174"/>
      <c r="E197" s="175">
        <f t="shared" si="14"/>
        <v>31774154.57</v>
      </c>
    </row>
    <row r="198" spans="1:8" ht="12.6" customHeight="1" x14ac:dyDescent="0.25">
      <c r="A198" s="173" t="s">
        <v>335</v>
      </c>
      <c r="B198" s="174">
        <v>6064809.5199999996</v>
      </c>
      <c r="C198" s="189"/>
      <c r="D198" s="174"/>
      <c r="E198" s="175">
        <f t="shared" si="14"/>
        <v>6064809.5199999996</v>
      </c>
    </row>
    <row r="199" spans="1:8" ht="12.6" customHeight="1" x14ac:dyDescent="0.25">
      <c r="A199" s="173" t="s">
        <v>336</v>
      </c>
      <c r="B199" s="174">
        <v>6014831.3899999997</v>
      </c>
      <c r="C199" s="189"/>
      <c r="D199" s="174"/>
      <c r="E199" s="175">
        <f t="shared" si="14"/>
        <v>6014831.3899999997</v>
      </c>
    </row>
    <row r="200" spans="1:8" ht="12.6" customHeight="1" x14ac:dyDescent="0.25">
      <c r="A200" s="173" t="s">
        <v>337</v>
      </c>
      <c r="B200" s="174"/>
      <c r="C200" s="189"/>
      <c r="D200" s="174"/>
      <c r="E200" s="175">
        <f t="shared" si="14"/>
        <v>0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4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4"/>
        <v>0</v>
      </c>
    </row>
    <row r="203" spans="1:8" ht="12.6" customHeight="1" x14ac:dyDescent="0.25">
      <c r="A203" s="173" t="s">
        <v>340</v>
      </c>
      <c r="B203" s="174">
        <v>401251.78</v>
      </c>
      <c r="C203" s="189"/>
      <c r="D203" s="174"/>
      <c r="E203" s="175">
        <f t="shared" si="14"/>
        <v>401251.78</v>
      </c>
    </row>
    <row r="204" spans="1:8" ht="12.6" customHeight="1" x14ac:dyDescent="0.25">
      <c r="A204" s="173" t="s">
        <v>203</v>
      </c>
      <c r="B204" s="175">
        <f>SUM(B195:B203)</f>
        <v>70833201.620000005</v>
      </c>
      <c r="C204" s="191">
        <f>SUM(C195:C203)</f>
        <v>8905.5</v>
      </c>
      <c r="D204" s="175">
        <f>SUM(D195:D203)</f>
        <v>0</v>
      </c>
      <c r="E204" s="175">
        <f>SUM(E195:E203)</f>
        <v>70842107.120000005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1285170.25</v>
      </c>
      <c r="C209" s="189">
        <v>778356.24</v>
      </c>
      <c r="D209" s="174"/>
      <c r="E209" s="175">
        <f t="shared" ref="E209:E216" si="15">SUM(B209:C209)-D209</f>
        <v>2063526.49</v>
      </c>
      <c r="H209" s="259"/>
    </row>
    <row r="210" spans="1:8" ht="12.6" customHeight="1" x14ac:dyDescent="0.25">
      <c r="A210" s="173" t="s">
        <v>334</v>
      </c>
      <c r="B210" s="174">
        <v>3663683.05</v>
      </c>
      <c r="C210" s="189">
        <v>1669112.27</v>
      </c>
      <c r="D210" s="174"/>
      <c r="E210" s="175">
        <f t="shared" si="15"/>
        <v>5332795.32</v>
      </c>
      <c r="H210" s="259"/>
    </row>
    <row r="211" spans="1:8" ht="12.6" customHeight="1" x14ac:dyDescent="0.25">
      <c r="A211" s="173" t="s">
        <v>335</v>
      </c>
      <c r="B211" s="174">
        <v>705768.43</v>
      </c>
      <c r="C211" s="189">
        <v>423511.01</v>
      </c>
      <c r="D211" s="174"/>
      <c r="E211" s="175">
        <f t="shared" si="15"/>
        <v>1129279.44</v>
      </c>
      <c r="H211" s="259"/>
    </row>
    <row r="212" spans="1:8" ht="12.6" customHeight="1" x14ac:dyDescent="0.25">
      <c r="A212" s="173" t="s">
        <v>336</v>
      </c>
      <c r="B212" s="174">
        <v>3655294.33</v>
      </c>
      <c r="C212" s="189">
        <v>391300.87</v>
      </c>
      <c r="D212" s="174"/>
      <c r="E212" s="175">
        <f t="shared" si="15"/>
        <v>4046595.2</v>
      </c>
      <c r="H212" s="259"/>
    </row>
    <row r="213" spans="1:8" ht="12.6" customHeight="1" x14ac:dyDescent="0.25">
      <c r="A213" s="173" t="s">
        <v>337</v>
      </c>
      <c r="B213" s="174"/>
      <c r="C213" s="189"/>
      <c r="D213" s="174"/>
      <c r="E213" s="175">
        <f t="shared" si="15"/>
        <v>0</v>
      </c>
      <c r="H213" s="259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5"/>
        <v>0</v>
      </c>
      <c r="H214" s="259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5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5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9309916.0599999987</v>
      </c>
      <c r="C217" s="191">
        <f>SUM(C208:C216)</f>
        <v>3262280.3899999997</v>
      </c>
      <c r="D217" s="175">
        <f>SUM(D208:D216)</f>
        <v>0</v>
      </c>
      <c r="E217" s="175">
        <f>SUM(E208:E216)</f>
        <v>12572196.449999999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f>1553202+124852</f>
        <v>1678054</v>
      </c>
      <c r="D221" s="172">
        <f>C221</f>
        <v>1678054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1499314.78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1224398.2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527277.15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86076.27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1338127.75+1452449.38+2141786.44+2117065.95</f>
        <v>7049429.5200000005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10386495.92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61495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768578.33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830073.33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-36656.480000000003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-36656.480000000003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12857966.77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f>14726509.14-34665.62</f>
        <v>14691843.520000001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7577347.7699999996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3651546.32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f>10259+197176.84</f>
        <v>207435.84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f>101285.74+80650.77</f>
        <v>181936.51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167327.48000000001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51836.24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19226181.039999999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>
        <v>34665.620000000003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34665.620000000003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14631177.529999999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11955882.33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31774154.57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6064809.5199999996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6014831.3899999997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401251.78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70842107.120000005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f>E217</f>
        <v>12572196.449999999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58269910.670000002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2460038.4500000002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2460038.4500000002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79990795.780000001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638710.66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1924510.63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f>260270.73-25168.51</f>
        <v>235102.22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219249.7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3017573.2100000004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-82822.899999999994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-82822.899999999994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96273321.099999994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96273321.099999994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96273321.099999994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/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-19217275.359999999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79990796.049999997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79990795.780000001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26280221.09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f>46628750.51-26280221.09</f>
        <v>20348529.419999998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46628750.509999998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f>1553202+124852</f>
        <v>1678054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10349839.439999999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f>768578.53+61495</f>
        <v>830073.53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12857966.969999999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33770783.539999999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f>290525.06+46851.15</f>
        <v>337376.21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3673872.74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4011248.95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37782032.490000002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16685478.970000001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3286236.11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f>1063572.72+30522.57</f>
        <v>1094095.29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2503311.64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453425.91999999998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>97266.65+1750444.39</f>
        <v>1847711.0399999998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3262280.14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1988410.28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177930.52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73513.64+201475.04</f>
        <v>274988.68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5811786.1600000001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493166.69-73513.64-201475.04</f>
        <v>218178.00999999998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37603832.759999998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178199.73000000417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48892.09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227091.82000000417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227091.82000000417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Snoqualmie Valley Hospital   H-0     FYE 12/31/2017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47</v>
      </c>
      <c r="C414" s="194">
        <f>E138</f>
        <v>47</v>
      </c>
      <c r="D414" s="179"/>
    </row>
    <row r="415" spans="1:5" ht="12.6" customHeight="1" x14ac:dyDescent="0.25">
      <c r="A415" s="179" t="s">
        <v>464</v>
      </c>
      <c r="B415" s="179">
        <f>D111</f>
        <v>148</v>
      </c>
      <c r="C415" s="179">
        <f>E139</f>
        <v>148</v>
      </c>
      <c r="D415" s="194">
        <f>SUM(C59:H59)+N59</f>
        <v>148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261</v>
      </c>
      <c r="C417" s="194">
        <f>E144</f>
        <v>261</v>
      </c>
      <c r="D417" s="179"/>
    </row>
    <row r="418" spans="1:7" ht="12.6" customHeight="1" x14ac:dyDescent="0.25">
      <c r="A418" s="179" t="s">
        <v>466</v>
      </c>
      <c r="B418" s="179">
        <f>D112</f>
        <v>8105</v>
      </c>
      <c r="C418" s="179">
        <f>E145</f>
        <v>8105</v>
      </c>
      <c r="D418" s="179">
        <f>K59+L59</f>
        <v>8105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261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8105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6">C378</f>
        <v>16685478.970000001</v>
      </c>
      <c r="C427" s="179">
        <f t="shared" ref="C427:C434" si="17">CE61</f>
        <v>16685478.970000004</v>
      </c>
      <c r="D427" s="179"/>
    </row>
    <row r="428" spans="1:7" ht="12.6" customHeight="1" x14ac:dyDescent="0.25">
      <c r="A428" s="179" t="s">
        <v>3</v>
      </c>
      <c r="B428" s="179">
        <f t="shared" si="16"/>
        <v>3286236.11</v>
      </c>
      <c r="C428" s="179">
        <f t="shared" si="17"/>
        <v>3286235</v>
      </c>
      <c r="D428" s="179">
        <f>D173</f>
        <v>3286236.11</v>
      </c>
    </row>
    <row r="429" spans="1:7" ht="12.6" customHeight="1" x14ac:dyDescent="0.25">
      <c r="A429" s="179" t="s">
        <v>236</v>
      </c>
      <c r="B429" s="179">
        <f t="shared" si="16"/>
        <v>1094095.29</v>
      </c>
      <c r="C429" s="179">
        <f t="shared" si="17"/>
        <v>1094095.5900000001</v>
      </c>
      <c r="D429" s="179"/>
    </row>
    <row r="430" spans="1:7" ht="12.6" customHeight="1" x14ac:dyDescent="0.25">
      <c r="A430" s="179" t="s">
        <v>237</v>
      </c>
      <c r="B430" s="179">
        <f t="shared" si="16"/>
        <v>2503311.64</v>
      </c>
      <c r="C430" s="179">
        <f t="shared" si="17"/>
        <v>2503311.6399999997</v>
      </c>
      <c r="D430" s="179"/>
    </row>
    <row r="431" spans="1:7" ht="12.6" customHeight="1" x14ac:dyDescent="0.25">
      <c r="A431" s="179" t="s">
        <v>444</v>
      </c>
      <c r="B431" s="179">
        <f t="shared" si="16"/>
        <v>453425.91999999998</v>
      </c>
      <c r="C431" s="179">
        <f t="shared" si="17"/>
        <v>453425.91999999998</v>
      </c>
      <c r="D431" s="179"/>
    </row>
    <row r="432" spans="1:7" ht="12.6" customHeight="1" x14ac:dyDescent="0.25">
      <c r="A432" s="179" t="s">
        <v>445</v>
      </c>
      <c r="B432" s="179">
        <f t="shared" si="16"/>
        <v>1847711.0399999998</v>
      </c>
      <c r="C432" s="179">
        <f t="shared" si="17"/>
        <v>1847710.9299999997</v>
      </c>
      <c r="D432" s="179"/>
    </row>
    <row r="433" spans="1:7" ht="12.6" customHeight="1" x14ac:dyDescent="0.25">
      <c r="A433" s="179" t="s">
        <v>6</v>
      </c>
      <c r="B433" s="179">
        <f t="shared" si="16"/>
        <v>3262280.14</v>
      </c>
      <c r="C433" s="179">
        <f t="shared" si="17"/>
        <v>3262280</v>
      </c>
      <c r="D433" s="179">
        <f>C217</f>
        <v>3262280.3899999997</v>
      </c>
    </row>
    <row r="434" spans="1:7" ht="12.6" customHeight="1" x14ac:dyDescent="0.25">
      <c r="A434" s="179" t="s">
        <v>474</v>
      </c>
      <c r="B434" s="179">
        <f t="shared" si="16"/>
        <v>1988410.28</v>
      </c>
      <c r="C434" s="179">
        <f t="shared" si="17"/>
        <v>1988410.2799999998</v>
      </c>
      <c r="D434" s="179">
        <f>D177</f>
        <v>1988410.28</v>
      </c>
    </row>
    <row r="435" spans="1:7" ht="12.6" customHeight="1" x14ac:dyDescent="0.25">
      <c r="A435" s="179" t="s">
        <v>447</v>
      </c>
      <c r="B435" s="179">
        <f t="shared" si="16"/>
        <v>177930.52</v>
      </c>
      <c r="C435" s="179"/>
      <c r="D435" s="179">
        <f>D181</f>
        <v>177930.52</v>
      </c>
    </row>
    <row r="436" spans="1:7" ht="12.6" customHeight="1" x14ac:dyDescent="0.25">
      <c r="A436" s="179" t="s">
        <v>475</v>
      </c>
      <c r="B436" s="179">
        <f t="shared" si="16"/>
        <v>274988.68</v>
      </c>
      <c r="C436" s="179"/>
      <c r="D436" s="179">
        <f>D186</f>
        <v>274988.68</v>
      </c>
    </row>
    <row r="437" spans="1:7" ht="12.6" customHeight="1" x14ac:dyDescent="0.25">
      <c r="A437" s="194" t="s">
        <v>449</v>
      </c>
      <c r="B437" s="194">
        <f t="shared" si="16"/>
        <v>5811786.1600000001</v>
      </c>
      <c r="C437" s="194"/>
      <c r="D437" s="194">
        <f>D190</f>
        <v>5811786.1600000001</v>
      </c>
    </row>
    <row r="438" spans="1:7" ht="12.6" customHeight="1" x14ac:dyDescent="0.25">
      <c r="A438" s="194" t="s">
        <v>476</v>
      </c>
      <c r="B438" s="194">
        <f>C386+C387+C388</f>
        <v>6264705.3600000003</v>
      </c>
      <c r="C438" s="194">
        <f>CD69</f>
        <v>6013261.7599999979</v>
      </c>
      <c r="D438" s="194">
        <f>D181+D186+D190</f>
        <v>6264705.3600000003</v>
      </c>
    </row>
    <row r="439" spans="1:7" ht="12.6" customHeight="1" x14ac:dyDescent="0.25">
      <c r="A439" s="179" t="s">
        <v>451</v>
      </c>
      <c r="B439" s="194">
        <f>C389</f>
        <v>218178.00999999998</v>
      </c>
      <c r="C439" s="194">
        <f>SUM(C69:CC69)</f>
        <v>469622.16999999993</v>
      </c>
      <c r="D439" s="179"/>
    </row>
    <row r="440" spans="1:7" ht="12.6" customHeight="1" x14ac:dyDescent="0.25">
      <c r="A440" s="179" t="s">
        <v>477</v>
      </c>
      <c r="B440" s="194">
        <f>B438+B439</f>
        <v>6482883.3700000001</v>
      </c>
      <c r="C440" s="194">
        <f>CE69</f>
        <v>6482883.9299999978</v>
      </c>
      <c r="D440" s="179"/>
    </row>
    <row r="441" spans="1:7" ht="12.6" customHeight="1" x14ac:dyDescent="0.25">
      <c r="A441" s="179" t="s">
        <v>478</v>
      </c>
      <c r="B441" s="179">
        <f>D390</f>
        <v>37603832.759999998</v>
      </c>
      <c r="C441" s="179">
        <f>SUM(C427:C437)+C440</f>
        <v>37603832.260000005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1678054</v>
      </c>
      <c r="C444" s="179">
        <f>C363</f>
        <v>1678054</v>
      </c>
      <c r="D444" s="179"/>
    </row>
    <row r="445" spans="1:7" ht="12.6" customHeight="1" x14ac:dyDescent="0.25">
      <c r="A445" s="179" t="s">
        <v>343</v>
      </c>
      <c r="B445" s="179">
        <f>D229</f>
        <v>10386495.92</v>
      </c>
      <c r="C445" s="179">
        <f>C364</f>
        <v>10349839.439999999</v>
      </c>
      <c r="D445" s="179"/>
    </row>
    <row r="446" spans="1:7" ht="12.6" customHeight="1" x14ac:dyDescent="0.25">
      <c r="A446" s="179" t="s">
        <v>351</v>
      </c>
      <c r="B446" s="179">
        <f>D236</f>
        <v>830073.33</v>
      </c>
      <c r="C446" s="179">
        <f>C365</f>
        <v>830073.53</v>
      </c>
      <c r="D446" s="179"/>
    </row>
    <row r="447" spans="1:7" ht="12.6" customHeight="1" x14ac:dyDescent="0.25">
      <c r="A447" s="179" t="s">
        <v>356</v>
      </c>
      <c r="B447" s="179">
        <f>D240</f>
        <v>-36656.480000000003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12857966.77</v>
      </c>
      <c r="C448" s="179">
        <f>D367</f>
        <v>12857966.969999999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61495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768578.33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337376.21</v>
      </c>
      <c r="C458" s="194">
        <f>CE70</f>
        <v>0</v>
      </c>
      <c r="D458" s="194"/>
    </row>
    <row r="459" spans="1:7" ht="12.6" customHeight="1" x14ac:dyDescent="0.25">
      <c r="A459" s="179" t="s">
        <v>244</v>
      </c>
      <c r="B459" s="194">
        <f>C371</f>
        <v>3673872.74</v>
      </c>
      <c r="C459" s="194">
        <f>CE72</f>
        <v>3673872.74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26280221.09</v>
      </c>
      <c r="C463" s="194">
        <f>CE73</f>
        <v>26280221.089999992</v>
      </c>
      <c r="D463" s="194">
        <f>E141+E147+E153</f>
        <v>26280220.850000001</v>
      </c>
    </row>
    <row r="464" spans="1:7" ht="12.6" customHeight="1" x14ac:dyDescent="0.25">
      <c r="A464" s="179" t="s">
        <v>246</v>
      </c>
      <c r="B464" s="194">
        <f>C360</f>
        <v>20348529.419999998</v>
      </c>
      <c r="C464" s="194">
        <f>CE74</f>
        <v>20348529.419999998</v>
      </c>
      <c r="D464" s="194">
        <f>E142+E148+E154</f>
        <v>20348529.420000002</v>
      </c>
    </row>
    <row r="465" spans="1:7" ht="12.6" customHeight="1" x14ac:dyDescent="0.25">
      <c r="A465" s="179" t="s">
        <v>247</v>
      </c>
      <c r="B465" s="194">
        <f>D361</f>
        <v>46628750.509999998</v>
      </c>
      <c r="C465" s="194">
        <f>CE75</f>
        <v>46628750.50999999</v>
      </c>
      <c r="D465" s="194">
        <f>D463+D464</f>
        <v>46628750.270000003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8">C267</f>
        <v>14631177.529999999</v>
      </c>
      <c r="C468" s="179">
        <f>E195</f>
        <v>14631177.529999999</v>
      </c>
      <c r="D468" s="179"/>
    </row>
    <row r="469" spans="1:7" ht="12.6" customHeight="1" x14ac:dyDescent="0.25">
      <c r="A469" s="179" t="s">
        <v>333</v>
      </c>
      <c r="B469" s="179">
        <f t="shared" si="18"/>
        <v>11955882.33</v>
      </c>
      <c r="C469" s="179">
        <f>E196</f>
        <v>11955882.33</v>
      </c>
      <c r="D469" s="179"/>
    </row>
    <row r="470" spans="1:7" ht="12.6" customHeight="1" x14ac:dyDescent="0.25">
      <c r="A470" s="179" t="s">
        <v>334</v>
      </c>
      <c r="B470" s="179">
        <f t="shared" si="18"/>
        <v>31774154.57</v>
      </c>
      <c r="C470" s="179">
        <f>E197</f>
        <v>31774154.57</v>
      </c>
      <c r="D470" s="179"/>
    </row>
    <row r="471" spans="1:7" ht="12.6" customHeight="1" x14ac:dyDescent="0.25">
      <c r="A471" s="179" t="s">
        <v>494</v>
      </c>
      <c r="B471" s="179">
        <f t="shared" si="18"/>
        <v>6064809.5199999996</v>
      </c>
      <c r="C471" s="179">
        <f>E198</f>
        <v>6064809.5199999996</v>
      </c>
      <c r="D471" s="179"/>
    </row>
    <row r="472" spans="1:7" ht="12.6" customHeight="1" x14ac:dyDescent="0.25">
      <c r="A472" s="179" t="s">
        <v>377</v>
      </c>
      <c r="B472" s="179">
        <f t="shared" si="18"/>
        <v>0</v>
      </c>
      <c r="C472" s="179">
        <f>E199</f>
        <v>6014831.3899999997</v>
      </c>
      <c r="D472" s="179"/>
    </row>
    <row r="473" spans="1:7" ht="12.6" customHeight="1" x14ac:dyDescent="0.25">
      <c r="A473" s="179" t="s">
        <v>495</v>
      </c>
      <c r="B473" s="179">
        <f t="shared" si="18"/>
        <v>6014831.3899999997</v>
      </c>
      <c r="C473" s="179">
        <f>SUM(E200:E201)</f>
        <v>0</v>
      </c>
      <c r="D473" s="179"/>
    </row>
    <row r="474" spans="1:7" ht="12.6" customHeight="1" x14ac:dyDescent="0.25">
      <c r="A474" s="179" t="s">
        <v>339</v>
      </c>
      <c r="B474" s="179">
        <f t="shared" si="18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8"/>
        <v>401251.78</v>
      </c>
      <c r="C475" s="179">
        <f>E203</f>
        <v>401251.78</v>
      </c>
      <c r="D475" s="179"/>
    </row>
    <row r="476" spans="1:7" ht="12.6" customHeight="1" x14ac:dyDescent="0.25">
      <c r="A476" s="179" t="s">
        <v>203</v>
      </c>
      <c r="B476" s="179">
        <f>D275</f>
        <v>70842107.120000005</v>
      </c>
      <c r="C476" s="179">
        <f>E204</f>
        <v>70842107.120000005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12572196.449999999</v>
      </c>
      <c r="C478" s="179">
        <f>E217</f>
        <v>12572196.449999999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79990795.780000001</v>
      </c>
    </row>
    <row r="482" spans="1:12" ht="12.6" customHeight="1" x14ac:dyDescent="0.25">
      <c r="A482" s="180" t="s">
        <v>499</v>
      </c>
      <c r="C482" s="180">
        <f>D339</f>
        <v>79990796.049999997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Snoqualmie Valley Hospital   H-0     FYE 12/31/2017</v>
      </c>
      <c r="B493" s="261" t="s">
        <v>1266</v>
      </c>
      <c r="C493" s="261" t="str">
        <f>RIGHT(C82,4)</f>
        <v>2017</v>
      </c>
      <c r="D493" s="261" t="s">
        <v>1266</v>
      </c>
      <c r="E493" s="261" t="str">
        <f>RIGHT(C82,4)</f>
        <v>2017</v>
      </c>
      <c r="F493" s="261" t="s">
        <v>1266</v>
      </c>
      <c r="G493" s="261" t="str">
        <f>RIGHT(C82,4)</f>
        <v>2017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0</v>
      </c>
      <c r="C496" s="240">
        <f>C71</f>
        <v>0</v>
      </c>
      <c r="D496" s="240">
        <v>0</v>
      </c>
      <c r="E496" s="180">
        <f>C59</f>
        <v>0</v>
      </c>
      <c r="F496" s="263" t="str">
        <f t="shared" ref="F496:G511" si="19">IF(B496=0,"",IF(D496=0,"",B496/D496))</f>
        <v/>
      </c>
      <c r="G496" s="264" t="str">
        <f t="shared" si="19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9"/>
        <v/>
      </c>
      <c r="G497" s="263" t="str">
        <f t="shared" si="19"/>
        <v/>
      </c>
      <c r="H497" s="265" t="str">
        <f t="shared" ref="H497:H550" si="20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371367.13</v>
      </c>
      <c r="C498" s="240">
        <f>E71</f>
        <v>267197</v>
      </c>
      <c r="D498" s="240">
        <v>211</v>
      </c>
      <c r="E498" s="180">
        <f>E59</f>
        <v>148</v>
      </c>
      <c r="F498" s="263">
        <f t="shared" si="19"/>
        <v>1760.0337914691943</v>
      </c>
      <c r="G498" s="263">
        <f t="shared" si="19"/>
        <v>1805.3851351351352</v>
      </c>
      <c r="H498" s="265" t="str">
        <f t="shared" si="20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9"/>
        <v/>
      </c>
      <c r="G499" s="263" t="str">
        <f t="shared" si="19"/>
        <v/>
      </c>
      <c r="H499" s="265" t="str">
        <f t="shared" si="20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9"/>
        <v/>
      </c>
      <c r="G500" s="263" t="str">
        <f t="shared" si="19"/>
        <v/>
      </c>
      <c r="H500" s="265" t="str">
        <f t="shared" si="20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9"/>
        <v/>
      </c>
      <c r="G501" s="263" t="str">
        <f t="shared" si="19"/>
        <v/>
      </c>
      <c r="H501" s="265" t="str">
        <f t="shared" si="20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9"/>
        <v/>
      </c>
      <c r="G502" s="263" t="str">
        <f t="shared" si="19"/>
        <v/>
      </c>
      <c r="H502" s="265" t="str">
        <f t="shared" si="20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9"/>
        <v/>
      </c>
      <c r="G503" s="263" t="str">
        <f t="shared" si="19"/>
        <v/>
      </c>
      <c r="H503" s="265" t="str">
        <f t="shared" si="20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9"/>
        <v/>
      </c>
      <c r="G504" s="263" t="str">
        <f t="shared" si="19"/>
        <v/>
      </c>
      <c r="H504" s="265" t="str">
        <f t="shared" si="20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6798085.0999999996</v>
      </c>
      <c r="C505" s="240">
        <f>L71</f>
        <v>5725810.46</v>
      </c>
      <c r="D505" s="240">
        <v>8002</v>
      </c>
      <c r="E505" s="180">
        <f>L59</f>
        <v>8105</v>
      </c>
      <c r="F505" s="263">
        <f t="shared" si="19"/>
        <v>849.54825043739061</v>
      </c>
      <c r="G505" s="263">
        <f t="shared" si="19"/>
        <v>706.45409747069709</v>
      </c>
      <c r="H505" s="265" t="str">
        <f t="shared" si="20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9"/>
        <v/>
      </c>
      <c r="G506" s="263" t="str">
        <f t="shared" si="19"/>
        <v/>
      </c>
      <c r="H506" s="265" t="str">
        <f t="shared" si="20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770220.37</v>
      </c>
      <c r="D507" s="240">
        <v>0</v>
      </c>
      <c r="E507" s="180">
        <f>N59</f>
        <v>0</v>
      </c>
      <c r="F507" s="263" t="str">
        <f t="shared" si="19"/>
        <v/>
      </c>
      <c r="G507" s="263" t="str">
        <f t="shared" si="19"/>
        <v/>
      </c>
      <c r="H507" s="265" t="str">
        <f t="shared" si="20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0</v>
      </c>
      <c r="C508" s="240">
        <f>O71</f>
        <v>0</v>
      </c>
      <c r="D508" s="240">
        <v>0</v>
      </c>
      <c r="E508" s="180">
        <f>O59</f>
        <v>0</v>
      </c>
      <c r="F508" s="263" t="str">
        <f t="shared" si="19"/>
        <v/>
      </c>
      <c r="G508" s="263" t="str">
        <f t="shared" si="19"/>
        <v/>
      </c>
      <c r="H508" s="265" t="str">
        <f t="shared" si="20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278779.61999999994</v>
      </c>
      <c r="C509" s="240">
        <f>P71</f>
        <v>260260.16999999998</v>
      </c>
      <c r="D509" s="240">
        <v>13230</v>
      </c>
      <c r="E509" s="180">
        <f>P59</f>
        <v>14580</v>
      </c>
      <c r="F509" s="263">
        <f t="shared" si="19"/>
        <v>21.071777777777772</v>
      </c>
      <c r="G509" s="263">
        <f t="shared" si="19"/>
        <v>17.850491769547325</v>
      </c>
      <c r="H509" s="265" t="str">
        <f t="shared" si="20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0</v>
      </c>
      <c r="C510" s="240">
        <f>Q71</f>
        <v>0</v>
      </c>
      <c r="D510" s="240">
        <v>0</v>
      </c>
      <c r="E510" s="180">
        <f>Q59</f>
        <v>0</v>
      </c>
      <c r="F510" s="263" t="str">
        <f t="shared" si="19"/>
        <v/>
      </c>
      <c r="G510" s="263" t="str">
        <f t="shared" si="19"/>
        <v/>
      </c>
      <c r="H510" s="265" t="str">
        <f t="shared" si="20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0</v>
      </c>
      <c r="C511" s="240">
        <f>R71</f>
        <v>0</v>
      </c>
      <c r="D511" s="240">
        <v>0</v>
      </c>
      <c r="E511" s="180">
        <f>R59</f>
        <v>0</v>
      </c>
      <c r="F511" s="263" t="str">
        <f t="shared" si="19"/>
        <v/>
      </c>
      <c r="G511" s="263" t="str">
        <f t="shared" si="19"/>
        <v/>
      </c>
      <c r="H511" s="265" t="str">
        <f t="shared" si="20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-13658.340000000033</v>
      </c>
      <c r="C512" s="240">
        <f>S71</f>
        <v>381761</v>
      </c>
      <c r="D512" s="181" t="s">
        <v>529</v>
      </c>
      <c r="E512" s="181" t="s">
        <v>529</v>
      </c>
      <c r="F512" s="263" t="str">
        <f t="shared" ref="F512:G527" si="21">IF(B512=0,"",IF(D512=0,"",B512/D512))</f>
        <v/>
      </c>
      <c r="G512" s="263" t="str">
        <f t="shared" si="21"/>
        <v/>
      </c>
      <c r="H512" s="265" t="str">
        <f t="shared" si="20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21"/>
        <v/>
      </c>
      <c r="G513" s="263" t="str">
        <f t="shared" si="21"/>
        <v/>
      </c>
      <c r="H513" s="265" t="str">
        <f t="shared" si="20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1558082.7999999998</v>
      </c>
      <c r="C514" s="240">
        <f>U71</f>
        <v>1391516.09</v>
      </c>
      <c r="D514" s="240">
        <v>45641</v>
      </c>
      <c r="E514" s="180">
        <f>U59</f>
        <v>42614</v>
      </c>
      <c r="F514" s="263">
        <f t="shared" si="21"/>
        <v>34.137788392015949</v>
      </c>
      <c r="G514" s="263">
        <f t="shared" si="21"/>
        <v>32.653965598160234</v>
      </c>
      <c r="H514" s="265" t="str">
        <f t="shared" si="20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0</v>
      </c>
      <c r="C515" s="240">
        <f>V71</f>
        <v>0</v>
      </c>
      <c r="D515" s="240">
        <v>0</v>
      </c>
      <c r="E515" s="180">
        <f>V59</f>
        <v>0</v>
      </c>
      <c r="F515" s="263" t="str">
        <f t="shared" si="21"/>
        <v/>
      </c>
      <c r="G515" s="263" t="str">
        <f t="shared" si="21"/>
        <v/>
      </c>
      <c r="H515" s="265" t="str">
        <f t="shared" si="20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266353.07</v>
      </c>
      <c r="C516" s="240">
        <f>W71</f>
        <v>259430.55</v>
      </c>
      <c r="D516" s="240">
        <v>0</v>
      </c>
      <c r="E516" s="180">
        <f>W59</f>
        <v>0</v>
      </c>
      <c r="F516" s="263" t="str">
        <f t="shared" si="21"/>
        <v/>
      </c>
      <c r="G516" s="263" t="str">
        <f t="shared" si="21"/>
        <v/>
      </c>
      <c r="H516" s="265" t="str">
        <f t="shared" si="20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249345.68</v>
      </c>
      <c r="C517" s="240">
        <f>X71</f>
        <v>272878.5</v>
      </c>
      <c r="D517" s="240">
        <v>0</v>
      </c>
      <c r="E517" s="180">
        <f>X59</f>
        <v>0</v>
      </c>
      <c r="F517" s="263" t="str">
        <f t="shared" si="21"/>
        <v/>
      </c>
      <c r="G517" s="263" t="str">
        <f t="shared" si="21"/>
        <v/>
      </c>
      <c r="H517" s="265" t="str">
        <f t="shared" si="20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976142.03999999992</v>
      </c>
      <c r="C518" s="240">
        <f>Y71</f>
        <v>1033758.02</v>
      </c>
      <c r="D518" s="240">
        <v>0</v>
      </c>
      <c r="E518" s="180">
        <f>Y59</f>
        <v>0</v>
      </c>
      <c r="F518" s="263" t="str">
        <f t="shared" si="21"/>
        <v/>
      </c>
      <c r="G518" s="263" t="str">
        <f t="shared" si="21"/>
        <v/>
      </c>
      <c r="H518" s="265" t="str">
        <f t="shared" si="20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21"/>
        <v/>
      </c>
      <c r="G519" s="263" t="str">
        <f t="shared" si="21"/>
        <v/>
      </c>
      <c r="H519" s="265" t="str">
        <f t="shared" si="20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0</v>
      </c>
      <c r="C520" s="240">
        <f>AA71</f>
        <v>0</v>
      </c>
      <c r="D520" s="240">
        <v>0</v>
      </c>
      <c r="E520" s="180">
        <f>AA59</f>
        <v>0</v>
      </c>
      <c r="F520" s="263" t="str">
        <f t="shared" si="21"/>
        <v/>
      </c>
      <c r="G520" s="263" t="str">
        <f t="shared" si="21"/>
        <v/>
      </c>
      <c r="H520" s="265" t="str">
        <f t="shared" si="20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1434871.52</v>
      </c>
      <c r="C521" s="240">
        <f>AB71</f>
        <v>1422361.18</v>
      </c>
      <c r="D521" s="181" t="s">
        <v>529</v>
      </c>
      <c r="E521" s="181" t="s">
        <v>529</v>
      </c>
      <c r="F521" s="263" t="str">
        <f t="shared" si="21"/>
        <v/>
      </c>
      <c r="G521" s="263" t="str">
        <f t="shared" si="21"/>
        <v/>
      </c>
      <c r="H521" s="265" t="str">
        <f t="shared" si="20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0</v>
      </c>
      <c r="C522" s="240">
        <f>AC71</f>
        <v>0</v>
      </c>
      <c r="D522" s="240">
        <v>0</v>
      </c>
      <c r="E522" s="180">
        <f>AC59</f>
        <v>0</v>
      </c>
      <c r="F522" s="263" t="str">
        <f t="shared" si="21"/>
        <v/>
      </c>
      <c r="G522" s="263" t="str">
        <f t="shared" si="21"/>
        <v/>
      </c>
      <c r="H522" s="265" t="str">
        <f t="shared" si="20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0</v>
      </c>
      <c r="C523" s="240">
        <f>AD71</f>
        <v>0</v>
      </c>
      <c r="D523" s="240">
        <v>0</v>
      </c>
      <c r="E523" s="180">
        <f>AD59</f>
        <v>0</v>
      </c>
      <c r="F523" s="263" t="str">
        <f t="shared" si="21"/>
        <v/>
      </c>
      <c r="G523" s="263" t="str">
        <f t="shared" si="21"/>
        <v/>
      </c>
      <c r="H523" s="265" t="str">
        <f t="shared" si="20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870424.22</v>
      </c>
      <c r="C524" s="240">
        <f>AE71</f>
        <v>896010.80999999994</v>
      </c>
      <c r="D524" s="240">
        <v>16196</v>
      </c>
      <c r="E524" s="180">
        <f>AE59</f>
        <v>16529</v>
      </c>
      <c r="F524" s="263">
        <f t="shared" si="21"/>
        <v>53.743160039515928</v>
      </c>
      <c r="G524" s="263">
        <f t="shared" si="21"/>
        <v>54.208410067154695</v>
      </c>
      <c r="H524" s="265" t="str">
        <f t="shared" si="20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21"/>
        <v/>
      </c>
      <c r="G525" s="263" t="str">
        <f t="shared" si="21"/>
        <v/>
      </c>
      <c r="H525" s="265" t="str">
        <f t="shared" si="20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2949434.32</v>
      </c>
      <c r="C526" s="240">
        <f>AG71</f>
        <v>2902208.8799999994</v>
      </c>
      <c r="D526" s="240">
        <v>3845</v>
      </c>
      <c r="E526" s="180">
        <f>AG59</f>
        <v>3920</v>
      </c>
      <c r="F526" s="263">
        <f t="shared" si="21"/>
        <v>767.08304811443429</v>
      </c>
      <c r="G526" s="263">
        <f t="shared" si="21"/>
        <v>740.35940816326513</v>
      </c>
      <c r="H526" s="265" t="str">
        <f t="shared" si="20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21"/>
        <v/>
      </c>
      <c r="G527" s="263" t="str">
        <f t="shared" si="21"/>
        <v/>
      </c>
      <c r="H527" s="265" t="str">
        <f t="shared" si="20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22">IF(B528=0,"",IF(D528=0,"",B528/D528))</f>
        <v/>
      </c>
      <c r="G528" s="263" t="str">
        <f t="shared" si="22"/>
        <v/>
      </c>
      <c r="H528" s="265" t="str">
        <f t="shared" si="20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1649778.51</v>
      </c>
      <c r="C529" s="240">
        <f>AJ71</f>
        <v>1620239.44</v>
      </c>
      <c r="D529" s="240">
        <v>4681</v>
      </c>
      <c r="E529" s="180">
        <f>AJ59</f>
        <v>6160</v>
      </c>
      <c r="F529" s="263">
        <f t="shared" si="22"/>
        <v>352.44146763512072</v>
      </c>
      <c r="G529" s="263">
        <f t="shared" si="22"/>
        <v>263.02588311688311</v>
      </c>
      <c r="H529" s="265">
        <f t="shared" si="20"/>
        <v>-0.25370335993155235</v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531206.50000000012</v>
      </c>
      <c r="C530" s="240">
        <f>AK71</f>
        <v>545927.15</v>
      </c>
      <c r="D530" s="240">
        <v>11462</v>
      </c>
      <c r="E530" s="180">
        <f>AK59</f>
        <v>11439</v>
      </c>
      <c r="F530" s="263">
        <f t="shared" si="22"/>
        <v>46.345009596928996</v>
      </c>
      <c r="G530" s="263">
        <f t="shared" si="22"/>
        <v>47.72507649270041</v>
      </c>
      <c r="H530" s="265" t="str">
        <f t="shared" si="20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213148.61000000002</v>
      </c>
      <c r="C531" s="240">
        <f>AL71</f>
        <v>243985.02</v>
      </c>
      <c r="D531" s="240">
        <v>3312</v>
      </c>
      <c r="E531" s="180">
        <f>AL59</f>
        <v>3717</v>
      </c>
      <c r="F531" s="263">
        <f t="shared" si="22"/>
        <v>64.356464371980678</v>
      </c>
      <c r="G531" s="263">
        <f t="shared" si="22"/>
        <v>65.640306698950766</v>
      </c>
      <c r="H531" s="265" t="str">
        <f t="shared" si="20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91354.89</v>
      </c>
      <c r="C532" s="240">
        <f>AM71</f>
        <v>322162.02</v>
      </c>
      <c r="D532" s="240">
        <v>0</v>
      </c>
      <c r="E532" s="180">
        <f>AM59</f>
        <v>0</v>
      </c>
      <c r="F532" s="263" t="str">
        <f t="shared" si="22"/>
        <v/>
      </c>
      <c r="G532" s="263" t="str">
        <f t="shared" si="22"/>
        <v/>
      </c>
      <c r="H532" s="265" t="str">
        <f t="shared" si="20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22"/>
        <v/>
      </c>
      <c r="G533" s="263" t="str">
        <f t="shared" si="22"/>
        <v/>
      </c>
      <c r="H533" s="265" t="str">
        <f t="shared" si="20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22"/>
        <v/>
      </c>
      <c r="G534" s="263" t="str">
        <f t="shared" si="22"/>
        <v/>
      </c>
      <c r="H534" s="265" t="str">
        <f t="shared" si="20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2631447.94</v>
      </c>
      <c r="C535" s="240">
        <f>AP71</f>
        <v>2550424.38</v>
      </c>
      <c r="D535" s="240">
        <v>17848</v>
      </c>
      <c r="E535" s="180">
        <f>AP59</f>
        <v>11814</v>
      </c>
      <c r="F535" s="263">
        <f t="shared" si="22"/>
        <v>147.43657216494844</v>
      </c>
      <c r="G535" s="263">
        <f t="shared" si="22"/>
        <v>215.88152869476892</v>
      </c>
      <c r="H535" s="265">
        <f t="shared" si="20"/>
        <v>0.46423323280499162</v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22"/>
        <v/>
      </c>
      <c r="G536" s="263" t="str">
        <f t="shared" si="22"/>
        <v/>
      </c>
      <c r="H536" s="265" t="str">
        <f t="shared" si="20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22"/>
        <v/>
      </c>
      <c r="G537" s="263" t="str">
        <f t="shared" si="22"/>
        <v/>
      </c>
      <c r="H537" s="265" t="str">
        <f t="shared" si="20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22"/>
        <v/>
      </c>
      <c r="G538" s="263" t="str">
        <f t="shared" si="22"/>
        <v/>
      </c>
      <c r="H538" s="265" t="str">
        <f t="shared" si="20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22"/>
        <v/>
      </c>
      <c r="G539" s="263" t="str">
        <f t="shared" si="22"/>
        <v/>
      </c>
      <c r="H539" s="265" t="str">
        <f t="shared" si="20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22"/>
        <v/>
      </c>
      <c r="G540" s="263" t="str">
        <f t="shared" si="22"/>
        <v/>
      </c>
      <c r="H540" s="265" t="str">
        <f t="shared" si="20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81131.75</v>
      </c>
      <c r="C541" s="240">
        <f>AV71</f>
        <v>232709.46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1013972.64</v>
      </c>
      <c r="C544" s="240">
        <f>AY71</f>
        <v>1128538.8699999999</v>
      </c>
      <c r="D544" s="240">
        <v>24639</v>
      </c>
      <c r="E544" s="180">
        <f>AY59</f>
        <v>24759</v>
      </c>
      <c r="F544" s="263">
        <f t="shared" ref="F544:G550" si="23">IF(B544=0,"",IF(D544=0,"",B544/D544))</f>
        <v>41.153157189821016</v>
      </c>
      <c r="G544" s="263">
        <f t="shared" si="23"/>
        <v>45.580955208207115</v>
      </c>
      <c r="H544" s="265" t="str">
        <f t="shared" si="20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50729</v>
      </c>
      <c r="C545" s="240">
        <f>AZ71</f>
        <v>50354</v>
      </c>
      <c r="D545" s="240">
        <v>0</v>
      </c>
      <c r="E545" s="180">
        <f>AZ59</f>
        <v>0</v>
      </c>
      <c r="F545" s="263" t="str">
        <f t="shared" si="23"/>
        <v/>
      </c>
      <c r="G545" s="263" t="str">
        <f t="shared" si="23"/>
        <v/>
      </c>
      <c r="H545" s="265" t="str">
        <f t="shared" si="20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0</v>
      </c>
      <c r="C546" s="240">
        <f>BA71</f>
        <v>0</v>
      </c>
      <c r="D546" s="240">
        <v>0</v>
      </c>
      <c r="E546" s="180">
        <f>BA59</f>
        <v>0</v>
      </c>
      <c r="F546" s="263" t="str">
        <f t="shared" si="23"/>
        <v/>
      </c>
      <c r="G546" s="263" t="str">
        <f t="shared" si="23"/>
        <v/>
      </c>
      <c r="H546" s="265" t="str">
        <f t="shared" si="20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351814.54</v>
      </c>
      <c r="C547" s="240">
        <f>BB71</f>
        <v>379865.56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0</v>
      </c>
      <c r="C549" s="240">
        <f>BD71</f>
        <v>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1851588.89</v>
      </c>
      <c r="C550" s="240">
        <f>BE71</f>
        <v>1690326.0199999998</v>
      </c>
      <c r="D550" s="240">
        <v>47748</v>
      </c>
      <c r="E550" s="180">
        <f>BE59</f>
        <v>47748</v>
      </c>
      <c r="F550" s="263">
        <f t="shared" si="23"/>
        <v>38.778354904917478</v>
      </c>
      <c r="G550" s="263">
        <f t="shared" si="23"/>
        <v>35.400980564630977</v>
      </c>
      <c r="H550" s="265" t="str">
        <f t="shared" si="20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706940.5</v>
      </c>
      <c r="C551" s="240">
        <f>BF71</f>
        <v>625652.29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1536487.7899999998</v>
      </c>
      <c r="C553" s="240">
        <f>BH71</f>
        <v>979619.21000000008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463124.88</v>
      </c>
      <c r="C555" s="240">
        <f>BJ71</f>
        <v>440446.66000000003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952243.33</v>
      </c>
      <c r="C556" s="240">
        <f>BK71</f>
        <v>1054380.8799999999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516327.71</v>
      </c>
      <c r="C557" s="240">
        <f>BL71</f>
        <v>559585.24000000011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2580852.04</v>
      </c>
      <c r="C559" s="240">
        <f>BN71</f>
        <v>2242172.52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214977.75</v>
      </c>
      <c r="C561" s="240">
        <f>BP71</f>
        <v>42190.539999999994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394708.15000000008</v>
      </c>
      <c r="C563" s="240">
        <f>BR71</f>
        <v>200318.97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228652.21</v>
      </c>
      <c r="C567" s="240">
        <f>BV71</f>
        <v>261375.31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0</v>
      </c>
      <c r="C568" s="240">
        <f>BW71</f>
        <v>97306.69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345851.45</v>
      </c>
      <c r="C570" s="240">
        <f>BY71</f>
        <v>674564.54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38125.509999999995</v>
      </c>
      <c r="C574" s="240">
        <f>CC71</f>
        <v>65012.7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5999710.25</v>
      </c>
      <c r="C575" s="240">
        <f>CD71</f>
        <v>6013261.7599999979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42682</v>
      </c>
      <c r="E612" s="180">
        <f>SUM(C624:D647)+SUM(C668:D713)</f>
        <v>34191867.787667401</v>
      </c>
      <c r="F612" s="180">
        <f>CE64-(AX64+BD64+BE64+BG64+BJ64+BN64+BP64+BQ64+CB64+CC64+CD64)</f>
        <v>2389160.9599999995</v>
      </c>
      <c r="G612" s="180">
        <f>CE77-(AX77+AY77+BD77+BE77+BG77+BJ77+BN77+BP77+BQ77+CB77+CC77+CD77)</f>
        <v>24759</v>
      </c>
      <c r="H612" s="197">
        <f>CE60-(AX60+AY60+AZ60+BD60+BE60+BG60+BJ60+BN60+BO60+BP60+BQ60+BR60+CB60+CC60+CD60)</f>
        <v>185.9</v>
      </c>
      <c r="I612" s="180">
        <f>CE78-(AX78+AY78+AZ78+BD78+BE78+BF78+BG78+BJ78+BN78+BO78+BP78+BQ78+BR78+CB78+CC78+CD78)</f>
        <v>11070.512461254924</v>
      </c>
      <c r="J612" s="180">
        <f>CE79-(AX79+AY79+AZ79+BA79+BD79+BE79+BF79+BG79+BJ79+BN79+BO79+BP79+BQ79+BR79+CB79+CC79+CD79)</f>
        <v>187102</v>
      </c>
      <c r="K612" s="180">
        <f>CE75-(AW75+AX75+AY75+AZ75+BA75+BB75+BC75+BD75+BE75+BF75+BG75+BH75+BI75+BJ75+BK75+BL75+BM75+BN75+BO75+BP75+BQ75+BR75+BS75+BT75+BU75+BV75+BW75+BX75+CB75+CC75+CD75)</f>
        <v>46628750.50999999</v>
      </c>
      <c r="L612" s="197">
        <f>CE80-(AW80+AX80+AY80+AZ80+BA80+BB80+BC80+BD80+BE80+BF80+BG80+BH80+BI80+BJ80+BK80+BL80+BM80+BN80+BO80+BP80+BQ80+BR80+BS80+BT80+BU80+BV80+BW80+BX80+BY80+BZ80+CA80+CB80+CC80+CD80)</f>
        <v>49.94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1690326.0199999998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6013261.7599999979</v>
      </c>
      <c r="D615" s="266">
        <f>SUM(C614:C615)</f>
        <v>7703587.7799999975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440446.66000000003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2242172.52</v>
      </c>
      <c r="D619" s="180">
        <f>(D615/D612)*BN76</f>
        <v>622142.05233259895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65012.7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42190.539999999994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3411964.4723325996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1128538.8699999999</v>
      </c>
      <c r="D625" s="180">
        <f>(D615/D612)*AY76</f>
        <v>428658.94235274807</v>
      </c>
      <c r="E625" s="180">
        <f>(E623/E612)*SUM(C625:D625)</f>
        <v>155390.8562450044</v>
      </c>
      <c r="F625" s="180">
        <f>(F624/F612)*AY64</f>
        <v>0</v>
      </c>
      <c r="G625" s="180">
        <f>SUM(C625:F625)</f>
        <v>1712588.6685977522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200318.97</v>
      </c>
      <c r="D626" s="180">
        <f>(D615/D612)*BR76</f>
        <v>0</v>
      </c>
      <c r="E626" s="180">
        <f>(E623/E612)*SUM(C626:D626)</f>
        <v>19989.58386885151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50354</v>
      </c>
      <c r="D628" s="180">
        <f>(D615/D612)*AZ76</f>
        <v>133019.63811114751</v>
      </c>
      <c r="E628" s="180">
        <f>(E623/E612)*SUM(C628:D628)</f>
        <v>18298.630021705925</v>
      </c>
      <c r="F628" s="180">
        <f>(F624/F612)*AZ64</f>
        <v>0</v>
      </c>
      <c r="G628" s="180">
        <f>(G625/G612)*AZ77</f>
        <v>1712588.6685977522</v>
      </c>
      <c r="H628" s="180">
        <f>SUM(C626:G628)</f>
        <v>2134569.4905994572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625652.29</v>
      </c>
      <c r="D629" s="180">
        <f>(D615/D612)*BF76</f>
        <v>147458.67616934533</v>
      </c>
      <c r="E629" s="180">
        <f>(E623/E612)*SUM(C629:D629)</f>
        <v>77147.79333265817</v>
      </c>
      <c r="F629" s="180">
        <f>(F624/F612)*BF64</f>
        <v>0</v>
      </c>
      <c r="G629" s="180">
        <f>(G625/G612)*BF77</f>
        <v>0</v>
      </c>
      <c r="H629" s="180">
        <f>(H628/H612)*BF60</f>
        <v>101389.1802151329</v>
      </c>
      <c r="I629" s="180">
        <f>SUM(C629:H629)</f>
        <v>951647.93971713644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379865.56</v>
      </c>
      <c r="D632" s="180">
        <f>(D615/D612)*BB76</f>
        <v>28336.61218921324</v>
      </c>
      <c r="E632" s="180">
        <f>(E623/E612)*SUM(C632:D632)</f>
        <v>40733.993173106086</v>
      </c>
      <c r="F632" s="180">
        <f>(F624/F612)*BB64</f>
        <v>0</v>
      </c>
      <c r="G632" s="180">
        <f>(G625/G612)*BB77</f>
        <v>0</v>
      </c>
      <c r="H632" s="180">
        <f>(H628/H612)*BB60</f>
        <v>42140.236850457273</v>
      </c>
      <c r="I632" s="180">
        <f>(I629/I612)*BB78</f>
        <v>5189.7852143384762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1054380.8799999999</v>
      </c>
      <c r="D635" s="180">
        <f>(D615/D612)*BK76</f>
        <v>0</v>
      </c>
      <c r="E635" s="180">
        <f>(E623/E612)*SUM(C635:D635)</f>
        <v>105215.37241567015</v>
      </c>
      <c r="F635" s="180">
        <f>(F624/F612)*BK64</f>
        <v>0</v>
      </c>
      <c r="G635" s="180">
        <f>(G625/G612)*BK77</f>
        <v>0</v>
      </c>
      <c r="H635" s="180">
        <f>(H628/H612)*BK60</f>
        <v>66023.531850171479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979619.21000000008</v>
      </c>
      <c r="D636" s="180">
        <f>(D615/D612)*BH76</f>
        <v>0</v>
      </c>
      <c r="E636" s="180">
        <f>(E623/E612)*SUM(C636:D636)</f>
        <v>97754.997231830115</v>
      </c>
      <c r="F636" s="180">
        <f>(F624/F612)*BH64</f>
        <v>0</v>
      </c>
      <c r="G636" s="180">
        <f>(G625/G612)*BH77</f>
        <v>0</v>
      </c>
      <c r="H636" s="180">
        <f>(H628/H612)*BH60</f>
        <v>61660.23757137754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559585.24000000011</v>
      </c>
      <c r="D637" s="180">
        <f>(D615/D612)*BL76</f>
        <v>0</v>
      </c>
      <c r="E637" s="180">
        <f>(E623/E612)*SUM(C637:D637)</f>
        <v>55840.323493832875</v>
      </c>
      <c r="F637" s="180">
        <f>(F624/F612)*BL64</f>
        <v>0</v>
      </c>
      <c r="G637" s="180">
        <f>(G625/G612)*BL77</f>
        <v>0</v>
      </c>
      <c r="H637" s="180">
        <f>(H628/H612)*BL60</f>
        <v>115856.94545534439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261375.31</v>
      </c>
      <c r="D642" s="180">
        <f>(D615/D612)*BV76</f>
        <v>28517.100164940715</v>
      </c>
      <c r="E642" s="180">
        <f>(E623/E612)*SUM(C642:D642)</f>
        <v>28928.007397080684</v>
      </c>
      <c r="F642" s="180">
        <f>(F624/F612)*BV64</f>
        <v>0</v>
      </c>
      <c r="G642" s="180">
        <f>(G625/G612)*BV77</f>
        <v>0</v>
      </c>
      <c r="H642" s="180">
        <f>(H628/H612)*BV60</f>
        <v>40188.236778365252</v>
      </c>
      <c r="I642" s="180">
        <f>(I629/I612)*BV78</f>
        <v>5222.8411711177023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97306.69</v>
      </c>
      <c r="D643" s="180">
        <f>(D615/D612)*BW76</f>
        <v>0</v>
      </c>
      <c r="E643" s="180">
        <f>(E623/E612)*SUM(C643:D643)</f>
        <v>9710.115026826139</v>
      </c>
      <c r="F643" s="180">
        <f>(F624/F612)*BW64</f>
        <v>0</v>
      </c>
      <c r="G643" s="180">
        <f>(G625/G612)*BW77</f>
        <v>0</v>
      </c>
      <c r="H643" s="180">
        <f>(H628/H612)*BW60</f>
        <v>11023.059230637326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4074474.2852143091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674564.54</v>
      </c>
      <c r="D645" s="180">
        <f>(D615/D612)*BY76</f>
        <v>15521.965912562668</v>
      </c>
      <c r="E645" s="180">
        <f>(E623/E612)*SUM(C645:D645)</f>
        <v>68862.884462224742</v>
      </c>
      <c r="F645" s="180">
        <f>(F624/F612)*BY64</f>
        <v>0</v>
      </c>
      <c r="G645" s="180">
        <f>(G625/G612)*BY77</f>
        <v>0</v>
      </c>
      <c r="H645" s="180">
        <f>(H628/H612)*BY60</f>
        <v>66597.649518433842</v>
      </c>
      <c r="I645" s="180">
        <f>(I629/I612)*BY78</f>
        <v>2842.8122830134325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828389.85217623482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16504971.759999998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4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4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267197</v>
      </c>
      <c r="D670" s="180">
        <f>(D615/D612)*E76</f>
        <v>492948.75930687395</v>
      </c>
      <c r="E670" s="180">
        <f>(E623/E612)*SUM(C670:D670)</f>
        <v>75854.011271206953</v>
      </c>
      <c r="F670" s="180">
        <f>(F624/F612)*E64</f>
        <v>0</v>
      </c>
      <c r="G670" s="180">
        <f>(G625/G612)*E77</f>
        <v>0</v>
      </c>
      <c r="H670" s="180">
        <f>(H628/H612)*E60</f>
        <v>10334.118028722492</v>
      </c>
      <c r="I670" s="180">
        <f>(I629/I612)*E78</f>
        <v>90282.429155421953</v>
      </c>
      <c r="J670" s="180">
        <f>(J630/J612)*E79</f>
        <v>0</v>
      </c>
      <c r="K670" s="180">
        <f>(K644/K612)*E75</f>
        <v>54026.713601705662</v>
      </c>
      <c r="L670" s="180">
        <f>(L647/L612)*E80</f>
        <v>14928.932057641399</v>
      </c>
      <c r="M670" s="180">
        <f t="shared" si="24"/>
        <v>738375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4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4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4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4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4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4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5725810.46</v>
      </c>
      <c r="D677" s="180">
        <f>(D615/D612)*L76</f>
        <v>1971795.0372274958</v>
      </c>
      <c r="E677" s="180">
        <f>(E623/E612)*SUM(C677:D677)</f>
        <v>768134.59392368805</v>
      </c>
      <c r="F677" s="180">
        <f>(F624/F612)*L64</f>
        <v>0</v>
      </c>
      <c r="G677" s="180">
        <f>(G625/G612)*L77</f>
        <v>0</v>
      </c>
      <c r="H677" s="180">
        <f>(H628/H612)*L60</f>
        <v>563094.60903172335</v>
      </c>
      <c r="I677" s="180">
        <f>(I629/I612)*L78</f>
        <v>361129.71662168781</v>
      </c>
      <c r="J677" s="180">
        <f>(J630/J612)*L79</f>
        <v>0</v>
      </c>
      <c r="K677" s="180">
        <f>(K644/K612)*L75</f>
        <v>1578439.9743842185</v>
      </c>
      <c r="L677" s="180">
        <f>(L647/L612)*L80</f>
        <v>813460.92011859349</v>
      </c>
      <c r="M677" s="180">
        <f t="shared" si="24"/>
        <v>6056055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4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770220.37</v>
      </c>
      <c r="D679" s="180">
        <f>(D615/D612)*N76</f>
        <v>0</v>
      </c>
      <c r="E679" s="180">
        <f>(E623/E612)*SUM(C679:D679)</f>
        <v>76859.344292818801</v>
      </c>
      <c r="F679" s="180">
        <f>(F624/F612)*N64</f>
        <v>0</v>
      </c>
      <c r="G679" s="180">
        <f>(G625/G612)*N77</f>
        <v>0</v>
      </c>
      <c r="H679" s="180">
        <f>(H628/H612)*N60</f>
        <v>32954.354158259506</v>
      </c>
      <c r="I679" s="180">
        <f>(I629/I612)*N78</f>
        <v>0</v>
      </c>
      <c r="J679" s="180">
        <f>(J630/J612)*N79</f>
        <v>0</v>
      </c>
      <c r="K679" s="180">
        <f>(K644/K612)*N75</f>
        <v>51288.616230916414</v>
      </c>
      <c r="L679" s="180">
        <f>(L647/L612)*N80</f>
        <v>0</v>
      </c>
      <c r="M679" s="180">
        <f t="shared" si="24"/>
        <v>161102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4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260260.16999999998</v>
      </c>
      <c r="D681" s="180">
        <f>(D615/D612)*P76</f>
        <v>196731.89354294544</v>
      </c>
      <c r="E681" s="180">
        <f>(E623/E612)*SUM(C681:D681)</f>
        <v>45602.676479373004</v>
      </c>
      <c r="F681" s="180">
        <f>(F624/F612)*P64</f>
        <v>0</v>
      </c>
      <c r="G681" s="180">
        <f>(G625/G612)*P77</f>
        <v>0</v>
      </c>
      <c r="H681" s="180">
        <f>(H628/H612)*P60</f>
        <v>13549.176970991712</v>
      </c>
      <c r="I681" s="180">
        <f>(I629/I612)*P78</f>
        <v>36030.992889356305</v>
      </c>
      <c r="J681" s="180">
        <f>(J630/J612)*P79</f>
        <v>0</v>
      </c>
      <c r="K681" s="180">
        <f>(K644/K612)*P75</f>
        <v>100685.90221709816</v>
      </c>
      <c r="L681" s="180">
        <f>(L647/L612)*P80</f>
        <v>0</v>
      </c>
      <c r="M681" s="180">
        <f t="shared" si="24"/>
        <v>392601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4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4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381761</v>
      </c>
      <c r="D684" s="180">
        <f>(D615/D612)*S76</f>
        <v>319644.20501335448</v>
      </c>
      <c r="E684" s="180">
        <f>(E623/E612)*SUM(C684:D684)</f>
        <v>69992.363537329686</v>
      </c>
      <c r="F684" s="180">
        <f>(F624/F612)*S64</f>
        <v>0</v>
      </c>
      <c r="G684" s="180">
        <f>(G625/G612)*S77</f>
        <v>0</v>
      </c>
      <c r="H684" s="180">
        <f>(H628/H612)*S60</f>
        <v>31117.177619819951</v>
      </c>
      <c r="I684" s="180">
        <f>(I629/I612)*S78</f>
        <v>58542.099456009179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4"/>
        <v>479296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4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1391516.09</v>
      </c>
      <c r="D686" s="180">
        <f>(D615/D612)*U76</f>
        <v>168936.74528091462</v>
      </c>
      <c r="E686" s="180">
        <f>(E623/E612)*SUM(C686:D686)</f>
        <v>155715.67098330715</v>
      </c>
      <c r="F686" s="180">
        <f>(F624/F612)*U64</f>
        <v>0</v>
      </c>
      <c r="G686" s="180">
        <f>(G625/G612)*U77</f>
        <v>0</v>
      </c>
      <c r="H686" s="180">
        <f>(H628/H612)*U60</f>
        <v>113560.47478229496</v>
      </c>
      <c r="I686" s="180">
        <f>(I629/I612)*U78</f>
        <v>30940.375545355499</v>
      </c>
      <c r="J686" s="180">
        <f>(J630/J612)*U79</f>
        <v>0</v>
      </c>
      <c r="K686" s="180">
        <f>(K644/K612)*U75</f>
        <v>287574.37733243918</v>
      </c>
      <c r="L686" s="180">
        <f>(L647/L612)*U80</f>
        <v>0</v>
      </c>
      <c r="M686" s="180">
        <f t="shared" si="24"/>
        <v>756728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4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259430.55</v>
      </c>
      <c r="D688" s="180">
        <f>(D615/D612)*W76</f>
        <v>85053.153681814321</v>
      </c>
      <c r="E688" s="180">
        <f>(E623/E612)*SUM(C688:D688)</f>
        <v>34375.605496574877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15577.289072642445</v>
      </c>
      <c r="J688" s="180">
        <f>(J630/J612)*W79</f>
        <v>0</v>
      </c>
      <c r="K688" s="180">
        <f>(K644/K612)*W75</f>
        <v>68963.849981888503</v>
      </c>
      <c r="L688" s="180">
        <f>(L647/L612)*W80</f>
        <v>0</v>
      </c>
      <c r="M688" s="180">
        <f t="shared" si="24"/>
        <v>203970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272878.5</v>
      </c>
      <c r="D689" s="180">
        <f>(D615/D612)*X76</f>
        <v>150776.04516321627</v>
      </c>
      <c r="E689" s="180">
        <f>(E623/E612)*SUM(C689:D689)</f>
        <v>42275.966484653211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27614.28517422979</v>
      </c>
      <c r="J689" s="180">
        <f>(J630/J612)*X79</f>
        <v>0</v>
      </c>
      <c r="K689" s="180">
        <f>(K644/K612)*X75</f>
        <v>218418.84629146641</v>
      </c>
      <c r="L689" s="180">
        <f>(L647/L612)*X80</f>
        <v>0</v>
      </c>
      <c r="M689" s="180">
        <f t="shared" si="24"/>
        <v>439085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1033758.02</v>
      </c>
      <c r="D690" s="180">
        <f>(D615/D612)*Y76</f>
        <v>150776.04516321627</v>
      </c>
      <c r="E690" s="180">
        <f>(E623/E612)*SUM(C690:D690)</f>
        <v>118203.19883379857</v>
      </c>
      <c r="F690" s="180">
        <f>(F624/F612)*Y64</f>
        <v>0</v>
      </c>
      <c r="G690" s="180">
        <f>(G625/G612)*Y77</f>
        <v>0</v>
      </c>
      <c r="H690" s="180">
        <f>(H628/H612)*Y60</f>
        <v>91973.650455630181</v>
      </c>
      <c r="I690" s="180">
        <f>(I629/I612)*Y78</f>
        <v>27614.28517422979</v>
      </c>
      <c r="J690" s="180">
        <f>(J630/J612)*Y79</f>
        <v>0</v>
      </c>
      <c r="K690" s="180">
        <f>(K644/K612)*Y75</f>
        <v>144878.91314430052</v>
      </c>
      <c r="L690" s="180">
        <f>(L647/L612)*Y80</f>
        <v>0</v>
      </c>
      <c r="M690" s="180">
        <f t="shared" si="24"/>
        <v>533446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4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4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1422361.18</v>
      </c>
      <c r="D693" s="180">
        <f>(D615/D612)*AB76</f>
        <v>176336.75228574101</v>
      </c>
      <c r="E693" s="180">
        <f>(E623/E612)*SUM(C693:D693)</f>
        <v>159532.10221870305</v>
      </c>
      <c r="F693" s="180">
        <f>(F624/F612)*AB64</f>
        <v>0</v>
      </c>
      <c r="G693" s="180">
        <f>(G625/G612)*AB77</f>
        <v>0</v>
      </c>
      <c r="H693" s="180">
        <f>(H628/H612)*AB60</f>
        <v>64530.825912689346</v>
      </c>
      <c r="I693" s="180">
        <f>(I629/I612)*AB78</f>
        <v>32295.669773303765</v>
      </c>
      <c r="J693" s="180">
        <f>(J630/J612)*AB79</f>
        <v>0</v>
      </c>
      <c r="K693" s="180">
        <f>(K644/K612)*AB75</f>
        <v>233033.34609026957</v>
      </c>
      <c r="L693" s="180">
        <f>(L647/L612)*AB80</f>
        <v>0</v>
      </c>
      <c r="M693" s="180">
        <f t="shared" si="24"/>
        <v>665729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4"/>
        <v>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4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896010.80999999994</v>
      </c>
      <c r="D696" s="180">
        <f>(D615/D612)*AE76</f>
        <v>224848.31040177116</v>
      </c>
      <c r="E696" s="180">
        <f>(E623/E612)*SUM(C696:D696)</f>
        <v>111849.15433839508</v>
      </c>
      <c r="F696" s="180">
        <f>(F624/F612)*AE64</f>
        <v>0</v>
      </c>
      <c r="G696" s="180">
        <f>(G625/G612)*AE77</f>
        <v>0</v>
      </c>
      <c r="H696" s="180">
        <f>(H628/H612)*AE60</f>
        <v>89562.356248928263</v>
      </c>
      <c r="I696" s="180">
        <f>(I629/I612)*AE78</f>
        <v>41180.449836424123</v>
      </c>
      <c r="J696" s="180">
        <f>(J630/J612)*AE79</f>
        <v>0</v>
      </c>
      <c r="K696" s="180">
        <f>(K644/K612)*AE75</f>
        <v>202690.78808426019</v>
      </c>
      <c r="L696" s="180">
        <f>(L647/L612)*AE80</f>
        <v>0</v>
      </c>
      <c r="M696" s="180">
        <f t="shared" si="24"/>
        <v>670131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4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2902208.8799999994</v>
      </c>
      <c r="D698" s="180">
        <f>(D615/D612)*AG76</f>
        <v>703361.64140996174</v>
      </c>
      <c r="E698" s="180">
        <f>(E623/E612)*SUM(C698:D698)</f>
        <v>359795.45188747271</v>
      </c>
      <c r="F698" s="180">
        <f>(F624/F612)*AG64</f>
        <v>0</v>
      </c>
      <c r="G698" s="180">
        <f>(G625/G612)*AG77</f>
        <v>0</v>
      </c>
      <c r="H698" s="180">
        <f>(H628/H612)*AG60</f>
        <v>184636.24211317519</v>
      </c>
      <c r="I698" s="180">
        <f>(I629/I612)*AG78</f>
        <v>128819.06356864359</v>
      </c>
      <c r="J698" s="180">
        <f>(J630/J612)*AG79</f>
        <v>0</v>
      </c>
      <c r="K698" s="180">
        <f>(K644/K612)*AG75</f>
        <v>529124.75979549787</v>
      </c>
      <c r="L698" s="180">
        <f>(L647/L612)*AG80</f>
        <v>0</v>
      </c>
      <c r="M698" s="180">
        <f t="shared" si="24"/>
        <v>1905737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4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4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1620239.44</v>
      </c>
      <c r="D701" s="180">
        <f>(D615/D612)*AJ76</f>
        <v>290946.61687268625</v>
      </c>
      <c r="E701" s="180">
        <f>(E623/E612)*SUM(C701:D701)</f>
        <v>190714.90819284949</v>
      </c>
      <c r="F701" s="180">
        <f>(F624/F612)*AJ64</f>
        <v>0</v>
      </c>
      <c r="G701" s="180">
        <f>(G625/G612)*AJ77</f>
        <v>0</v>
      </c>
      <c r="H701" s="180">
        <f>(H628/H612)*AJ60</f>
        <v>102307.76848435268</v>
      </c>
      <c r="I701" s="180">
        <f>(I629/I612)*AJ78</f>
        <v>53286.202328112246</v>
      </c>
      <c r="J701" s="180">
        <f>(J630/J612)*AJ79</f>
        <v>0</v>
      </c>
      <c r="K701" s="180">
        <f>(K644/K612)*AJ75</f>
        <v>125168.37121209926</v>
      </c>
      <c r="L701" s="180">
        <f>(L647/L612)*AJ80</f>
        <v>0</v>
      </c>
      <c r="M701" s="180">
        <f t="shared" si="24"/>
        <v>762424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545927.15</v>
      </c>
      <c r="D702" s="180">
        <f>(D615/D612)*AK76</f>
        <v>124915.72800098397</v>
      </c>
      <c r="E702" s="180">
        <f>(E623/E612)*SUM(C702:D702)</f>
        <v>66942.586479065809</v>
      </c>
      <c r="F702" s="180">
        <f>(F624/F612)*AK64</f>
        <v>0</v>
      </c>
      <c r="G702" s="180">
        <f>(G625/G612)*AK77</f>
        <v>0</v>
      </c>
      <c r="H702" s="180">
        <f>(H628/H612)*AK60</f>
        <v>51670.590143612462</v>
      </c>
      <c r="I702" s="180">
        <f>(I629/I612)*AK78</f>
        <v>22878.027686902293</v>
      </c>
      <c r="J702" s="180">
        <f>(J630/J612)*AK79</f>
        <v>0</v>
      </c>
      <c r="K702" s="180">
        <f>(K644/K612)*AK75</f>
        <v>143070.92879711225</v>
      </c>
      <c r="L702" s="180">
        <f>(L647/L612)*AK80</f>
        <v>0</v>
      </c>
      <c r="M702" s="180">
        <f t="shared" si="24"/>
        <v>409478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243985.02</v>
      </c>
      <c r="D703" s="180">
        <f>(D615/D612)*AL76</f>
        <v>66621.72160052479</v>
      </c>
      <c r="E703" s="180">
        <f>(E623/E612)*SUM(C703:D703)</f>
        <v>30995.06507773267</v>
      </c>
      <c r="F703" s="180">
        <f>(F624/F612)*AL64</f>
        <v>0</v>
      </c>
      <c r="G703" s="180">
        <f>(G625/G612)*AL77</f>
        <v>0</v>
      </c>
      <c r="H703" s="180">
        <f>(H628/H612)*AL60</f>
        <v>23194.353797799373</v>
      </c>
      <c r="I703" s="180">
        <f>(I629/I612)*AL78</f>
        <v>12201.61476634789</v>
      </c>
      <c r="J703" s="180">
        <f>(J630/J612)*AL79</f>
        <v>0</v>
      </c>
      <c r="K703" s="180">
        <f>(K644/K612)*AL75</f>
        <v>68219.502312874174</v>
      </c>
      <c r="L703" s="180">
        <f>(L647/L612)*AL80</f>
        <v>0</v>
      </c>
      <c r="M703" s="180">
        <f t="shared" si="24"/>
        <v>201232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322162.02</v>
      </c>
      <c r="D704" s="180">
        <f>(D615/D612)*AM76</f>
        <v>0</v>
      </c>
      <c r="E704" s="180">
        <f>(E623/E612)*SUM(C704:D704)</f>
        <v>32148.152110349896</v>
      </c>
      <c r="F704" s="180">
        <f>(F624/F612)*AM64</f>
        <v>0</v>
      </c>
      <c r="G704" s="180">
        <f>(G625/G612)*AM77</f>
        <v>0</v>
      </c>
      <c r="H704" s="180">
        <f>(H628/H612)*AM60</f>
        <v>46733.178196556168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4"/>
        <v>78881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4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4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2550424.38</v>
      </c>
      <c r="D707" s="180">
        <f>(D615/D612)*AP76</f>
        <v>1176240.1378159407</v>
      </c>
      <c r="E707" s="180">
        <f>(E623/E612)*SUM(C707:D707)</f>
        <v>371879.27299124398</v>
      </c>
      <c r="F707" s="180">
        <f>(F624/F612)*AP64</f>
        <v>0</v>
      </c>
      <c r="G707" s="180">
        <f>(G625/G612)*AP77</f>
        <v>0</v>
      </c>
      <c r="H707" s="180">
        <f>(H628/H612)*AP60</f>
        <v>185899.30098335241</v>
      </c>
      <c r="I707" s="180">
        <f>(I629/I612)*AP78</f>
        <v>0</v>
      </c>
      <c r="J707" s="180">
        <f>(J630/J612)*AP79</f>
        <v>0</v>
      </c>
      <c r="K707" s="180">
        <f>(K644/K612)*AP75</f>
        <v>227158.45645846653</v>
      </c>
      <c r="L707" s="180">
        <f>(L647/L612)*AP80</f>
        <v>0</v>
      </c>
      <c r="M707" s="180">
        <f t="shared" si="24"/>
        <v>1961177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4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4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4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4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4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232709.46</v>
      </c>
      <c r="D713" s="180">
        <f>(D615/D612)*AV76</f>
        <v>0</v>
      </c>
      <c r="E713" s="180">
        <f>(E623/E612)*SUM(C713:D713)</f>
        <v>23221.791065245321</v>
      </c>
      <c r="F713" s="180">
        <f>(F624/F612)*AV64</f>
        <v>0</v>
      </c>
      <c r="G713" s="180">
        <f>(G625/G612)*AV77</f>
        <v>0</v>
      </c>
      <c r="H713" s="180">
        <f>(H628/H612)*AV60</f>
        <v>24572.236201629035</v>
      </c>
      <c r="I713" s="180">
        <f>(I629/I612)*AV78</f>
        <v>0</v>
      </c>
      <c r="J713" s="180">
        <f>(J630/J612)*AV79</f>
        <v>0</v>
      </c>
      <c r="K713" s="180">
        <f>(K644/K612)*AV75</f>
        <v>41730.939279696759</v>
      </c>
      <c r="L713" s="180">
        <f>(L647/L612)*AV80</f>
        <v>0</v>
      </c>
      <c r="M713" s="180">
        <f t="shared" si="24"/>
        <v>89525</v>
      </c>
      <c r="N713" s="199" t="s">
        <v>741</v>
      </c>
    </row>
    <row r="715" spans="1:83" ht="12.6" customHeight="1" x14ac:dyDescent="0.25">
      <c r="C715" s="180">
        <f>SUM(C614:C647)+SUM(C668:C713)</f>
        <v>37603832.25999999</v>
      </c>
      <c r="D715" s="180">
        <f>SUM(D616:D647)+SUM(D668:D713)</f>
        <v>7703587.7799999956</v>
      </c>
      <c r="E715" s="180">
        <f>SUM(E624:E647)+SUM(E668:E713)</f>
        <v>3411964.4723325996</v>
      </c>
      <c r="F715" s="180">
        <f>SUM(F625:F648)+SUM(F668:F713)</f>
        <v>0</v>
      </c>
      <c r="G715" s="180">
        <f>SUM(G626:G647)+SUM(G668:G713)</f>
        <v>1712588.6685977522</v>
      </c>
      <c r="H715" s="180">
        <f>SUM(H629:H647)+SUM(H668:H713)</f>
        <v>2134569.4905994567</v>
      </c>
      <c r="I715" s="180">
        <f>SUM(I630:I647)+SUM(I668:I713)</f>
        <v>951647.93971713632</v>
      </c>
      <c r="J715" s="180">
        <f>SUM(J631:J647)+SUM(J668:J713)</f>
        <v>0</v>
      </c>
      <c r="K715" s="180">
        <f>SUM(K668:K713)</f>
        <v>4074474.2852143105</v>
      </c>
      <c r="L715" s="180">
        <f>SUM(L668:L713)</f>
        <v>828389.85217623494</v>
      </c>
      <c r="M715" s="180">
        <f>SUM(M668:M713)</f>
        <v>16504972</v>
      </c>
      <c r="N715" s="198" t="s">
        <v>742</v>
      </c>
    </row>
    <row r="716" spans="1:83" ht="12.6" customHeight="1" x14ac:dyDescent="0.25">
      <c r="C716" s="180">
        <f>CE71</f>
        <v>37603832.260000005</v>
      </c>
      <c r="D716" s="180">
        <f>D615</f>
        <v>7703587.7799999975</v>
      </c>
      <c r="E716" s="180">
        <f>E623</f>
        <v>3411964.4723325996</v>
      </c>
      <c r="F716" s="180">
        <f>F624</f>
        <v>0</v>
      </c>
      <c r="G716" s="180">
        <f>G625</f>
        <v>1712588.6685977522</v>
      </c>
      <c r="H716" s="180">
        <f>H628</f>
        <v>2134569.4905994572</v>
      </c>
      <c r="I716" s="180">
        <f>I629</f>
        <v>951647.93971713644</v>
      </c>
      <c r="J716" s="180">
        <f>J630</f>
        <v>0</v>
      </c>
      <c r="K716" s="180">
        <f>K644</f>
        <v>4074474.2852143091</v>
      </c>
      <c r="L716" s="180">
        <f>L647</f>
        <v>828389.85217623482</v>
      </c>
      <c r="M716" s="180">
        <f>C648</f>
        <v>16504971.759999998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195*2017*A</v>
      </c>
      <c r="B722" s="276">
        <f>ROUND(C165,0)</f>
        <v>1152271</v>
      </c>
      <c r="C722" s="276">
        <f>ROUND(C166,0)</f>
        <v>82085</v>
      </c>
      <c r="D722" s="276">
        <f>ROUND(C167,0)</f>
        <v>214136</v>
      </c>
      <c r="E722" s="276">
        <f>ROUND(C168,0)</f>
        <v>1657843</v>
      </c>
      <c r="F722" s="276">
        <f>ROUND(C169,0)</f>
        <v>22256</v>
      </c>
      <c r="G722" s="276">
        <f>ROUND(C170,0)</f>
        <v>148819</v>
      </c>
      <c r="H722" s="276">
        <f>ROUND(C171+C172,0)</f>
        <v>8825</v>
      </c>
      <c r="I722" s="276">
        <f>ROUND(C175,0)</f>
        <v>222111</v>
      </c>
      <c r="J722" s="276">
        <f>ROUND(C176,0)</f>
        <v>1766299</v>
      </c>
      <c r="K722" s="276">
        <f>ROUND(C179,0)</f>
        <v>90700</v>
      </c>
      <c r="L722" s="276">
        <f>ROUND(C180,0)</f>
        <v>87231</v>
      </c>
      <c r="M722" s="276">
        <f>ROUND(C183,0)</f>
        <v>73514</v>
      </c>
      <c r="N722" s="276">
        <f>ROUND(C184,0)</f>
        <v>201475</v>
      </c>
      <c r="O722" s="276">
        <f>ROUND(C185,0)</f>
        <v>0</v>
      </c>
      <c r="P722" s="276">
        <f>ROUND(C188,0)</f>
        <v>0</v>
      </c>
      <c r="Q722" s="276">
        <f>ROUND(C189,0)</f>
        <v>5811786</v>
      </c>
      <c r="R722" s="276">
        <f>ROUND(B195,0)</f>
        <v>14631178</v>
      </c>
      <c r="S722" s="276">
        <f>ROUND(C195,0)</f>
        <v>0</v>
      </c>
      <c r="T722" s="276">
        <f>ROUND(D195,0)</f>
        <v>0</v>
      </c>
      <c r="U722" s="276">
        <f>ROUND(B196,0)</f>
        <v>11952081</v>
      </c>
      <c r="V722" s="276">
        <f>ROUND(C196,0)</f>
        <v>3801</v>
      </c>
      <c r="W722" s="276">
        <f>ROUND(D196,0)</f>
        <v>0</v>
      </c>
      <c r="X722" s="276">
        <f>ROUND(B197,0)</f>
        <v>31769050</v>
      </c>
      <c r="Y722" s="276">
        <f>ROUND(C197,0)</f>
        <v>5105</v>
      </c>
      <c r="Z722" s="276">
        <f>ROUND(D197,0)</f>
        <v>0</v>
      </c>
      <c r="AA722" s="276">
        <f>ROUND(B198,0)</f>
        <v>6064810</v>
      </c>
      <c r="AB722" s="276">
        <f>ROUND(C198,0)</f>
        <v>0</v>
      </c>
      <c r="AC722" s="276">
        <f>ROUND(D198,0)</f>
        <v>0</v>
      </c>
      <c r="AD722" s="276">
        <f>ROUND(B199,0)</f>
        <v>6014831</v>
      </c>
      <c r="AE722" s="276">
        <f>ROUND(C199,0)</f>
        <v>0</v>
      </c>
      <c r="AF722" s="276">
        <f>ROUND(D199,0)</f>
        <v>0</v>
      </c>
      <c r="AG722" s="276">
        <f>ROUND(B200,0)</f>
        <v>0</v>
      </c>
      <c r="AH722" s="276">
        <f>ROUND(C200,0)</f>
        <v>0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401252</v>
      </c>
      <c r="AQ722" s="276">
        <f>ROUND(C203,0)</f>
        <v>0</v>
      </c>
      <c r="AR722" s="276">
        <f>ROUND(D203,0)</f>
        <v>0</v>
      </c>
      <c r="AS722" s="276"/>
      <c r="AT722" s="276"/>
      <c r="AU722" s="276"/>
      <c r="AV722" s="276">
        <f>ROUND(B209,0)</f>
        <v>1285170</v>
      </c>
      <c r="AW722" s="276">
        <f>ROUND(C209,0)</f>
        <v>778356</v>
      </c>
      <c r="AX722" s="276">
        <f>ROUND(D209,0)</f>
        <v>0</v>
      </c>
      <c r="AY722" s="276">
        <f>ROUND(B210,0)</f>
        <v>3663683</v>
      </c>
      <c r="AZ722" s="276">
        <f>ROUND(C210,0)</f>
        <v>1669112</v>
      </c>
      <c r="BA722" s="276">
        <f>ROUND(D210,0)</f>
        <v>0</v>
      </c>
      <c r="BB722" s="276">
        <f>ROUND(B211,0)</f>
        <v>705768</v>
      </c>
      <c r="BC722" s="276">
        <f>ROUND(C211,0)</f>
        <v>423511</v>
      </c>
      <c r="BD722" s="276">
        <f>ROUND(D211,0)</f>
        <v>0</v>
      </c>
      <c r="BE722" s="276">
        <f>ROUND(B212,0)</f>
        <v>3655294</v>
      </c>
      <c r="BF722" s="276">
        <f>ROUND(C212,0)</f>
        <v>391301</v>
      </c>
      <c r="BG722" s="276">
        <f>ROUND(D212,0)</f>
        <v>0</v>
      </c>
      <c r="BH722" s="276">
        <f>ROUND(B213,0)</f>
        <v>0</v>
      </c>
      <c r="BI722" s="276">
        <f>ROUND(C213,0)</f>
        <v>0</v>
      </c>
      <c r="BJ722" s="276">
        <f>ROUND(D213,0)</f>
        <v>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1499315</v>
      </c>
      <c r="BU722" s="276">
        <f>ROUND(C224,0)</f>
        <v>1224398</v>
      </c>
      <c r="BV722" s="276">
        <f>ROUND(C225,0)</f>
        <v>527277</v>
      </c>
      <c r="BW722" s="276">
        <f>ROUND(C226,0)</f>
        <v>86076</v>
      </c>
      <c r="BX722" s="276">
        <f>ROUND(C227,0)</f>
        <v>7049430</v>
      </c>
      <c r="BY722" s="276">
        <f>ROUND(C228,0)</f>
        <v>0</v>
      </c>
      <c r="BZ722" s="276">
        <f>ROUND(C231,0)</f>
        <v>0</v>
      </c>
      <c r="CA722" s="276">
        <f>ROUND(C233,0)</f>
        <v>61495</v>
      </c>
      <c r="CB722" s="276">
        <f>ROUND(C234,0)</f>
        <v>768578</v>
      </c>
      <c r="CC722" s="276">
        <f>ROUND(C238+C239,0)</f>
        <v>-36656</v>
      </c>
      <c r="CD722" s="276">
        <f>D221</f>
        <v>1678054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195*2017*A</v>
      </c>
      <c r="B726" s="276">
        <f>ROUND(C111,0)</f>
        <v>47</v>
      </c>
      <c r="C726" s="276">
        <f>ROUND(C112,0)</f>
        <v>261</v>
      </c>
      <c r="D726" s="276">
        <f>ROUND(C113,0)</f>
        <v>0</v>
      </c>
      <c r="E726" s="276">
        <f>ROUND(C114,0)</f>
        <v>0</v>
      </c>
      <c r="F726" s="276">
        <f>ROUND(D111,0)</f>
        <v>148</v>
      </c>
      <c r="G726" s="276">
        <f>ROUND(D112,0)</f>
        <v>8105</v>
      </c>
      <c r="H726" s="276">
        <f>ROUND(D113,0)</f>
        <v>0</v>
      </c>
      <c r="I726" s="276">
        <f>ROUND(D114,0)</f>
        <v>0</v>
      </c>
      <c r="J726" s="276">
        <f>ROUND(C116,0)</f>
        <v>0</v>
      </c>
      <c r="K726" s="276">
        <f>ROUND(C117,0)</f>
        <v>0</v>
      </c>
      <c r="L726" s="276">
        <f>ROUND(C118,0)</f>
        <v>10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15</v>
      </c>
      <c r="S726" s="276">
        <f>ROUND(C125,0)</f>
        <v>0</v>
      </c>
      <c r="T726" s="276"/>
      <c r="U726" s="276">
        <f>ROUND(C126,0)</f>
        <v>0</v>
      </c>
      <c r="V726" s="276">
        <f>ROUND(C128,0)</f>
        <v>0</v>
      </c>
      <c r="W726" s="276">
        <f>ROUND(C129,0)</f>
        <v>0</v>
      </c>
      <c r="X726" s="276">
        <f>ROUND(B138,0)</f>
        <v>19</v>
      </c>
      <c r="Y726" s="276">
        <f>ROUND(B139,0)</f>
        <v>62</v>
      </c>
      <c r="Z726" s="276">
        <f>ROUND(B140,0)</f>
        <v>7800</v>
      </c>
      <c r="AA726" s="276">
        <f>ROUND(B141,0)</f>
        <v>206207</v>
      </c>
      <c r="AB726" s="276">
        <f>ROUND(B142,0)</f>
        <v>4466392</v>
      </c>
      <c r="AC726" s="276">
        <f>ROUND(C138,0)</f>
        <v>10</v>
      </c>
      <c r="AD726" s="276">
        <f>ROUND(C139,0)</f>
        <v>35</v>
      </c>
      <c r="AE726" s="276">
        <f>ROUND(C140,0)</f>
        <v>4993</v>
      </c>
      <c r="AF726" s="276">
        <f>ROUND(C141,0)</f>
        <v>143980</v>
      </c>
      <c r="AG726" s="276">
        <f>ROUND(C142,0)</f>
        <v>4009558</v>
      </c>
      <c r="AH726" s="276">
        <f>ROUND(D138,0)</f>
        <v>18</v>
      </c>
      <c r="AI726" s="276">
        <f>ROUND(D139,0)</f>
        <v>51</v>
      </c>
      <c r="AJ726" s="276">
        <f>ROUND(D140,0)</f>
        <v>18210</v>
      </c>
      <c r="AK726" s="276">
        <f>ROUND(D141,0)</f>
        <v>211231</v>
      </c>
      <c r="AL726" s="276">
        <f>ROUND(D142,0)</f>
        <v>11872579</v>
      </c>
      <c r="AM726" s="276">
        <f>ROUND(B144,0)</f>
        <v>215</v>
      </c>
      <c r="AN726" s="276">
        <f>ROUND(B145,0)</f>
        <v>6271</v>
      </c>
      <c r="AO726" s="276">
        <f>ROUND(B146,0)</f>
        <v>0</v>
      </c>
      <c r="AP726" s="276">
        <f>ROUND(B147,0)</f>
        <v>20822633</v>
      </c>
      <c r="AQ726" s="276">
        <f>ROUND(B148,0)</f>
        <v>0</v>
      </c>
      <c r="AR726" s="276">
        <f>ROUND(C144,0)</f>
        <v>1</v>
      </c>
      <c r="AS726" s="276">
        <f>ROUND(C145,0)</f>
        <v>374</v>
      </c>
      <c r="AT726" s="276">
        <f>ROUND(C146,0)</f>
        <v>0</v>
      </c>
      <c r="AU726" s="276">
        <f>ROUND(C147,0)</f>
        <v>32733</v>
      </c>
      <c r="AV726" s="276">
        <f>ROUND(C148,0)</f>
        <v>0</v>
      </c>
      <c r="AW726" s="276">
        <f>ROUND(D144,0)</f>
        <v>45</v>
      </c>
      <c r="AX726" s="276">
        <f>ROUND(D145,0)</f>
        <v>1460</v>
      </c>
      <c r="AY726" s="276">
        <f>ROUND(D146,0)</f>
        <v>0</v>
      </c>
      <c r="AZ726" s="276">
        <f>ROUND(D147,0)</f>
        <v>4863437</v>
      </c>
      <c r="BA726" s="276">
        <f>ROUND(D148,0)</f>
        <v>0</v>
      </c>
      <c r="BB726" s="276">
        <f>ROUND(B150,0)</f>
        <v>215</v>
      </c>
      <c r="BC726" s="276">
        <f>ROUND(B151,0)</f>
        <v>6271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1</v>
      </c>
      <c r="BH726" s="276">
        <f>ROUND(C151,0)</f>
        <v>374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45</v>
      </c>
      <c r="BM726" s="276">
        <f>ROUND(D151,0)</f>
        <v>1460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3201615</v>
      </c>
      <c r="BR726" s="276">
        <f>ROUND(C157,0)</f>
        <v>2885782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195*2017*A</v>
      </c>
      <c r="B730" s="276">
        <f>ROUND(C250,0)</f>
        <v>14691844</v>
      </c>
      <c r="C730" s="276">
        <f>ROUND(C251,0)</f>
        <v>0</v>
      </c>
      <c r="D730" s="276">
        <f>ROUND(C252,0)</f>
        <v>7577348</v>
      </c>
      <c r="E730" s="276">
        <f>ROUND(C253,0)</f>
        <v>3651546</v>
      </c>
      <c r="F730" s="276">
        <f>ROUND(C254,0)</f>
        <v>207436</v>
      </c>
      <c r="G730" s="276">
        <f>ROUND(C255,0)</f>
        <v>181937</v>
      </c>
      <c r="H730" s="276">
        <f>ROUND(C256,0)</f>
        <v>0</v>
      </c>
      <c r="I730" s="276">
        <f>ROUND(C257,0)</f>
        <v>167327</v>
      </c>
      <c r="J730" s="276">
        <f>ROUND(C258,0)</f>
        <v>51836</v>
      </c>
      <c r="K730" s="276">
        <f>ROUND(C259,0)</f>
        <v>0</v>
      </c>
      <c r="L730" s="276">
        <f>ROUND(C262,0)</f>
        <v>34666</v>
      </c>
      <c r="M730" s="276">
        <f>ROUND(C263,0)</f>
        <v>0</v>
      </c>
      <c r="N730" s="276">
        <f>ROUND(C264,0)</f>
        <v>0</v>
      </c>
      <c r="O730" s="276">
        <f>ROUND(C267,0)</f>
        <v>14631178</v>
      </c>
      <c r="P730" s="276">
        <f>ROUND(C268,0)</f>
        <v>11955882</v>
      </c>
      <c r="Q730" s="276">
        <f>ROUND(C269,0)</f>
        <v>31774155</v>
      </c>
      <c r="R730" s="276">
        <f>ROUND(C270,0)</f>
        <v>6064810</v>
      </c>
      <c r="S730" s="276">
        <f>ROUND(C271,0)</f>
        <v>0</v>
      </c>
      <c r="T730" s="276">
        <f>ROUND(C272,0)</f>
        <v>6014831</v>
      </c>
      <c r="U730" s="276">
        <f>ROUND(C273,0)</f>
        <v>0</v>
      </c>
      <c r="V730" s="276">
        <f>ROUND(C274,0)</f>
        <v>401252</v>
      </c>
      <c r="W730" s="276">
        <f>ROUND(C275,0)</f>
        <v>0</v>
      </c>
      <c r="X730" s="276">
        <f>ROUND(C276,0)</f>
        <v>12572196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0</v>
      </c>
      <c r="AC730" s="276">
        <f>ROUND(C286,0)</f>
        <v>0</v>
      </c>
      <c r="AD730" s="276">
        <f>ROUND(C287,0)</f>
        <v>2460038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638711</v>
      </c>
      <c r="AI730" s="276">
        <f>ROUND(C306,0)</f>
        <v>1924511</v>
      </c>
      <c r="AJ730" s="276">
        <f>ROUND(C307,0)</f>
        <v>235102</v>
      </c>
      <c r="AK730" s="276">
        <f>ROUND(C308,0)</f>
        <v>0</v>
      </c>
      <c r="AL730" s="276">
        <f>ROUND(C309,0)</f>
        <v>219250</v>
      </c>
      <c r="AM730" s="276">
        <f>ROUND(C310,0)</f>
        <v>0</v>
      </c>
      <c r="AN730" s="276">
        <f>ROUND(C311,0)</f>
        <v>0</v>
      </c>
      <c r="AO730" s="276">
        <f>ROUND(C312,0)</f>
        <v>0</v>
      </c>
      <c r="AP730" s="276">
        <f>ROUND(C313,0)</f>
        <v>0</v>
      </c>
      <c r="AQ730" s="276">
        <f>ROUND(C316,0)</f>
        <v>0</v>
      </c>
      <c r="AR730" s="276">
        <f>ROUND(C317,0)</f>
        <v>-82823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96273321</v>
      </c>
      <c r="AY730" s="276">
        <f>ROUND(C326,0)</f>
        <v>0</v>
      </c>
      <c r="AZ730" s="276">
        <f>ROUND(C327,0)</f>
        <v>0</v>
      </c>
      <c r="BA730" s="276">
        <f>ROUND(C328,0)</f>
        <v>0</v>
      </c>
      <c r="BB730" s="276">
        <f>ROUND(C332,0)</f>
        <v>0</v>
      </c>
      <c r="BC730" s="276"/>
      <c r="BD730" s="276"/>
      <c r="BE730" s="276">
        <f>ROUND(C337,0)</f>
        <v>-19217275</v>
      </c>
      <c r="BF730" s="276">
        <f>ROUND(C336,0)</f>
        <v>0</v>
      </c>
      <c r="BG730" s="276"/>
      <c r="BH730" s="276"/>
      <c r="BI730" s="276">
        <f>ROUND(CE60,2)</f>
        <v>213.08</v>
      </c>
      <c r="BJ730" s="276">
        <f>ROUND(C359,0)</f>
        <v>26280221</v>
      </c>
      <c r="BK730" s="276">
        <f>ROUND(C360,0)</f>
        <v>20348529</v>
      </c>
      <c r="BL730" s="276">
        <f>ROUND(C364,0)</f>
        <v>10349839</v>
      </c>
      <c r="BM730" s="276">
        <f>ROUND(C365,0)</f>
        <v>830074</v>
      </c>
      <c r="BN730" s="276">
        <f>ROUND(C366,0)</f>
        <v>0</v>
      </c>
      <c r="BO730" s="276">
        <f>ROUND(C370,0)</f>
        <v>337376</v>
      </c>
      <c r="BP730" s="276">
        <f>ROUND(C371,0)</f>
        <v>3673873</v>
      </c>
      <c r="BQ730" s="276">
        <f>ROUND(C378,0)</f>
        <v>16685479</v>
      </c>
      <c r="BR730" s="276">
        <f>ROUND(C379,0)</f>
        <v>3286236</v>
      </c>
      <c r="BS730" s="276">
        <f>ROUND(C380,0)</f>
        <v>1094095</v>
      </c>
      <c r="BT730" s="276">
        <f>ROUND(C381,0)</f>
        <v>2503312</v>
      </c>
      <c r="BU730" s="276">
        <f>ROUND(C382,0)</f>
        <v>453426</v>
      </c>
      <c r="BV730" s="276">
        <f>ROUND(C383,0)</f>
        <v>1847711</v>
      </c>
      <c r="BW730" s="276">
        <f>ROUND(C384,0)</f>
        <v>3262280</v>
      </c>
      <c r="BX730" s="276">
        <f>ROUND(C385,0)</f>
        <v>1988410</v>
      </c>
      <c r="BY730" s="276">
        <f>ROUND(C386,0)</f>
        <v>177931</v>
      </c>
      <c r="BZ730" s="276">
        <f>ROUND(C387,0)</f>
        <v>274989</v>
      </c>
      <c r="CA730" s="276">
        <f>ROUND(C388,0)</f>
        <v>5811786</v>
      </c>
      <c r="CB730" s="276">
        <f>C363</f>
        <v>1678054</v>
      </c>
      <c r="CC730" s="276">
        <f>ROUND(C389,0)</f>
        <v>218178</v>
      </c>
      <c r="CD730" s="276">
        <f>ROUND(C392,0)</f>
        <v>48892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195*2017*6010*A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>
        <f>IF(M668&lt;&gt;0,ROUND(M668,0),0)</f>
        <v>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195*2017*6030*A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5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195*2017*6070*A</v>
      </c>
      <c r="B736" s="276">
        <f>ROUND(E59,0)</f>
        <v>148</v>
      </c>
      <c r="C736" s="278">
        <f>ROUND(E60,2)</f>
        <v>0.9</v>
      </c>
      <c r="D736" s="276">
        <f>ROUND(E61,0)</f>
        <v>56374</v>
      </c>
      <c r="E736" s="276">
        <f>ROUND(E62,0)</f>
        <v>11996</v>
      </c>
      <c r="F736" s="276">
        <f>ROUND(E63,0)</f>
        <v>5071</v>
      </c>
      <c r="G736" s="276">
        <f>ROUND(E64,0)</f>
        <v>5133</v>
      </c>
      <c r="H736" s="276">
        <f>ROUND(E65,0)</f>
        <v>18</v>
      </c>
      <c r="I736" s="276">
        <f>ROUND(E66,0)</f>
        <v>1672</v>
      </c>
      <c r="J736" s="276">
        <f>ROUND(E67,0)</f>
        <v>186603</v>
      </c>
      <c r="K736" s="276">
        <f>ROUND(E68,0)</f>
        <v>0</v>
      </c>
      <c r="L736" s="276">
        <f>ROUND(E69,0)</f>
        <v>330</v>
      </c>
      <c r="M736" s="276">
        <f>ROUND(E70,0)</f>
        <v>0</v>
      </c>
      <c r="N736" s="276">
        <f>ROUND(E75,0)</f>
        <v>618288</v>
      </c>
      <c r="O736" s="276">
        <f>ROUND(E73,0)</f>
        <v>510785</v>
      </c>
      <c r="P736" s="276">
        <f>IF(E76&gt;0,ROUND(E76,0),0)</f>
        <v>2731</v>
      </c>
      <c r="Q736" s="276">
        <f>IF(E77&gt;0,ROUND(E77,0),0)</f>
        <v>0</v>
      </c>
      <c r="R736" s="276">
        <f>IF(E78&gt;0,ROUND(E78,0),0)</f>
        <v>1050</v>
      </c>
      <c r="S736" s="276">
        <f>IF(E79&gt;0,ROUND(E79,0),0)</f>
        <v>2627</v>
      </c>
      <c r="T736" s="278">
        <f>IF(E80&gt;0,ROUND(E80,2),0)</f>
        <v>0.9</v>
      </c>
      <c r="U736" s="276"/>
      <c r="V736" s="277"/>
      <c r="W736" s="276"/>
      <c r="X736" s="276"/>
      <c r="Y736" s="276">
        <f t="shared" si="25"/>
        <v>738375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195*2017*6100*A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5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195*2017*6120*A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5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195*2017*6140*A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5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195*2017*6150*A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5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195*2017*6170*A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5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195*2017*6200*A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5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195*2017*6210*A</v>
      </c>
      <c r="B743" s="276">
        <f>ROUND(L59,0)</f>
        <v>8105</v>
      </c>
      <c r="C743" s="278">
        <f>ROUND(L60,2)</f>
        <v>49.04</v>
      </c>
      <c r="D743" s="276">
        <f>ROUND(L61,0)</f>
        <v>3075531</v>
      </c>
      <c r="E743" s="276">
        <f>ROUND(L62,0)</f>
        <v>654495</v>
      </c>
      <c r="F743" s="276">
        <f>ROUND(L63,0)</f>
        <v>276676</v>
      </c>
      <c r="G743" s="276">
        <f>ROUND(L64,0)</f>
        <v>280048</v>
      </c>
      <c r="H743" s="276">
        <f>ROUND(L65,0)</f>
        <v>994</v>
      </c>
      <c r="I743" s="276">
        <f>ROUND(L66,0)</f>
        <v>91238</v>
      </c>
      <c r="J743" s="276">
        <f>ROUND(L67,0)</f>
        <v>746414</v>
      </c>
      <c r="K743" s="276">
        <f>ROUND(L68,0)</f>
        <v>582385</v>
      </c>
      <c r="L743" s="276">
        <f>ROUND(L69,0)</f>
        <v>18030</v>
      </c>
      <c r="M743" s="276">
        <f>ROUND(L70,0)</f>
        <v>0</v>
      </c>
      <c r="N743" s="276">
        <f>ROUND(L75,0)</f>
        <v>18063848</v>
      </c>
      <c r="O743" s="276">
        <f>ROUND(L73,0)</f>
        <v>18063848</v>
      </c>
      <c r="P743" s="276">
        <f>IF(L76&gt;0,ROUND(L76,0),0)</f>
        <v>10925</v>
      </c>
      <c r="Q743" s="276">
        <f>IF(L77&gt;0,ROUND(L77,0),0)</f>
        <v>0</v>
      </c>
      <c r="R743" s="276">
        <f>IF(L78&gt;0,ROUND(L78,0),0)</f>
        <v>4201</v>
      </c>
      <c r="S743" s="276">
        <f>IF(L79&gt;0,ROUND(L79,0),0)</f>
        <v>143313</v>
      </c>
      <c r="T743" s="278">
        <f>IF(L80&gt;0,ROUND(L80,2),0)</f>
        <v>49.04</v>
      </c>
      <c r="U743" s="276"/>
      <c r="V743" s="277"/>
      <c r="W743" s="276"/>
      <c r="X743" s="276"/>
      <c r="Y743" s="276">
        <f t="shared" si="25"/>
        <v>6056055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195*2017*6330*A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5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195*2017*6400*A</v>
      </c>
      <c r="B745" s="276">
        <f>ROUND(N59,0)</f>
        <v>0</v>
      </c>
      <c r="C745" s="278">
        <f>ROUND(N60,2)</f>
        <v>2.87</v>
      </c>
      <c r="D745" s="276">
        <f>ROUND(N61,0)</f>
        <v>689814</v>
      </c>
      <c r="E745" s="276">
        <f>ROUND(N62,0)</f>
        <v>74898</v>
      </c>
      <c r="F745" s="276">
        <f>ROUND(N63,0)</f>
        <v>0</v>
      </c>
      <c r="G745" s="276">
        <f>ROUND(N64,0)</f>
        <v>197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5311</v>
      </c>
      <c r="M745" s="276">
        <f>ROUND(N70,0)</f>
        <v>0</v>
      </c>
      <c r="N745" s="276">
        <f>ROUND(N75,0)</f>
        <v>586953</v>
      </c>
      <c r="O745" s="276">
        <f>ROUND(N73,0)</f>
        <v>570142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5"/>
        <v>161102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195*2017*7010*A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5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195*2017*7020*A</v>
      </c>
      <c r="B747" s="276">
        <f>ROUND(P59,0)</f>
        <v>14580</v>
      </c>
      <c r="C747" s="278">
        <f>ROUND(P60,2)</f>
        <v>1.18</v>
      </c>
      <c r="D747" s="276">
        <f>ROUND(P61,0)</f>
        <v>99185</v>
      </c>
      <c r="E747" s="276">
        <f>ROUND(P62,0)</f>
        <v>16618</v>
      </c>
      <c r="F747" s="276">
        <f>ROUND(P63,0)</f>
        <v>0</v>
      </c>
      <c r="G747" s="276">
        <f>ROUND(P64,0)</f>
        <v>66570</v>
      </c>
      <c r="H747" s="276">
        <f>ROUND(P65,0)</f>
        <v>0</v>
      </c>
      <c r="I747" s="276">
        <f>ROUND(P66,0)</f>
        <v>1933</v>
      </c>
      <c r="J747" s="276">
        <f>ROUND(P67,0)</f>
        <v>74472</v>
      </c>
      <c r="K747" s="276">
        <f>ROUND(P68,0)</f>
        <v>0</v>
      </c>
      <c r="L747" s="276">
        <f>ROUND(P69,0)</f>
        <v>1482</v>
      </c>
      <c r="M747" s="276">
        <f>ROUND(P70,0)</f>
        <v>0</v>
      </c>
      <c r="N747" s="276">
        <f>ROUND(P75,0)</f>
        <v>1152261</v>
      </c>
      <c r="O747" s="276">
        <f>ROUND(P73,0)</f>
        <v>19712</v>
      </c>
      <c r="P747" s="276">
        <f>IF(P76&gt;0,ROUND(P76,0),0)</f>
        <v>1090</v>
      </c>
      <c r="Q747" s="276">
        <f>IF(P77&gt;0,ROUND(P77,0),0)</f>
        <v>0</v>
      </c>
      <c r="R747" s="276">
        <f>IF(P78&gt;0,ROUND(P78,0),0)</f>
        <v>419</v>
      </c>
      <c r="S747" s="276">
        <f>IF(P79&gt;0,ROUND(P79,0),0)</f>
        <v>9355</v>
      </c>
      <c r="T747" s="278">
        <f>IF(P80&gt;0,ROUND(P80,2),0)</f>
        <v>0</v>
      </c>
      <c r="U747" s="276"/>
      <c r="V747" s="277"/>
      <c r="W747" s="276"/>
      <c r="X747" s="276"/>
      <c r="Y747" s="276">
        <f t="shared" si="25"/>
        <v>392601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195*2017*7030*A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5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195*2017*7040*A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0</v>
      </c>
      <c r="G749" s="276">
        <f>ROUND(R64,0)</f>
        <v>0</v>
      </c>
      <c r="H749" s="276">
        <f>ROUND(R65,0)</f>
        <v>0</v>
      </c>
      <c r="I749" s="276">
        <f>ROUND(R66,0)</f>
        <v>0</v>
      </c>
      <c r="J749" s="276">
        <f>ROUND(R67,0)</f>
        <v>0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0</v>
      </c>
      <c r="O749" s="276">
        <f>ROUND(R73,0)</f>
        <v>0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5"/>
        <v>0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195*2017*7050*A</v>
      </c>
      <c r="B750" s="276"/>
      <c r="C750" s="278">
        <f>ROUND(S60,2)</f>
        <v>2.71</v>
      </c>
      <c r="D750" s="276">
        <f>ROUND(S61,0)</f>
        <v>160928</v>
      </c>
      <c r="E750" s="276">
        <f>ROUND(S62,0)</f>
        <v>41666</v>
      </c>
      <c r="F750" s="276">
        <f>ROUND(S63,0)</f>
        <v>0</v>
      </c>
      <c r="G750" s="276">
        <f>ROUND(S64,0)</f>
        <v>-1852</v>
      </c>
      <c r="H750" s="276">
        <f>ROUND(S65,0)</f>
        <v>0</v>
      </c>
      <c r="I750" s="276">
        <f>ROUND(S66,0)</f>
        <v>55741</v>
      </c>
      <c r="J750" s="276">
        <f>ROUND(S67,0)</f>
        <v>121000</v>
      </c>
      <c r="K750" s="276">
        <f>ROUND(S68,0)</f>
        <v>0</v>
      </c>
      <c r="L750" s="276">
        <f>ROUND(S69,0)</f>
        <v>4277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1771</v>
      </c>
      <c r="Q750" s="276">
        <f>IF(S77&gt;0,ROUND(S77,0),0)</f>
        <v>0</v>
      </c>
      <c r="R750" s="276">
        <f>IF(S78&gt;0,ROUND(S78,0),0)</f>
        <v>681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5"/>
        <v>479296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195*2017*7060*A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5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195*2017*7070*A</v>
      </c>
      <c r="B752" s="276">
        <f>ROUND(U59,0)</f>
        <v>42614</v>
      </c>
      <c r="C752" s="278">
        <f>ROUND(U60,2)</f>
        <v>9.89</v>
      </c>
      <c r="D752" s="276">
        <f>ROUND(U61,0)</f>
        <v>582116</v>
      </c>
      <c r="E752" s="276">
        <f>ROUND(U62,0)</f>
        <v>146216</v>
      </c>
      <c r="F752" s="276">
        <f>ROUND(U63,0)</f>
        <v>0</v>
      </c>
      <c r="G752" s="276">
        <f>ROUND(U64,0)</f>
        <v>385775</v>
      </c>
      <c r="H752" s="276">
        <f>ROUND(U65,0)</f>
        <v>0</v>
      </c>
      <c r="I752" s="276">
        <f>ROUND(U66,0)</f>
        <v>196673</v>
      </c>
      <c r="J752" s="276">
        <f>ROUND(U67,0)</f>
        <v>63950</v>
      </c>
      <c r="K752" s="276">
        <f>ROUND(U68,0)</f>
        <v>13525</v>
      </c>
      <c r="L752" s="276">
        <f>ROUND(U69,0)</f>
        <v>3262</v>
      </c>
      <c r="M752" s="276">
        <f>ROUND(U70,0)</f>
        <v>0</v>
      </c>
      <c r="N752" s="276">
        <f>ROUND(U75,0)</f>
        <v>3291034</v>
      </c>
      <c r="O752" s="276">
        <f>ROUND(U73,0)</f>
        <v>627562</v>
      </c>
      <c r="P752" s="276">
        <f>IF(U76&gt;0,ROUND(U76,0),0)</f>
        <v>936</v>
      </c>
      <c r="Q752" s="276">
        <f>IF(U77&gt;0,ROUND(U77,0),0)</f>
        <v>0</v>
      </c>
      <c r="R752" s="276">
        <f>IF(U78&gt;0,ROUND(U78,0),0)</f>
        <v>360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5"/>
        <v>756728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195*2017*7110*A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0</v>
      </c>
      <c r="O753" s="276">
        <f>ROUND(V73,0)</f>
        <v>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5"/>
        <v>0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195*2017*7120*A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8640</v>
      </c>
      <c r="G754" s="276">
        <f>ROUND(W64,0)</f>
        <v>0</v>
      </c>
      <c r="H754" s="276">
        <f>ROUND(W65,0)</f>
        <v>0</v>
      </c>
      <c r="I754" s="276">
        <f>ROUND(W66,0)</f>
        <v>97</v>
      </c>
      <c r="J754" s="276">
        <f>ROUND(W67,0)</f>
        <v>32196</v>
      </c>
      <c r="K754" s="276">
        <f>ROUND(W68,0)</f>
        <v>218498</v>
      </c>
      <c r="L754" s="276">
        <f>ROUND(W69,0)</f>
        <v>0</v>
      </c>
      <c r="M754" s="276">
        <f>ROUND(W70,0)</f>
        <v>0</v>
      </c>
      <c r="N754" s="276">
        <f>ROUND(W75,0)</f>
        <v>789230</v>
      </c>
      <c r="O754" s="276">
        <f>ROUND(W73,0)</f>
        <v>124821</v>
      </c>
      <c r="P754" s="276">
        <f>IF(W76&gt;0,ROUND(W76,0),0)</f>
        <v>471</v>
      </c>
      <c r="Q754" s="276">
        <f>IF(W77&gt;0,ROUND(W77,0),0)</f>
        <v>0</v>
      </c>
      <c r="R754" s="276">
        <f>IF(W78&gt;0,ROUND(W78,0),0)</f>
        <v>181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5"/>
        <v>203970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195*2017*7130*A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38340</v>
      </c>
      <c r="G755" s="276">
        <f>ROUND(X64,0)</f>
        <v>0</v>
      </c>
      <c r="H755" s="276">
        <f>ROUND(X65,0)</f>
        <v>0</v>
      </c>
      <c r="I755" s="276">
        <f>ROUND(X66,0)</f>
        <v>0</v>
      </c>
      <c r="J755" s="276">
        <f>ROUND(X67,0)</f>
        <v>57076</v>
      </c>
      <c r="K755" s="276">
        <f>ROUND(X68,0)</f>
        <v>177463</v>
      </c>
      <c r="L755" s="276">
        <f>ROUND(X69,0)</f>
        <v>0</v>
      </c>
      <c r="M755" s="276">
        <f>ROUND(X70,0)</f>
        <v>0</v>
      </c>
      <c r="N755" s="276">
        <f>ROUND(X75,0)</f>
        <v>2499610</v>
      </c>
      <c r="O755" s="276">
        <f>ROUND(X73,0)</f>
        <v>232412</v>
      </c>
      <c r="P755" s="276">
        <f>IF(X76&gt;0,ROUND(X76,0),0)</f>
        <v>835</v>
      </c>
      <c r="Q755" s="276">
        <f>IF(X77&gt;0,ROUND(X77,0),0)</f>
        <v>0</v>
      </c>
      <c r="R755" s="276">
        <f>IF(X78&gt;0,ROUND(X78,0),0)</f>
        <v>321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5"/>
        <v>439085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195*2017*7140*A</v>
      </c>
      <c r="B756" s="276">
        <f>ROUND(Y59,0)</f>
        <v>0</v>
      </c>
      <c r="C756" s="278">
        <f>ROUND(Y60,2)</f>
        <v>8.01</v>
      </c>
      <c r="D756" s="276">
        <f>ROUND(Y61,0)</f>
        <v>621659</v>
      </c>
      <c r="E756" s="276">
        <f>ROUND(Y62,0)</f>
        <v>106040</v>
      </c>
      <c r="F756" s="276">
        <f>ROUND(Y63,0)</f>
        <v>66650</v>
      </c>
      <c r="G756" s="276">
        <f>ROUND(Y64,0)</f>
        <v>49981</v>
      </c>
      <c r="H756" s="276">
        <f>ROUND(Y65,0)</f>
        <v>0</v>
      </c>
      <c r="I756" s="276">
        <f>ROUND(Y66,0)</f>
        <v>8770</v>
      </c>
      <c r="J756" s="276">
        <f>ROUND(Y67,0)</f>
        <v>57076</v>
      </c>
      <c r="K756" s="276">
        <f>ROUND(Y68,0)</f>
        <v>123505</v>
      </c>
      <c r="L756" s="276">
        <f>ROUND(Y69,0)</f>
        <v>77</v>
      </c>
      <c r="M756" s="276">
        <f>ROUND(Y70,0)</f>
        <v>0</v>
      </c>
      <c r="N756" s="276">
        <f>ROUND(Y75,0)</f>
        <v>1658011</v>
      </c>
      <c r="O756" s="276">
        <f>ROUND(Y73,0)</f>
        <v>201630</v>
      </c>
      <c r="P756" s="276">
        <f>IF(Y76&gt;0,ROUND(Y76,0),0)</f>
        <v>835</v>
      </c>
      <c r="Q756" s="276">
        <f>IF(Y77&gt;0,ROUND(Y77,0),0)</f>
        <v>0</v>
      </c>
      <c r="R756" s="276">
        <f>IF(Y78&gt;0,ROUND(Y78,0),0)</f>
        <v>321</v>
      </c>
      <c r="S756" s="276">
        <f>IF(Y79&gt;0,ROUND(Y79,0),0)</f>
        <v>3274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5"/>
        <v>533446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195*2017*7150*A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5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195*2017*7160*A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5"/>
        <v>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195*2017*7170*A</v>
      </c>
      <c r="B759" s="276"/>
      <c r="C759" s="278">
        <f>ROUND(AB60,2)</f>
        <v>5.62</v>
      </c>
      <c r="D759" s="276">
        <f>ROUND(AB61,0)</f>
        <v>432888</v>
      </c>
      <c r="E759" s="276">
        <f>ROUND(AB62,0)</f>
        <v>64700</v>
      </c>
      <c r="F759" s="276">
        <f>ROUND(AB63,0)</f>
        <v>0</v>
      </c>
      <c r="G759" s="276">
        <f>ROUND(AB64,0)</f>
        <v>761532</v>
      </c>
      <c r="H759" s="276">
        <f>ROUND(AB65,0)</f>
        <v>16732</v>
      </c>
      <c r="I759" s="276">
        <f>ROUND(AB66,0)</f>
        <v>5700</v>
      </c>
      <c r="J759" s="276">
        <f>ROUND(AB67,0)</f>
        <v>66751</v>
      </c>
      <c r="K759" s="276">
        <f>ROUND(AB68,0)</f>
        <v>73267</v>
      </c>
      <c r="L759" s="276">
        <f>ROUND(AB69,0)</f>
        <v>791</v>
      </c>
      <c r="M759" s="276">
        <f>ROUND(AB70,0)</f>
        <v>0</v>
      </c>
      <c r="N759" s="276">
        <f>ROUND(AB75,0)</f>
        <v>2666860</v>
      </c>
      <c r="O759" s="276">
        <f>ROUND(AB73,0)</f>
        <v>2130377</v>
      </c>
      <c r="P759" s="276">
        <f>IF(AB76&gt;0,ROUND(AB76,0),0)</f>
        <v>977</v>
      </c>
      <c r="Q759" s="276">
        <f>IF(AB77&gt;0,ROUND(AB77,0),0)</f>
        <v>0</v>
      </c>
      <c r="R759" s="276">
        <f>IF(AB78&gt;0,ROUND(AB78,0),0)</f>
        <v>376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5"/>
        <v>665729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195*2017*7180*A</v>
      </c>
      <c r="B760" s="276">
        <f>ROUND(AC59,0)</f>
        <v>0</v>
      </c>
      <c r="C760" s="278">
        <f>ROUND(AC60,2)</f>
        <v>0</v>
      </c>
      <c r="D760" s="276">
        <f>ROUND(AC61,0)</f>
        <v>0</v>
      </c>
      <c r="E760" s="276">
        <f>ROUND(AC62,0)</f>
        <v>0</v>
      </c>
      <c r="F760" s="276">
        <f>ROUND(AC63,0)</f>
        <v>0</v>
      </c>
      <c r="G760" s="276">
        <f>ROUND(AC64,0)</f>
        <v>0</v>
      </c>
      <c r="H760" s="276">
        <f>ROUND(AC65,0)</f>
        <v>0</v>
      </c>
      <c r="I760" s="276">
        <f>ROUND(AC66,0)</f>
        <v>0</v>
      </c>
      <c r="J760" s="276">
        <f>ROUND(AC67,0)</f>
        <v>0</v>
      </c>
      <c r="K760" s="276">
        <f>ROUND(AC68,0)</f>
        <v>0</v>
      </c>
      <c r="L760" s="276">
        <f>ROUND(AC69,0)</f>
        <v>0</v>
      </c>
      <c r="M760" s="276">
        <f>ROUND(AC70,0)</f>
        <v>0</v>
      </c>
      <c r="N760" s="276">
        <f>ROUND(AC75,0)</f>
        <v>0</v>
      </c>
      <c r="O760" s="276">
        <f>ROUND(AC73,0)</f>
        <v>0</v>
      </c>
      <c r="P760" s="276">
        <f>IF(AC76&gt;0,ROUND(AC76,0),0)</f>
        <v>0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5"/>
        <v>0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195*2017*7190*A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5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195*2017*7200*A</v>
      </c>
      <c r="B762" s="276">
        <f>ROUND(AE59,0)</f>
        <v>16529</v>
      </c>
      <c r="C762" s="278">
        <f>ROUND(AE60,2)</f>
        <v>7.8</v>
      </c>
      <c r="D762" s="276">
        <f>ROUND(AE61,0)</f>
        <v>628388</v>
      </c>
      <c r="E762" s="276">
        <f>ROUND(AE62,0)</f>
        <v>124125</v>
      </c>
      <c r="F762" s="276">
        <f>ROUND(AE63,0)</f>
        <v>0</v>
      </c>
      <c r="G762" s="276">
        <f>ROUND(AE64,0)</f>
        <v>34598</v>
      </c>
      <c r="H762" s="276">
        <f>ROUND(AE65,0)</f>
        <v>0</v>
      </c>
      <c r="I762" s="276">
        <f>ROUND(AE66,0)</f>
        <v>8316</v>
      </c>
      <c r="J762" s="276">
        <f>ROUND(AE67,0)</f>
        <v>85115</v>
      </c>
      <c r="K762" s="276">
        <f>ROUND(AE68,0)</f>
        <v>11440</v>
      </c>
      <c r="L762" s="276">
        <f>ROUND(AE69,0)</f>
        <v>4029</v>
      </c>
      <c r="M762" s="276">
        <f>ROUND(AE70,0)</f>
        <v>0</v>
      </c>
      <c r="N762" s="276">
        <f>ROUND(AE75,0)</f>
        <v>2319617</v>
      </c>
      <c r="O762" s="276">
        <f>ROUND(AE73,0)</f>
        <v>1340174</v>
      </c>
      <c r="P762" s="276">
        <f>IF(AE76&gt;0,ROUND(AE76,0),0)</f>
        <v>1246</v>
      </c>
      <c r="Q762" s="276">
        <f>IF(AE77&gt;0,ROUND(AE77,0),0)</f>
        <v>0</v>
      </c>
      <c r="R762" s="276">
        <f>IF(AE78&gt;0,ROUND(AE78,0),0)</f>
        <v>479</v>
      </c>
      <c r="S762" s="276">
        <f>IF(AE79&gt;0,ROUND(AE79,0),0)</f>
        <v>468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5"/>
        <v>670131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195*2017*7220*A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5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195*2017*7230*A</v>
      </c>
      <c r="B764" s="276">
        <f>ROUND(AG59,0)</f>
        <v>3920</v>
      </c>
      <c r="C764" s="278">
        <f>ROUND(AG60,2)</f>
        <v>16.079999999999998</v>
      </c>
      <c r="D764" s="276">
        <f>ROUND(AG61,0)</f>
        <v>1967500</v>
      </c>
      <c r="E764" s="276">
        <f>ROUND(AG62,0)</f>
        <v>285735</v>
      </c>
      <c r="F764" s="276">
        <f>ROUND(AG63,0)</f>
        <v>276619</v>
      </c>
      <c r="G764" s="276">
        <f>ROUND(AG64,0)</f>
        <v>76894</v>
      </c>
      <c r="H764" s="276">
        <f>ROUND(AG65,0)</f>
        <v>0</v>
      </c>
      <c r="I764" s="276">
        <f>ROUND(AG66,0)</f>
        <v>3056</v>
      </c>
      <c r="J764" s="276">
        <f>ROUND(AG67,0)</f>
        <v>266254</v>
      </c>
      <c r="K764" s="276">
        <f>ROUND(AG68,0)</f>
        <v>14564</v>
      </c>
      <c r="L764" s="276">
        <f>ROUND(AG69,0)</f>
        <v>11587</v>
      </c>
      <c r="M764" s="276">
        <f>ROUND(AG70,0)</f>
        <v>0</v>
      </c>
      <c r="N764" s="276">
        <f>ROUND(AG75,0)</f>
        <v>6055364</v>
      </c>
      <c r="O764" s="276">
        <f>ROUND(AG73,0)</f>
        <v>25098</v>
      </c>
      <c r="P764" s="276">
        <f>IF(AG76&gt;0,ROUND(AG76,0),0)</f>
        <v>3897</v>
      </c>
      <c r="Q764" s="276">
        <f>IF(AG77&gt;0,ROUND(AG77,0),0)</f>
        <v>0</v>
      </c>
      <c r="R764" s="276">
        <f>IF(AG78&gt;0,ROUND(AG78,0),0)</f>
        <v>1499</v>
      </c>
      <c r="S764" s="276">
        <f>IF(AG79&gt;0,ROUND(AG79,0),0)</f>
        <v>28065</v>
      </c>
      <c r="T764" s="278">
        <f>IF(AG80&gt;0,ROUND(AG80,2),0)</f>
        <v>0</v>
      </c>
      <c r="U764" s="276"/>
      <c r="V764" s="277"/>
      <c r="W764" s="276"/>
      <c r="X764" s="276"/>
      <c r="Y764" s="276">
        <f t="shared" si="25"/>
        <v>1905737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195*2017*7240*A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5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195*2017*7250*A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5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195*2017*7260*A</v>
      </c>
      <c r="B767" s="276">
        <f>ROUND(AJ59,0)</f>
        <v>6160</v>
      </c>
      <c r="C767" s="278">
        <f>ROUND(AJ60,2)</f>
        <v>8.91</v>
      </c>
      <c r="D767" s="276">
        <f>ROUND(AJ61,0)</f>
        <v>1244124</v>
      </c>
      <c r="E767" s="276">
        <f>ROUND(AJ62,0)</f>
        <v>211481</v>
      </c>
      <c r="F767" s="276">
        <f>ROUND(AJ63,0)</f>
        <v>23998</v>
      </c>
      <c r="G767" s="276">
        <f>ROUND(AJ64,0)</f>
        <v>11361</v>
      </c>
      <c r="H767" s="276">
        <f>ROUND(AJ65,0)</f>
        <v>1751</v>
      </c>
      <c r="I767" s="276">
        <f>ROUND(AJ66,0)</f>
        <v>5789</v>
      </c>
      <c r="J767" s="276">
        <f>ROUND(AJ67,0)</f>
        <v>110136</v>
      </c>
      <c r="K767" s="276">
        <f>ROUND(AJ68,0)</f>
        <v>0</v>
      </c>
      <c r="L767" s="276">
        <f>ROUND(AJ69,0)</f>
        <v>11599</v>
      </c>
      <c r="M767" s="276">
        <f>ROUND(AJ70,0)</f>
        <v>0</v>
      </c>
      <c r="N767" s="276">
        <f>ROUND(AJ75,0)</f>
        <v>1432441</v>
      </c>
      <c r="O767" s="276">
        <f>ROUND(AJ73,0)</f>
        <v>18475</v>
      </c>
      <c r="P767" s="276">
        <f>IF(AJ76&gt;0,ROUND(AJ76,0),0)</f>
        <v>1612</v>
      </c>
      <c r="Q767" s="276">
        <f>IF(AJ77&gt;0,ROUND(AJ77,0),0)</f>
        <v>0</v>
      </c>
      <c r="R767" s="276">
        <f>IF(AJ78&gt;0,ROUND(AJ78,0),0)</f>
        <v>620</v>
      </c>
      <c r="S767" s="276">
        <f>IF(AJ79&gt;0,ROUND(AJ79,0),0)</f>
        <v>0</v>
      </c>
      <c r="T767" s="278">
        <f>IF(AJ80&gt;0,ROUND(AJ80,2),0)</f>
        <v>0</v>
      </c>
      <c r="U767" s="276"/>
      <c r="V767" s="277"/>
      <c r="W767" s="276"/>
      <c r="X767" s="276"/>
      <c r="Y767" s="276">
        <f t="shared" si="25"/>
        <v>762424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195*2017*7310*A</v>
      </c>
      <c r="B768" s="276">
        <f>ROUND(AK59,0)</f>
        <v>11439</v>
      </c>
      <c r="C768" s="278">
        <f>ROUND(AK60,2)</f>
        <v>4.5</v>
      </c>
      <c r="D768" s="276">
        <f>ROUND(AK61,0)</f>
        <v>418639</v>
      </c>
      <c r="E768" s="276">
        <f>ROUND(AK62,0)</f>
        <v>79090</v>
      </c>
      <c r="F768" s="276">
        <f>ROUND(AK63,0)</f>
        <v>0</v>
      </c>
      <c r="G768" s="276">
        <f>ROUND(AK64,0)</f>
        <v>463</v>
      </c>
      <c r="H768" s="276">
        <f>ROUND(AK65,0)</f>
        <v>0</v>
      </c>
      <c r="I768" s="276">
        <f>ROUND(AK66,0)</f>
        <v>0</v>
      </c>
      <c r="J768" s="276">
        <f>ROUND(AK67,0)</f>
        <v>47286</v>
      </c>
      <c r="K768" s="276">
        <f>ROUND(AK68,0)</f>
        <v>0</v>
      </c>
      <c r="L768" s="276">
        <f>ROUND(AK69,0)</f>
        <v>449</v>
      </c>
      <c r="M768" s="276">
        <f>ROUND(AK70,0)</f>
        <v>0</v>
      </c>
      <c r="N768" s="276">
        <f>ROUND(AK75,0)</f>
        <v>1637320</v>
      </c>
      <c r="O768" s="276">
        <f>ROUND(AK73,0)</f>
        <v>1364543</v>
      </c>
      <c r="P768" s="276">
        <f>IF(AK76&gt;0,ROUND(AK76,0),0)</f>
        <v>692</v>
      </c>
      <c r="Q768" s="276">
        <f>IF(AK77&gt;0,ROUND(AK77,0),0)</f>
        <v>0</v>
      </c>
      <c r="R768" s="276">
        <f>IF(AK78&gt;0,ROUND(AK78,0),0)</f>
        <v>266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5"/>
        <v>409478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195*2017*7320*A</v>
      </c>
      <c r="B769" s="276">
        <f>ROUND(AL59,0)</f>
        <v>3717</v>
      </c>
      <c r="C769" s="278">
        <f>ROUND(AL60,2)</f>
        <v>2.02</v>
      </c>
      <c r="D769" s="276">
        <f>ROUND(AL61,0)</f>
        <v>181810</v>
      </c>
      <c r="E769" s="276">
        <f>ROUND(AL62,0)</f>
        <v>32611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4115</v>
      </c>
      <c r="J769" s="276">
        <f>ROUND(AL67,0)</f>
        <v>25219</v>
      </c>
      <c r="K769" s="276">
        <f>ROUND(AL68,0)</f>
        <v>0</v>
      </c>
      <c r="L769" s="276">
        <f>ROUND(AL69,0)</f>
        <v>230</v>
      </c>
      <c r="M769" s="276">
        <f>ROUND(AL70,0)</f>
        <v>0</v>
      </c>
      <c r="N769" s="276">
        <f>ROUND(AL75,0)</f>
        <v>780712</v>
      </c>
      <c r="O769" s="276">
        <f>ROUND(AL73,0)</f>
        <v>725790</v>
      </c>
      <c r="P769" s="276">
        <f>IF(AL76&gt;0,ROUND(AL76,0),0)</f>
        <v>369</v>
      </c>
      <c r="Q769" s="276">
        <f>IF(AL77&gt;0,ROUND(AL77,0),0)</f>
        <v>0</v>
      </c>
      <c r="R769" s="276">
        <f>IF(AL78&gt;0,ROUND(AL78,0),0)</f>
        <v>142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5"/>
        <v>201232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195*2017*7330*A</v>
      </c>
      <c r="B770" s="276">
        <f>ROUND(AM59,0)</f>
        <v>0</v>
      </c>
      <c r="C770" s="278">
        <f>ROUND(AM60,2)</f>
        <v>4.07</v>
      </c>
      <c r="D770" s="276">
        <f>ROUND(AM61,0)</f>
        <v>252268</v>
      </c>
      <c r="E770" s="276">
        <f>ROUND(AM62,0)</f>
        <v>66522</v>
      </c>
      <c r="F770" s="276">
        <f>ROUND(AM63,0)</f>
        <v>0</v>
      </c>
      <c r="G770" s="276">
        <f>ROUND(AM64,0)</f>
        <v>899</v>
      </c>
      <c r="H770" s="276">
        <f>ROUND(AM65,0)</f>
        <v>0</v>
      </c>
      <c r="I770" s="276">
        <f>ROUND(AM66,0)</f>
        <v>2000</v>
      </c>
      <c r="J770" s="276">
        <f>ROUND(AM67,0)</f>
        <v>0</v>
      </c>
      <c r="K770" s="276">
        <f>ROUND(AM68,0)</f>
        <v>0</v>
      </c>
      <c r="L770" s="276">
        <f>ROUND(AM69,0)</f>
        <v>473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5"/>
        <v>78881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195*2017*7340*A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5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195*2017*7350*A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5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195*2017*7380*A</v>
      </c>
      <c r="B773" s="276">
        <f>ROUND(AP59,0)</f>
        <v>11814</v>
      </c>
      <c r="C773" s="278">
        <f>ROUND(AP60,2)</f>
        <v>16.190000000000001</v>
      </c>
      <c r="D773" s="276">
        <f>ROUND(AP61,0)</f>
        <v>1490457</v>
      </c>
      <c r="E773" s="276">
        <f>ROUND(AP62,0)</f>
        <v>259527</v>
      </c>
      <c r="F773" s="276">
        <f>ROUND(AP63,0)</f>
        <v>34472</v>
      </c>
      <c r="G773" s="276">
        <f>ROUND(AP64,0)</f>
        <v>38013</v>
      </c>
      <c r="H773" s="276">
        <f>ROUND(AP65,0)</f>
        <v>16400</v>
      </c>
      <c r="I773" s="276">
        <f>ROUND(AP66,0)</f>
        <v>58990</v>
      </c>
      <c r="J773" s="276">
        <f>ROUND(AP67,0)</f>
        <v>445260</v>
      </c>
      <c r="K773" s="276">
        <f>ROUND(AP68,0)</f>
        <v>172456</v>
      </c>
      <c r="L773" s="276">
        <f>ROUND(AP69,0)</f>
        <v>34851</v>
      </c>
      <c r="M773" s="276">
        <f>ROUND(AP70,0)</f>
        <v>0</v>
      </c>
      <c r="N773" s="276">
        <f>ROUND(AP75,0)</f>
        <v>2599627</v>
      </c>
      <c r="O773" s="276">
        <f>ROUND(AP73,0)</f>
        <v>0</v>
      </c>
      <c r="P773" s="276">
        <f>IF(AP76&gt;0,ROUND(AP76,0),0)</f>
        <v>6517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5"/>
        <v>1961177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195*2017*7390*A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5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195*2017*7400*A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5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195*2017*7410*A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5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195*2017*7420*A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5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195*2017*7430*A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5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195*2017*7490*A</v>
      </c>
      <c r="B779" s="276"/>
      <c r="C779" s="278">
        <f>ROUND(AV60,2)</f>
        <v>2.14</v>
      </c>
      <c r="D779" s="276">
        <f>ROUND(AV61,0)</f>
        <v>187463</v>
      </c>
      <c r="E779" s="276">
        <f>ROUND(AV62,0)</f>
        <v>40771</v>
      </c>
      <c r="F779" s="276">
        <f>ROUND(AV63,0)</f>
        <v>0</v>
      </c>
      <c r="G779" s="276">
        <f>ROUND(AV64,0)</f>
        <v>3691</v>
      </c>
      <c r="H779" s="276">
        <f>ROUND(AV65,0)</f>
        <v>0</v>
      </c>
      <c r="I779" s="276">
        <f>ROUND(AV66,0)</f>
        <v>320</v>
      </c>
      <c r="J779" s="276">
        <f>ROUND(AV67,0)</f>
        <v>0</v>
      </c>
      <c r="K779" s="276">
        <f>ROUND(AV68,0)</f>
        <v>0</v>
      </c>
      <c r="L779" s="276">
        <f>ROUND(AV69,0)</f>
        <v>464</v>
      </c>
      <c r="M779" s="276">
        <f>ROUND(AV70,0)</f>
        <v>0</v>
      </c>
      <c r="N779" s="276">
        <f>ROUND(AV75,0)</f>
        <v>477574</v>
      </c>
      <c r="O779" s="276">
        <f>ROUND(AV73,0)</f>
        <v>324853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5"/>
        <v>89525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195*2017*8200*A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195*2017*8310*A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195*2017*8320*A</v>
      </c>
      <c r="B782" s="276">
        <f>ROUND(AY59,0)</f>
        <v>24759</v>
      </c>
      <c r="C782" s="278">
        <f>ROUND(AY60,2)</f>
        <v>10.11</v>
      </c>
      <c r="D782" s="276">
        <f>ROUND(AY61,0)</f>
        <v>389799</v>
      </c>
      <c r="E782" s="276">
        <f>ROUND(AY62,0)</f>
        <v>128360</v>
      </c>
      <c r="F782" s="276">
        <f>ROUND(AY63,0)</f>
        <v>0</v>
      </c>
      <c r="G782" s="276">
        <f>ROUND(AY64,0)</f>
        <v>232162</v>
      </c>
      <c r="H782" s="276">
        <f>ROUND(AY65,0)</f>
        <v>0</v>
      </c>
      <c r="I782" s="276">
        <f>ROUND(AY66,0)</f>
        <v>180394</v>
      </c>
      <c r="J782" s="276">
        <f>ROUND(AY67,0)</f>
        <v>162267</v>
      </c>
      <c r="K782" s="276">
        <f>ROUND(AY68,0)</f>
        <v>35399</v>
      </c>
      <c r="L782" s="276">
        <f>ROUND(AY69,0)</f>
        <v>158</v>
      </c>
      <c r="M782" s="276">
        <f>ROUND(AY70,0)</f>
        <v>0</v>
      </c>
      <c r="N782" s="276"/>
      <c r="O782" s="276"/>
      <c r="P782" s="276">
        <f>IF(AY76&gt;0,ROUND(AY76,0),0)</f>
        <v>2375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195*2017*8330*A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50354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737</v>
      </c>
      <c r="Q783" s="276">
        <f>IF(AZ77&gt;0,ROUND(AZ77,0),0)</f>
        <v>24759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195*2017*8350*A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0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195*2017*8360*A</v>
      </c>
      <c r="B785" s="276"/>
      <c r="C785" s="278">
        <f>ROUND(BB60,2)</f>
        <v>3.67</v>
      </c>
      <c r="D785" s="276">
        <f>ROUND(BB61,0)</f>
        <v>309475</v>
      </c>
      <c r="E785" s="276">
        <f>ROUND(BB62,0)</f>
        <v>56122</v>
      </c>
      <c r="F785" s="276">
        <f>ROUND(BB63,0)</f>
        <v>400</v>
      </c>
      <c r="G785" s="276">
        <f>ROUND(BB64,0)</f>
        <v>1207</v>
      </c>
      <c r="H785" s="276">
        <f>ROUND(BB65,0)</f>
        <v>0</v>
      </c>
      <c r="I785" s="276">
        <f>ROUND(BB66,0)</f>
        <v>890</v>
      </c>
      <c r="J785" s="276">
        <f>ROUND(BB67,0)</f>
        <v>10727</v>
      </c>
      <c r="K785" s="276">
        <f>ROUND(BB68,0)</f>
        <v>0</v>
      </c>
      <c r="L785" s="276">
        <f>ROUND(BB69,0)</f>
        <v>1045</v>
      </c>
      <c r="M785" s="276">
        <f>ROUND(BB70,0)</f>
        <v>0</v>
      </c>
      <c r="N785" s="276"/>
      <c r="O785" s="276"/>
      <c r="P785" s="276">
        <f>IF(BB76&gt;0,ROUND(BB76,0),0)</f>
        <v>157</v>
      </c>
      <c r="Q785" s="276">
        <f>IF(BB77&gt;0,ROUND(BB77,0),0)</f>
        <v>0</v>
      </c>
      <c r="R785" s="276">
        <f>IF(BB78&gt;0,ROUND(BB78,0),0)</f>
        <v>60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195*2017*8370*A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195*2017*8420*A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0</v>
      </c>
      <c r="H787" s="276">
        <f>ROUND(BD65,0)</f>
        <v>0</v>
      </c>
      <c r="I787" s="276">
        <f>ROUND(BD66,0)</f>
        <v>0</v>
      </c>
      <c r="J787" s="276">
        <f>ROUND(BD67,0)</f>
        <v>0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195*2017*8430*A</v>
      </c>
      <c r="B788" s="276">
        <f>ROUND(BE59,0)</f>
        <v>47748</v>
      </c>
      <c r="C788" s="278">
        <f>ROUND(BE60,2)</f>
        <v>5.3</v>
      </c>
      <c r="D788" s="276">
        <f>ROUND(BE61,0)</f>
        <v>289599</v>
      </c>
      <c r="E788" s="276">
        <f>ROUND(BE62,0)</f>
        <v>72011</v>
      </c>
      <c r="F788" s="276">
        <f>ROUND(BE63,0)</f>
        <v>0</v>
      </c>
      <c r="G788" s="276">
        <f>ROUND(BE64,0)</f>
        <v>67836</v>
      </c>
      <c r="H788" s="276">
        <f>ROUND(BE65,0)</f>
        <v>393763</v>
      </c>
      <c r="I788" s="276">
        <f>ROUND(BE66,0)</f>
        <v>302099</v>
      </c>
      <c r="J788" s="276">
        <f>ROUND(BE67,0)</f>
        <v>346124</v>
      </c>
      <c r="K788" s="276">
        <f>ROUND(BE68,0)</f>
        <v>214640</v>
      </c>
      <c r="L788" s="276">
        <f>ROUND(BE69,0)</f>
        <v>4253</v>
      </c>
      <c r="M788" s="276">
        <f>ROUND(BE70,0)</f>
        <v>0</v>
      </c>
      <c r="N788" s="276"/>
      <c r="O788" s="276"/>
      <c r="P788" s="276">
        <f>IF(BE76&gt;0,ROUND(BE76,0),0)</f>
        <v>5066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195*2017*8460*A</v>
      </c>
      <c r="B789" s="276"/>
      <c r="C789" s="278">
        <f>ROUND(BF60,2)</f>
        <v>8.83</v>
      </c>
      <c r="D789" s="276">
        <f>ROUND(BF61,0)</f>
        <v>280665</v>
      </c>
      <c r="E789" s="276">
        <f>ROUND(BF62,0)</f>
        <v>87591</v>
      </c>
      <c r="F789" s="276">
        <f>ROUND(BF63,0)</f>
        <v>0</v>
      </c>
      <c r="G789" s="276">
        <f>ROUND(BF64,0)</f>
        <v>193474</v>
      </c>
      <c r="H789" s="276">
        <f>ROUND(BF65,0)</f>
        <v>0</v>
      </c>
      <c r="I789" s="276">
        <f>ROUND(BF66,0)</f>
        <v>486</v>
      </c>
      <c r="J789" s="276">
        <f>ROUND(BF67,0)</f>
        <v>55820</v>
      </c>
      <c r="K789" s="276">
        <f>ROUND(BF68,0)</f>
        <v>7116</v>
      </c>
      <c r="L789" s="276">
        <f>ROUND(BF69,0)</f>
        <v>500</v>
      </c>
      <c r="M789" s="276">
        <f>ROUND(BF70,0)</f>
        <v>0</v>
      </c>
      <c r="N789" s="276"/>
      <c r="O789" s="276"/>
      <c r="P789" s="276">
        <f>IF(BF76&gt;0,ROUND(BF76,0),0)</f>
        <v>817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195*2017*8470*A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195*2017*8480*A</v>
      </c>
      <c r="B791" s="276"/>
      <c r="C791" s="278">
        <f>ROUND(BH60,2)</f>
        <v>5.37</v>
      </c>
      <c r="D791" s="276">
        <f>ROUND(BH61,0)</f>
        <v>428391</v>
      </c>
      <c r="E791" s="276">
        <f>ROUND(BH62,0)</f>
        <v>92353</v>
      </c>
      <c r="F791" s="276">
        <f>ROUND(BH63,0)</f>
        <v>5556</v>
      </c>
      <c r="G791" s="276">
        <f>ROUND(BH64,0)</f>
        <v>220817</v>
      </c>
      <c r="H791" s="276">
        <f>ROUND(BH65,0)</f>
        <v>9115</v>
      </c>
      <c r="I791" s="276">
        <f>ROUND(BH66,0)</f>
        <v>210396</v>
      </c>
      <c r="J791" s="276">
        <f>ROUND(BH67,0)</f>
        <v>0</v>
      </c>
      <c r="K791" s="276">
        <f>ROUND(BH68,0)</f>
        <v>0</v>
      </c>
      <c r="L791" s="276">
        <f>ROUND(BH69,0)</f>
        <v>12992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195*2017*8490*A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195*2017*8510*A</v>
      </c>
      <c r="B793" s="276"/>
      <c r="C793" s="278">
        <f>ROUND(BJ60,2)</f>
        <v>3.85</v>
      </c>
      <c r="D793" s="276">
        <f>ROUND(BJ61,0)</f>
        <v>293344</v>
      </c>
      <c r="E793" s="276">
        <f>ROUND(BJ62,0)</f>
        <v>61215</v>
      </c>
      <c r="F793" s="276">
        <f>ROUND(BJ63,0)</f>
        <v>71503</v>
      </c>
      <c r="G793" s="276">
        <f>ROUND(BJ64,0)</f>
        <v>6364</v>
      </c>
      <c r="H793" s="276">
        <f>ROUND(BJ65,0)</f>
        <v>0</v>
      </c>
      <c r="I793" s="276">
        <f>ROUND(BJ66,0)</f>
        <v>6046</v>
      </c>
      <c r="J793" s="276">
        <f>ROUND(BJ67,0)</f>
        <v>0</v>
      </c>
      <c r="K793" s="276">
        <f>ROUND(BJ68,0)</f>
        <v>0</v>
      </c>
      <c r="L793" s="276">
        <f>ROUND(BJ69,0)</f>
        <v>1976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195*2017*8530*A</v>
      </c>
      <c r="B794" s="276"/>
      <c r="C794" s="278">
        <f>ROUND(BK60,2)</f>
        <v>5.75</v>
      </c>
      <c r="D794" s="276">
        <f>ROUND(BK61,0)</f>
        <v>316152</v>
      </c>
      <c r="E794" s="276">
        <f>ROUND(BK62,0)</f>
        <v>80034</v>
      </c>
      <c r="F794" s="276">
        <f>ROUND(BK63,0)</f>
        <v>0</v>
      </c>
      <c r="G794" s="276">
        <f>ROUND(BK64,0)</f>
        <v>8849</v>
      </c>
      <c r="H794" s="276">
        <f>ROUND(BK65,0)</f>
        <v>0</v>
      </c>
      <c r="I794" s="276">
        <f>ROUND(BK66,0)</f>
        <v>646538</v>
      </c>
      <c r="J794" s="276">
        <f>ROUND(BK67,0)</f>
        <v>0</v>
      </c>
      <c r="K794" s="276">
        <f>ROUND(BK68,0)</f>
        <v>0</v>
      </c>
      <c r="L794" s="276">
        <f>ROUND(BK69,0)</f>
        <v>2808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195*2017*8560*A</v>
      </c>
      <c r="B795" s="276"/>
      <c r="C795" s="278">
        <f>ROUND(BL60,2)</f>
        <v>10.09</v>
      </c>
      <c r="D795" s="276">
        <f>ROUND(BL61,0)</f>
        <v>431274</v>
      </c>
      <c r="E795" s="276">
        <f>ROUND(BL62,0)</f>
        <v>125904</v>
      </c>
      <c r="F795" s="276">
        <f>ROUND(BL63,0)</f>
        <v>0</v>
      </c>
      <c r="G795" s="276">
        <f>ROUND(BL64,0)</f>
        <v>2133</v>
      </c>
      <c r="H795" s="276">
        <f>ROUND(BL65,0)</f>
        <v>0</v>
      </c>
      <c r="I795" s="276">
        <f>ROUND(BL66,0)</f>
        <v>0</v>
      </c>
      <c r="J795" s="276">
        <f>ROUND(BL67,0)</f>
        <v>0</v>
      </c>
      <c r="K795" s="276">
        <f>ROUND(BL68,0)</f>
        <v>0</v>
      </c>
      <c r="L795" s="276">
        <f>ROUND(BL69,0)</f>
        <v>274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195*2017*8590*A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195*2017*8610*A</v>
      </c>
      <c r="B797" s="276"/>
      <c r="C797" s="278">
        <f>ROUND(BN60,2)</f>
        <v>5.0199999999999996</v>
      </c>
      <c r="D797" s="276">
        <f>ROUND(BN61,0)</f>
        <v>861536</v>
      </c>
      <c r="E797" s="276">
        <f>ROUND(BN62,0)</f>
        <v>141150</v>
      </c>
      <c r="F797" s="276">
        <f>ROUND(BN63,0)</f>
        <v>267014</v>
      </c>
      <c r="G797" s="276">
        <f>ROUND(BN64,0)</f>
        <v>16220</v>
      </c>
      <c r="H797" s="276">
        <f>ROUND(BN65,0)</f>
        <v>14653</v>
      </c>
      <c r="I797" s="276">
        <f>ROUND(BN66,0)</f>
        <v>48799</v>
      </c>
      <c r="J797" s="276">
        <f>ROUND(BN67,0)</f>
        <v>235509</v>
      </c>
      <c r="K797" s="276">
        <f>ROUND(BN68,0)</f>
        <v>344153</v>
      </c>
      <c r="L797" s="276">
        <f>ROUND(BN69,0)</f>
        <v>313139</v>
      </c>
      <c r="M797" s="276">
        <f>ROUND(BN70,0)</f>
        <v>0</v>
      </c>
      <c r="N797" s="276"/>
      <c r="O797" s="276"/>
      <c r="P797" s="276">
        <f>IF(BN76&gt;0,ROUND(BN76,0),0)</f>
        <v>3447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195*2017*8620*A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195*2017*8630*A</v>
      </c>
      <c r="B799" s="276"/>
      <c r="C799" s="278">
        <f>ROUND(BP60,2)</f>
        <v>0.05</v>
      </c>
      <c r="D799" s="276">
        <f>ROUND(BP61,0)</f>
        <v>20555</v>
      </c>
      <c r="E799" s="276">
        <f>ROUND(BP62,0)</f>
        <v>201</v>
      </c>
      <c r="F799" s="276">
        <f>ROUND(BP63,0)</f>
        <v>19158</v>
      </c>
      <c r="G799" s="276">
        <f>ROUND(BP64,0)</f>
        <v>1308</v>
      </c>
      <c r="H799" s="276">
        <f>ROUND(BP65,0)</f>
        <v>0</v>
      </c>
      <c r="I799" s="276">
        <f>ROUND(BP66,0)</f>
        <v>468</v>
      </c>
      <c r="J799" s="276">
        <f>ROUND(BP67,0)</f>
        <v>0</v>
      </c>
      <c r="K799" s="276">
        <f>ROUND(BP68,0)</f>
        <v>0</v>
      </c>
      <c r="L799" s="276">
        <f>ROUND(BP69,0)</f>
        <v>500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195*2017*8640*A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195*2017*8650*A</v>
      </c>
      <c r="B801" s="276"/>
      <c r="C801" s="278">
        <f>ROUND(BR60,2)</f>
        <v>2.1</v>
      </c>
      <c r="D801" s="276">
        <f>ROUND(BR61,0)</f>
        <v>137896</v>
      </c>
      <c r="E801" s="276">
        <f>ROUND(BR62,0)</f>
        <v>26669</v>
      </c>
      <c r="F801" s="276">
        <f>ROUND(BR63,0)</f>
        <v>0</v>
      </c>
      <c r="G801" s="276">
        <f>ROUND(BR64,0)</f>
        <v>9972</v>
      </c>
      <c r="H801" s="276">
        <f>ROUND(BR65,0)</f>
        <v>0</v>
      </c>
      <c r="I801" s="276">
        <f>ROUND(BR66,0)</f>
        <v>5254</v>
      </c>
      <c r="J801" s="276">
        <f>ROUND(BR67,0)</f>
        <v>0</v>
      </c>
      <c r="K801" s="276">
        <f>ROUND(BR68,0)</f>
        <v>0</v>
      </c>
      <c r="L801" s="276">
        <f>ROUND(BR69,0)</f>
        <v>20528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195*2017*8660*A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195*2017*8670*A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195*2017*8680*A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195*2017*8690*A</v>
      </c>
      <c r="B805" s="276"/>
      <c r="C805" s="278">
        <f>ROUND(BV60,2)</f>
        <v>3.5</v>
      </c>
      <c r="D805" s="276">
        <f>ROUND(BV61,0)</f>
        <v>198655</v>
      </c>
      <c r="E805" s="276">
        <f>ROUND(BV62,0)</f>
        <v>49762</v>
      </c>
      <c r="F805" s="276">
        <f>ROUND(BV63,0)</f>
        <v>0</v>
      </c>
      <c r="G805" s="276">
        <f>ROUND(BV64,0)</f>
        <v>1555</v>
      </c>
      <c r="H805" s="276">
        <f>ROUND(BV65,0)</f>
        <v>0</v>
      </c>
      <c r="I805" s="276">
        <f>ROUND(BV66,0)</f>
        <v>0</v>
      </c>
      <c r="J805" s="276">
        <f>ROUND(BV67,0)</f>
        <v>10795</v>
      </c>
      <c r="K805" s="276">
        <f>ROUND(BV68,0)</f>
        <v>0</v>
      </c>
      <c r="L805" s="276">
        <f>ROUND(BV69,0)</f>
        <v>609</v>
      </c>
      <c r="M805" s="276">
        <f>ROUND(BV70,0)</f>
        <v>0</v>
      </c>
      <c r="N805" s="276"/>
      <c r="O805" s="276"/>
      <c r="P805" s="276">
        <f>IF(BV76&gt;0,ROUND(BV76,0),0)</f>
        <v>158</v>
      </c>
      <c r="Q805" s="276">
        <f>IF(BV77&gt;0,ROUND(BV77,0),0)</f>
        <v>0</v>
      </c>
      <c r="R805" s="276">
        <f>IF(BV78&gt;0,ROUND(BV78,0),0)</f>
        <v>61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195*2017*8700*A</v>
      </c>
      <c r="B806" s="276"/>
      <c r="C806" s="278">
        <f>ROUND(BW60,2)</f>
        <v>0.96</v>
      </c>
      <c r="D806" s="276">
        <f>ROUND(BW61,0)</f>
        <v>68908</v>
      </c>
      <c r="E806" s="276">
        <f>ROUND(BW62,0)</f>
        <v>20621</v>
      </c>
      <c r="F806" s="276">
        <f>ROUND(BW63,0)</f>
        <v>0</v>
      </c>
      <c r="G806" s="276">
        <f>ROUND(BW64,0)</f>
        <v>5000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2777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195*2017*8710*A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195*2017*8720*A</v>
      </c>
      <c r="B808" s="276"/>
      <c r="C808" s="278">
        <f>ROUND(BY60,2)</f>
        <v>5.8</v>
      </c>
      <c r="D808" s="276">
        <f>ROUND(BY61,0)</f>
        <v>541878</v>
      </c>
      <c r="E808" s="276">
        <f>ROUND(BY62,0)</f>
        <v>115311</v>
      </c>
      <c r="F808" s="276">
        <f>ROUND(BY63,0)</f>
        <v>0</v>
      </c>
      <c r="G808" s="276">
        <f>ROUND(BY64,0)</f>
        <v>689</v>
      </c>
      <c r="H808" s="276">
        <f>ROUND(BY65,0)</f>
        <v>0</v>
      </c>
      <c r="I808" s="276">
        <f>ROUND(BY66,0)</f>
        <v>0</v>
      </c>
      <c r="J808" s="276">
        <f>ROUND(BY67,0)</f>
        <v>5876</v>
      </c>
      <c r="K808" s="276">
        <f>ROUND(BY68,0)</f>
        <v>0</v>
      </c>
      <c r="L808" s="276">
        <f>ROUND(BY69,0)</f>
        <v>10811</v>
      </c>
      <c r="M808" s="276">
        <f>ROUND(BY70,0)</f>
        <v>0</v>
      </c>
      <c r="N808" s="276"/>
      <c r="O808" s="276"/>
      <c r="P808" s="276">
        <f>IF(BY76&gt;0,ROUND(BY76,0),0)</f>
        <v>86</v>
      </c>
      <c r="Q808" s="276">
        <f>IF(BY77&gt;0,ROUND(BY77,0),0)</f>
        <v>0</v>
      </c>
      <c r="R808" s="276">
        <f>IF(BY78&gt;0,ROUND(BY78,0),0)</f>
        <v>33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195*2017*8730*A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195*2017*8740*A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195*2017*8770*A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195*2017*8790*A</v>
      </c>
      <c r="B812" s="276"/>
      <c r="C812" s="278">
        <f>ROUND(CC60,2)</f>
        <v>0.75</v>
      </c>
      <c r="D812" s="276">
        <f>ROUND(CC61,0)</f>
        <v>28208</v>
      </c>
      <c r="E812" s="276">
        <f>ROUND(CC62,0)</f>
        <v>12440</v>
      </c>
      <c r="F812" s="276">
        <f>ROUND(CC63,0)</f>
        <v>0</v>
      </c>
      <c r="G812" s="276">
        <f>ROUND(CC64,0)</f>
        <v>22423</v>
      </c>
      <c r="H812" s="276">
        <f>ROUND(CC65,0)</f>
        <v>0</v>
      </c>
      <c r="I812" s="276">
        <f>ROUND(CC66,0)</f>
        <v>1931</v>
      </c>
      <c r="J812" s="276">
        <f>ROUND(CC67,0)</f>
        <v>0</v>
      </c>
      <c r="K812" s="276">
        <f>ROUND(CC68,0)</f>
        <v>0</v>
      </c>
      <c r="L812" s="276">
        <f>ROUND(CC69,0)</f>
        <v>10</v>
      </c>
      <c r="M812" s="276">
        <f>ROUND(CC70,0)</f>
        <v>0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195*2017*9000*A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6013262</v>
      </c>
      <c r="V813" s="277">
        <f>ROUND(CD70,0)</f>
        <v>0</v>
      </c>
      <c r="W813" s="276">
        <f>ROUND(CE72,0)</f>
        <v>3673873</v>
      </c>
      <c r="X813" s="276">
        <f>ROUND(C131,0)</f>
        <v>7635338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6">SUM(C734:C813)</f>
        <v>213.08</v>
      </c>
      <c r="D815" s="277">
        <f t="shared" si="26"/>
        <v>16685479</v>
      </c>
      <c r="E815" s="277">
        <f t="shared" si="26"/>
        <v>3286235</v>
      </c>
      <c r="F815" s="277">
        <f t="shared" si="26"/>
        <v>1094097</v>
      </c>
      <c r="G815" s="277">
        <f t="shared" si="26"/>
        <v>2503312</v>
      </c>
      <c r="H815" s="277">
        <f t="shared" si="26"/>
        <v>453426</v>
      </c>
      <c r="I815" s="277">
        <f t="shared" si="26"/>
        <v>1847711</v>
      </c>
      <c r="J815" s="277">
        <f t="shared" si="26"/>
        <v>3262280</v>
      </c>
      <c r="K815" s="277">
        <f t="shared" si="26"/>
        <v>1988411</v>
      </c>
      <c r="L815" s="277">
        <f>SUM(L734:L813)+SUM(U734:U813)</f>
        <v>6482884</v>
      </c>
      <c r="M815" s="277">
        <f>SUM(M734:M813)+SUM(V734:V813)</f>
        <v>0</v>
      </c>
      <c r="N815" s="277">
        <f t="shared" ref="N815:Y815" si="27">SUM(N734:N813)</f>
        <v>46628750</v>
      </c>
      <c r="O815" s="277">
        <f t="shared" si="27"/>
        <v>26280222</v>
      </c>
      <c r="P815" s="277">
        <f t="shared" si="27"/>
        <v>47747</v>
      </c>
      <c r="Q815" s="277">
        <f t="shared" si="27"/>
        <v>24759</v>
      </c>
      <c r="R815" s="277">
        <f t="shared" si="27"/>
        <v>11070</v>
      </c>
      <c r="S815" s="277">
        <f t="shared" si="27"/>
        <v>187102</v>
      </c>
      <c r="T815" s="281">
        <f t="shared" si="27"/>
        <v>49.94</v>
      </c>
      <c r="U815" s="277">
        <f t="shared" si="27"/>
        <v>6013262</v>
      </c>
      <c r="V815" s="277">
        <f t="shared" si="27"/>
        <v>0</v>
      </c>
      <c r="W815" s="277">
        <f t="shared" si="27"/>
        <v>3673873</v>
      </c>
      <c r="X815" s="277">
        <f t="shared" si="27"/>
        <v>7635338</v>
      </c>
      <c r="Y815" s="277">
        <f t="shared" si="27"/>
        <v>16504972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213.08</v>
      </c>
      <c r="D816" s="277">
        <f>CE61</f>
        <v>16685478.970000004</v>
      </c>
      <c r="E816" s="277">
        <f>CE62</f>
        <v>3286235</v>
      </c>
      <c r="F816" s="277">
        <f>CE63</f>
        <v>1094095.5900000001</v>
      </c>
      <c r="G816" s="277">
        <f>CE64</f>
        <v>2503311.6399999997</v>
      </c>
      <c r="H816" s="280">
        <f>CE65</f>
        <v>453425.91999999998</v>
      </c>
      <c r="I816" s="280">
        <f>CE66</f>
        <v>1847710.9299999997</v>
      </c>
      <c r="J816" s="280">
        <f>CE67</f>
        <v>3262280</v>
      </c>
      <c r="K816" s="280">
        <f>CE68</f>
        <v>1988410.2799999998</v>
      </c>
      <c r="L816" s="280">
        <f>CE69</f>
        <v>6482883.9299999978</v>
      </c>
      <c r="M816" s="280">
        <f>CE70</f>
        <v>0</v>
      </c>
      <c r="N816" s="277">
        <f>CE75</f>
        <v>46628750.50999999</v>
      </c>
      <c r="O816" s="277">
        <f>CE73</f>
        <v>26280221.089999992</v>
      </c>
      <c r="P816" s="277">
        <f>CE76</f>
        <v>47748</v>
      </c>
      <c r="Q816" s="277">
        <f>CE77</f>
        <v>24759</v>
      </c>
      <c r="R816" s="277">
        <f>CE78</f>
        <v>11070.512461254924</v>
      </c>
      <c r="S816" s="277">
        <f>CE79</f>
        <v>187102</v>
      </c>
      <c r="T816" s="281">
        <f>CE80</f>
        <v>49.94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16504971.759999998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16685478.970000001</v>
      </c>
      <c r="E817" s="180">
        <f>C379</f>
        <v>3286236.11</v>
      </c>
      <c r="F817" s="180">
        <f>C380</f>
        <v>1094095.29</v>
      </c>
      <c r="G817" s="240">
        <f>C381</f>
        <v>2503311.64</v>
      </c>
      <c r="H817" s="240">
        <f>C382</f>
        <v>453425.91999999998</v>
      </c>
      <c r="I817" s="240">
        <f>C383</f>
        <v>1847711.0399999998</v>
      </c>
      <c r="J817" s="240">
        <f>C384</f>
        <v>3262280.14</v>
      </c>
      <c r="K817" s="240">
        <f>C385</f>
        <v>1988410.28</v>
      </c>
      <c r="L817" s="240">
        <f>C386+C387+C388+C389</f>
        <v>6482883.3700000001</v>
      </c>
      <c r="M817" s="240">
        <f>C370</f>
        <v>337376.21</v>
      </c>
      <c r="N817" s="180">
        <f>D361</f>
        <v>46628750.509999998</v>
      </c>
      <c r="O817" s="180">
        <f>C359</f>
        <v>26280221.09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topLeftCell="A16" zoomScale="75" workbookViewId="0">
      <selection activeCell="E17" sqref="E17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Snoqualmie Valley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H-195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980 Frontier Ave SE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Snoqualmie, WA 98065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H-195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Snoqualmie Valley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Kim Witkop, M.D.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Steve Daniel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Dariel Norris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425-831-2362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425-831-1994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42</v>
      </c>
      <c r="G23" s="21">
        <f>data!D111</f>
        <v>151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260</v>
      </c>
      <c r="G24" s="21">
        <f>data!D112</f>
        <v>8212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15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10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25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7249786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Snoqualmie Valley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23</v>
      </c>
      <c r="C7" s="48">
        <f>data!B139</f>
        <v>76</v>
      </c>
      <c r="D7" s="48">
        <f>data!B140</f>
        <v>8044</v>
      </c>
      <c r="E7" s="48">
        <f>data!B141</f>
        <v>294803</v>
      </c>
      <c r="F7" s="48">
        <f>data!B142</f>
        <v>4675333</v>
      </c>
      <c r="G7" s="48">
        <f>data!B141+data!B142</f>
        <v>4970136</v>
      </c>
    </row>
    <row r="8" spans="1:13" ht="20.100000000000001" customHeight="1" x14ac:dyDescent="0.25">
      <c r="A8" s="23" t="s">
        <v>297</v>
      </c>
      <c r="B8" s="48">
        <f>data!C138</f>
        <v>7</v>
      </c>
      <c r="C8" s="48">
        <f>data!C139</f>
        <v>28</v>
      </c>
      <c r="D8" s="48">
        <f>data!C140</f>
        <v>5329</v>
      </c>
      <c r="E8" s="48">
        <f>data!C141</f>
        <v>120243</v>
      </c>
      <c r="F8" s="48">
        <f>data!C142</f>
        <v>3848046</v>
      </c>
      <c r="G8" s="48">
        <f>data!C141+data!C142</f>
        <v>3968289</v>
      </c>
    </row>
    <row r="9" spans="1:13" ht="20.100000000000001" customHeight="1" x14ac:dyDescent="0.25">
      <c r="A9" s="23" t="s">
        <v>1058</v>
      </c>
      <c r="B9" s="48">
        <f>data!D138</f>
        <v>12</v>
      </c>
      <c r="C9" s="48">
        <f>data!D139</f>
        <v>48</v>
      </c>
      <c r="D9" s="48">
        <f>data!D140</f>
        <v>19004</v>
      </c>
      <c r="E9" s="48">
        <f>data!D141</f>
        <v>187988</v>
      </c>
      <c r="F9" s="48">
        <f>data!D142</f>
        <v>12291027</v>
      </c>
      <c r="G9" s="48">
        <f>data!D141+data!D142</f>
        <v>12479015</v>
      </c>
    </row>
    <row r="10" spans="1:13" ht="20.100000000000001" customHeight="1" x14ac:dyDescent="0.25">
      <c r="A10" s="111" t="s">
        <v>203</v>
      </c>
      <c r="B10" s="48">
        <f>data!E138</f>
        <v>42</v>
      </c>
      <c r="C10" s="48">
        <f>data!E139</f>
        <v>152</v>
      </c>
      <c r="D10" s="48">
        <f>data!E140</f>
        <v>32377</v>
      </c>
      <c r="E10" s="48">
        <f>data!E141</f>
        <v>603034</v>
      </c>
      <c r="F10" s="48">
        <f>data!E142</f>
        <v>20814406</v>
      </c>
      <c r="G10" s="48">
        <f>data!E141+data!E142</f>
        <v>21417440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241</v>
      </c>
      <c r="C16" s="48">
        <f>data!B145</f>
        <v>7613</v>
      </c>
      <c r="D16" s="48">
        <f>data!B146</f>
        <v>0</v>
      </c>
      <c r="E16" s="48">
        <f>data!B147</f>
        <v>25512263</v>
      </c>
      <c r="F16" s="48">
        <f>data!B148</f>
        <v>0</v>
      </c>
      <c r="G16" s="48">
        <f>data!B147+data!B148</f>
        <v>25512263</v>
      </c>
    </row>
    <row r="17" spans="1:7" ht="20.100000000000001" customHeight="1" x14ac:dyDescent="0.25">
      <c r="A17" s="23" t="s">
        <v>297</v>
      </c>
      <c r="B17" s="48">
        <f>data!C144</f>
        <v>7</v>
      </c>
      <c r="C17" s="48">
        <f>data!C145</f>
        <v>348</v>
      </c>
      <c r="D17" s="48">
        <f>data!C146</f>
        <v>0</v>
      </c>
      <c r="E17" s="48">
        <f>data!C147</f>
        <v>425460</v>
      </c>
      <c r="F17" s="48">
        <f>data!C148</f>
        <v>0</v>
      </c>
      <c r="G17" s="48">
        <f>data!C147+data!C148</f>
        <v>425460</v>
      </c>
    </row>
    <row r="18" spans="1:7" ht="20.100000000000001" customHeight="1" x14ac:dyDescent="0.25">
      <c r="A18" s="23" t="s">
        <v>1058</v>
      </c>
      <c r="B18" s="48">
        <f>data!D144</f>
        <v>15</v>
      </c>
      <c r="C18" s="48">
        <f>data!D145</f>
        <v>249</v>
      </c>
      <c r="D18" s="48">
        <f>data!D146</f>
        <v>0</v>
      </c>
      <c r="E18" s="48">
        <f>data!D147</f>
        <v>814872</v>
      </c>
      <c r="F18" s="48">
        <f>data!D148</f>
        <v>0</v>
      </c>
      <c r="G18" s="48">
        <f>data!D147+data!D148</f>
        <v>814872</v>
      </c>
    </row>
    <row r="19" spans="1:7" ht="20.100000000000001" customHeight="1" x14ac:dyDescent="0.25">
      <c r="A19" s="111" t="s">
        <v>203</v>
      </c>
      <c r="B19" s="48">
        <f>data!E144</f>
        <v>263</v>
      </c>
      <c r="C19" s="48">
        <f>data!E145</f>
        <v>8210</v>
      </c>
      <c r="D19" s="48">
        <f>data!E146</f>
        <v>0</v>
      </c>
      <c r="E19" s="48">
        <f>data!E147</f>
        <v>26752595</v>
      </c>
      <c r="F19" s="48">
        <f>data!E148</f>
        <v>0</v>
      </c>
      <c r="G19" s="48">
        <f>data!E147+data!E148</f>
        <v>26752595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3992865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3576623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Snoqualmie Valley Hospital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1181408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43076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132286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1908087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13378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143761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-16862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3405134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243008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1690086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1933094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112780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30189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142969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46848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194143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240991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5459715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5459715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topLeftCell="A19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Snoqualmie Valley Hospital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14631177.529999999</v>
      </c>
      <c r="D7" s="21">
        <f>data!C195</f>
        <v>0</v>
      </c>
      <c r="E7" s="21">
        <f>data!D195</f>
        <v>0</v>
      </c>
      <c r="F7" s="21">
        <f>data!E195</f>
        <v>14631177.529999999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11955882.33</v>
      </c>
      <c r="D8" s="21">
        <f>data!C196</f>
        <v>0</v>
      </c>
      <c r="E8" s="21">
        <f>data!D196</f>
        <v>0</v>
      </c>
      <c r="F8" s="21">
        <f>data!E196</f>
        <v>11955882.33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31774154.57</v>
      </c>
      <c r="D9" s="21">
        <f>data!C197</f>
        <v>255056</v>
      </c>
      <c r="E9" s="21">
        <f>data!D197</f>
        <v>0</v>
      </c>
      <c r="F9" s="21">
        <f>data!E197</f>
        <v>32029210.57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6064809.5199999996</v>
      </c>
      <c r="D10" s="21">
        <f>data!C198</f>
        <v>0</v>
      </c>
      <c r="E10" s="21">
        <f>data!D198</f>
        <v>0</v>
      </c>
      <c r="F10" s="21">
        <f>data!E198</f>
        <v>6064809.5199999996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6014831.3899999997</v>
      </c>
      <c r="D12" s="21">
        <f>data!C200</f>
        <v>240262</v>
      </c>
      <c r="E12" s="21">
        <f>data!D200</f>
        <v>0</v>
      </c>
      <c r="F12" s="21">
        <f>data!E200</f>
        <v>6255093.3899999997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401252</v>
      </c>
      <c r="D15" s="21">
        <f>data!C203</f>
        <v>0</v>
      </c>
      <c r="E15" s="21">
        <f>data!D203</f>
        <v>401252</v>
      </c>
      <c r="F15" s="21">
        <f>data!E203</f>
        <v>0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70842107.340000004</v>
      </c>
      <c r="D16" s="21">
        <f>data!C204</f>
        <v>495318</v>
      </c>
      <c r="E16" s="21">
        <f>data!D204</f>
        <v>401252</v>
      </c>
      <c r="F16" s="21">
        <f>data!E204</f>
        <v>70936173.340000004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2063526.49</v>
      </c>
      <c r="D24" s="21">
        <f>data!C209</f>
        <v>765011</v>
      </c>
      <c r="E24" s="21">
        <f>data!D209</f>
        <v>0</v>
      </c>
      <c r="F24" s="21">
        <f>data!E209</f>
        <v>2828537.49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5332795.32</v>
      </c>
      <c r="D25" s="21">
        <f>data!C210</f>
        <v>1680122</v>
      </c>
      <c r="E25" s="21">
        <f>data!D210</f>
        <v>0</v>
      </c>
      <c r="F25" s="21">
        <f>data!E210</f>
        <v>7012917.3200000003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1129279.44</v>
      </c>
      <c r="D26" s="21">
        <f>data!C211</f>
        <v>423511</v>
      </c>
      <c r="E26" s="21">
        <f>data!D211</f>
        <v>0</v>
      </c>
      <c r="F26" s="21">
        <f>data!E211</f>
        <v>1552790.44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4119693</v>
      </c>
      <c r="D27" s="21">
        <f>data!C212</f>
        <v>411974</v>
      </c>
      <c r="E27" s="21">
        <f>data!D212</f>
        <v>0</v>
      </c>
      <c r="F27" s="21">
        <f>data!E212</f>
        <v>4531667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0</v>
      </c>
      <c r="D28" s="21">
        <f>data!C213</f>
        <v>0</v>
      </c>
      <c r="E28" s="21">
        <f>data!D213</f>
        <v>0</v>
      </c>
      <c r="F28" s="21">
        <f>data!E213</f>
        <v>0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12645294.25</v>
      </c>
      <c r="D32" s="21">
        <f>data!C217</f>
        <v>3280618</v>
      </c>
      <c r="E32" s="21">
        <f>data!D217</f>
        <v>0</v>
      </c>
      <c r="F32" s="21">
        <f>data!E217</f>
        <v>15925912.25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topLeftCell="A7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Snoqualmie Valley Hospital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674787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5213329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1353446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182991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86413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6163119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12999298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0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0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592414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592414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-92360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14174139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58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Snoqualmie Valley Hospital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15423108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7436943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2828681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197177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120050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133878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48619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20531094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102277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102277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14631177.529999999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11955882.33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32029211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6064809.5199999996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6255093.3899999997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0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70936173.769999996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15924673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55011500.769999996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2343632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2343632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77988503.769999996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Snoqualmie Valley Hospital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678513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1959334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-121199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556250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3072898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94969571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94969571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556250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94413321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0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-19497716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-19497716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77988503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Snoqualmie Valley Hospital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27373555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20796480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48170035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674787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12999299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592414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-92360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14174140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33995895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432723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3785604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4218327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38214222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17143137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3405134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1035393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2492076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451448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2221213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3287636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1933093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142969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240991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5459715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259959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38072764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141458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81816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223274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223274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topLeftCell="A22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Snoqualmie Valley Hospital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151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1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62609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14227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4967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4995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3311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188054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10475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367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289005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651029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516702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86748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603450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2731.2000000000003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0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1106.0822317165118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2702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0.8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Snoqualmie Valley Hospital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8212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14310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53.1</v>
      </c>
      <c r="F42" s="26">
        <f>data!M60</f>
        <v>0</v>
      </c>
      <c r="G42" s="26">
        <f>data!N60</f>
        <v>2.71</v>
      </c>
      <c r="H42" s="26">
        <f>data!O60</f>
        <v>0</v>
      </c>
      <c r="I42" s="26">
        <f>data!P60</f>
        <v>1.4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3415670</v>
      </c>
      <c r="F43" s="14">
        <f>data!M61</f>
        <v>0</v>
      </c>
      <c r="G43" s="14">
        <f>data!N61</f>
        <v>655389</v>
      </c>
      <c r="H43" s="14">
        <f>data!O61</f>
        <v>0</v>
      </c>
      <c r="I43" s="14">
        <f>data!P61</f>
        <v>126697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776155</v>
      </c>
      <c r="F44" s="14">
        <f>data!M62</f>
        <v>0</v>
      </c>
      <c r="G44" s="14">
        <f>data!N62</f>
        <v>96233</v>
      </c>
      <c r="H44" s="14">
        <f>data!O62</f>
        <v>0</v>
      </c>
      <c r="I44" s="14">
        <f>data!P62</f>
        <v>29129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270975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272526</v>
      </c>
      <c r="F46" s="14">
        <f>data!M64</f>
        <v>0</v>
      </c>
      <c r="G46" s="14">
        <f>data!N64</f>
        <v>546</v>
      </c>
      <c r="H46" s="14">
        <f>data!O64</f>
        <v>0</v>
      </c>
      <c r="I46" s="14">
        <f>data!P64</f>
        <v>46656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706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180653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6406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752215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75051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571490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20030</v>
      </c>
      <c r="F51" s="14">
        <f>data!M69</f>
        <v>0</v>
      </c>
      <c r="G51" s="14">
        <f>data!N69</f>
        <v>5586</v>
      </c>
      <c r="H51" s="14">
        <f>data!O69</f>
        <v>0</v>
      </c>
      <c r="I51" s="14">
        <f>data!P69</f>
        <v>160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6259714</v>
      </c>
      <c r="F53" s="14">
        <f>data!M71</f>
        <v>0</v>
      </c>
      <c r="G53" s="14">
        <f>data!N71</f>
        <v>758460</v>
      </c>
      <c r="H53" s="14">
        <f>data!O71</f>
        <v>0</v>
      </c>
      <c r="I53" s="14">
        <f>data!P71</f>
        <v>284099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5728144</v>
      </c>
      <c r="F55" s="48">
        <f>+data!M678</f>
        <v>0</v>
      </c>
      <c r="G55" s="48">
        <f>+data!M679</f>
        <v>148917</v>
      </c>
      <c r="H55" s="48">
        <f>+data!M680</f>
        <v>0</v>
      </c>
      <c r="I55" s="48">
        <f>+data!M681</f>
        <v>372673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19454395</v>
      </c>
      <c r="F56" s="14">
        <f>data!M73</f>
        <v>0</v>
      </c>
      <c r="G56" s="14">
        <f>data!N73</f>
        <v>619818</v>
      </c>
      <c r="H56" s="14">
        <f>data!O73</f>
        <v>0</v>
      </c>
      <c r="I56" s="14">
        <f>data!P73</f>
        <v>18336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8296</v>
      </c>
      <c r="H57" s="14">
        <f>data!O74</f>
        <v>0</v>
      </c>
      <c r="I57" s="14">
        <f>data!P74</f>
        <v>1177067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19454395</v>
      </c>
      <c r="F58" s="14">
        <f>data!M75</f>
        <v>0</v>
      </c>
      <c r="G58" s="14">
        <f>data!N75</f>
        <v>628114</v>
      </c>
      <c r="H58" s="14">
        <f>data!O75</f>
        <v>0</v>
      </c>
      <c r="I58" s="14">
        <f>data!P75</f>
        <v>1195403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10924.800000000001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1090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4424.3289268660474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441.42854150959204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147425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9155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50.35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0.66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Snoqualmie Valley Hospital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41523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3.03</v>
      </c>
      <c r="F74" s="26">
        <f>data!T60</f>
        <v>0</v>
      </c>
      <c r="G74" s="26">
        <f>data!U60</f>
        <v>9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198778</v>
      </c>
      <c r="F75" s="14">
        <f>data!T61</f>
        <v>0</v>
      </c>
      <c r="G75" s="14">
        <f>data!U61</f>
        <v>569815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28811</v>
      </c>
      <c r="F76" s="14">
        <f>data!T62</f>
        <v>0</v>
      </c>
      <c r="G76" s="14">
        <f>data!U62</f>
        <v>141885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6120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40059</v>
      </c>
      <c r="F78" s="14">
        <f>data!T64</f>
        <v>0</v>
      </c>
      <c r="G78" s="14">
        <f>data!U64</f>
        <v>390724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150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106674</v>
      </c>
      <c r="F80" s="14">
        <f>data!T66</f>
        <v>0</v>
      </c>
      <c r="G80" s="14">
        <f>data!U66</f>
        <v>203607</v>
      </c>
      <c r="H80" s="14">
        <f>data!V66</f>
        <v>0</v>
      </c>
      <c r="I80" s="14">
        <f>data!W66</f>
        <v>47594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121940</v>
      </c>
      <c r="F81" s="14">
        <f>data!T67</f>
        <v>0</v>
      </c>
      <c r="G81" s="14">
        <f>data!U67</f>
        <v>64447</v>
      </c>
      <c r="H81" s="14">
        <f>data!V67</f>
        <v>0</v>
      </c>
      <c r="I81" s="14">
        <f>data!W67</f>
        <v>32447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16417</v>
      </c>
      <c r="H82" s="14">
        <f>data!V68</f>
        <v>0</v>
      </c>
      <c r="I82" s="14">
        <f>data!W68</f>
        <v>180254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-3627</v>
      </c>
      <c r="F83" s="14">
        <f>data!T69</f>
        <v>0</v>
      </c>
      <c r="G83" s="14">
        <f>data!U69</f>
        <v>3531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0</v>
      </c>
      <c r="D85" s="14">
        <f>data!R71</f>
        <v>0</v>
      </c>
      <c r="E85" s="14">
        <f>data!S71</f>
        <v>492785</v>
      </c>
      <c r="F85" s="14">
        <f>data!T71</f>
        <v>0</v>
      </c>
      <c r="G85" s="14">
        <f>data!U71</f>
        <v>1390426</v>
      </c>
      <c r="H85" s="14">
        <f>data!V71</f>
        <v>0</v>
      </c>
      <c r="I85" s="14">
        <f>data!W71</f>
        <v>266415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0</v>
      </c>
      <c r="D87" s="48">
        <f>+data!M683</f>
        <v>0</v>
      </c>
      <c r="E87" s="48">
        <f>+data!M684</f>
        <v>433657</v>
      </c>
      <c r="F87" s="48">
        <f>+data!M685</f>
        <v>0</v>
      </c>
      <c r="G87" s="48">
        <f>+data!M686</f>
        <v>696686</v>
      </c>
      <c r="H87" s="48">
        <f>+data!M687</f>
        <v>0</v>
      </c>
      <c r="I87" s="48">
        <f>+data!M688</f>
        <v>170418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0</v>
      </c>
      <c r="G88" s="14">
        <f>data!U73</f>
        <v>647501</v>
      </c>
      <c r="H88" s="14">
        <f>data!V73</f>
        <v>0</v>
      </c>
      <c r="I88" s="14">
        <f>data!W73</f>
        <v>77698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0</v>
      </c>
      <c r="D89" s="14">
        <f>data!R74</f>
        <v>0</v>
      </c>
      <c r="E89" s="14">
        <f>data!S74</f>
        <v>0</v>
      </c>
      <c r="F89" s="14">
        <f>data!T74</f>
        <v>0</v>
      </c>
      <c r="G89" s="14">
        <f>data!U74</f>
        <v>2692030</v>
      </c>
      <c r="H89" s="14">
        <f>data!V74</f>
        <v>0</v>
      </c>
      <c r="I89" s="14">
        <f>data!W74</f>
        <v>532014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0</v>
      </c>
      <c r="D90" s="14">
        <f>data!R75</f>
        <v>0</v>
      </c>
      <c r="E90" s="14">
        <f>data!S75</f>
        <v>0</v>
      </c>
      <c r="F90" s="14">
        <f>data!T75</f>
        <v>0</v>
      </c>
      <c r="G90" s="14">
        <f>data!U75</f>
        <v>3339531</v>
      </c>
      <c r="H90" s="14">
        <f>data!V75</f>
        <v>0</v>
      </c>
      <c r="I90" s="14">
        <f>data!W75</f>
        <v>609712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1771</v>
      </c>
      <c r="F92" s="14">
        <f>data!T76</f>
        <v>0</v>
      </c>
      <c r="G92" s="14">
        <f>data!U76</f>
        <v>936</v>
      </c>
      <c r="H92" s="14">
        <f>data!V76</f>
        <v>0</v>
      </c>
      <c r="I92" s="14">
        <f>data!W76</f>
        <v>471.24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717.22013487475908</v>
      </c>
      <c r="F94" s="14">
        <f>data!T78</f>
        <v>0</v>
      </c>
      <c r="G94" s="14">
        <f>data!U78</f>
        <v>379.06157325961294</v>
      </c>
      <c r="H94" s="14">
        <f>data!V78</f>
        <v>0</v>
      </c>
      <c r="I94" s="14">
        <f>data!W78</f>
        <v>190.84292284493594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Snoqualmie Valley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8</v>
      </c>
      <c r="E106" s="26">
        <f>data!Z60</f>
        <v>0</v>
      </c>
      <c r="F106" s="26">
        <f>data!AA60</f>
        <v>0</v>
      </c>
      <c r="G106" s="26">
        <f>data!AB60</f>
        <v>5.79</v>
      </c>
      <c r="H106" s="26">
        <f>data!AC60</f>
        <v>0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671576</v>
      </c>
      <c r="E107" s="14">
        <f>data!Z61</f>
        <v>0</v>
      </c>
      <c r="F107" s="14">
        <f>data!AA61</f>
        <v>0</v>
      </c>
      <c r="G107" s="14">
        <f>data!AB61</f>
        <v>452256</v>
      </c>
      <c r="H107" s="14">
        <f>data!AC61</f>
        <v>0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121662</v>
      </c>
      <c r="E108" s="14">
        <f>data!Z62</f>
        <v>0</v>
      </c>
      <c r="F108" s="14">
        <f>data!AA62</f>
        <v>0</v>
      </c>
      <c r="G108" s="14">
        <f>data!AB62</f>
        <v>63491</v>
      </c>
      <c r="H108" s="14">
        <f>data!AC62</f>
        <v>0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44600</v>
      </c>
      <c r="D109" s="14">
        <f>data!Y63</f>
        <v>63790</v>
      </c>
      <c r="E109" s="14">
        <f>data!Z63</f>
        <v>0</v>
      </c>
      <c r="F109" s="14">
        <f>data!AA63</f>
        <v>0</v>
      </c>
      <c r="G109" s="14">
        <f>data!AB63</f>
        <v>10969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46525</v>
      </c>
      <c r="E110" s="14">
        <f>data!Z64</f>
        <v>0</v>
      </c>
      <c r="F110" s="14">
        <f>data!AA64</f>
        <v>0</v>
      </c>
      <c r="G110" s="14">
        <f>data!AB64</f>
        <v>747960</v>
      </c>
      <c r="H110" s="14">
        <f>data!AC64</f>
        <v>0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19394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0</v>
      </c>
      <c r="D112" s="14">
        <f>data!Y66</f>
        <v>9979</v>
      </c>
      <c r="E112" s="14">
        <f>data!Z66</f>
        <v>0</v>
      </c>
      <c r="F112" s="14">
        <f>data!AA66</f>
        <v>0</v>
      </c>
      <c r="G112" s="14">
        <f>data!AB66</f>
        <v>3578</v>
      </c>
      <c r="H112" s="14">
        <f>data!AC66</f>
        <v>0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57519</v>
      </c>
      <c r="D113" s="14">
        <f>data!Y67</f>
        <v>57519</v>
      </c>
      <c r="E113" s="14">
        <f>data!Z67</f>
        <v>0</v>
      </c>
      <c r="F113" s="14">
        <f>data!AA67</f>
        <v>0</v>
      </c>
      <c r="G113" s="14">
        <f>data!AB67</f>
        <v>67270</v>
      </c>
      <c r="H113" s="14">
        <f>data!AC67</f>
        <v>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168686</v>
      </c>
      <c r="D114" s="14">
        <f>data!Y68</f>
        <v>124193</v>
      </c>
      <c r="E114" s="14">
        <f>data!Z68</f>
        <v>0</v>
      </c>
      <c r="F114" s="14">
        <f>data!AA68</f>
        <v>0</v>
      </c>
      <c r="G114" s="14">
        <f>data!AB68</f>
        <v>74697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224</v>
      </c>
      <c r="E115" s="14">
        <f>data!Z69</f>
        <v>0</v>
      </c>
      <c r="F115" s="14">
        <f>data!AA69</f>
        <v>0</v>
      </c>
      <c r="G115" s="14">
        <f>data!AB69</f>
        <v>2789</v>
      </c>
      <c r="H115" s="14">
        <f>data!AC69</f>
        <v>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270805</v>
      </c>
      <c r="D117" s="14">
        <f>data!Y71</f>
        <v>1095468</v>
      </c>
      <c r="E117" s="14">
        <f>data!Z71</f>
        <v>0</v>
      </c>
      <c r="F117" s="14">
        <f>data!AA71</f>
        <v>0</v>
      </c>
      <c r="G117" s="14">
        <f>data!AB71</f>
        <v>1442404</v>
      </c>
      <c r="H117" s="14">
        <f>data!AC71</f>
        <v>0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428935</v>
      </c>
      <c r="D119" s="48">
        <f>+data!M690</f>
        <v>495600</v>
      </c>
      <c r="E119" s="48">
        <f>+data!M691</f>
        <v>0</v>
      </c>
      <c r="F119" s="48">
        <f>+data!M692</f>
        <v>0</v>
      </c>
      <c r="G119" s="48">
        <f>+data!M693</f>
        <v>594171</v>
      </c>
      <c r="H119" s="48">
        <f>+data!M694</f>
        <v>0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210329</v>
      </c>
      <c r="D120" s="14">
        <f>data!Y73</f>
        <v>193330</v>
      </c>
      <c r="E120" s="14">
        <f>data!Z73</f>
        <v>0</v>
      </c>
      <c r="F120" s="14">
        <f>data!AA73</f>
        <v>0</v>
      </c>
      <c r="G120" s="14">
        <f>data!AB73</f>
        <v>1866151</v>
      </c>
      <c r="H120" s="14">
        <f>data!AC73</f>
        <v>0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2535138</v>
      </c>
      <c r="D121" s="14">
        <f>data!Y74</f>
        <v>1473403</v>
      </c>
      <c r="E121" s="14">
        <f>data!Z74</f>
        <v>0</v>
      </c>
      <c r="F121" s="14">
        <f>data!AA74</f>
        <v>0</v>
      </c>
      <c r="G121" s="14">
        <f>data!AB74</f>
        <v>559312</v>
      </c>
      <c r="H121" s="14">
        <f>data!AC74</f>
        <v>0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2745467</v>
      </c>
      <c r="D122" s="14">
        <f>data!Y75</f>
        <v>1666733</v>
      </c>
      <c r="E122" s="14">
        <f>data!Z75</f>
        <v>0</v>
      </c>
      <c r="F122" s="14">
        <f>data!AA75</f>
        <v>0</v>
      </c>
      <c r="G122" s="14">
        <f>data!AB75</f>
        <v>2425463</v>
      </c>
      <c r="H122" s="14">
        <f>data!AC75</f>
        <v>0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835.38</v>
      </c>
      <c r="D124" s="14">
        <f>data!Y76</f>
        <v>835.38</v>
      </c>
      <c r="E124" s="14">
        <f>data!Z76</f>
        <v>0</v>
      </c>
      <c r="F124" s="14">
        <f>data!AA76</f>
        <v>0</v>
      </c>
      <c r="G124" s="14">
        <f>data!AB76</f>
        <v>977</v>
      </c>
      <c r="H124" s="14">
        <f>data!AC76</f>
        <v>0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338.31245413420459</v>
      </c>
      <c r="D126" s="14">
        <f>data!Y78</f>
        <v>338.31245413420459</v>
      </c>
      <c r="E126" s="14">
        <f>data!Z78</f>
        <v>0</v>
      </c>
      <c r="F126" s="14">
        <f>data!AA78</f>
        <v>0</v>
      </c>
      <c r="G126" s="14">
        <f>data!AB78</f>
        <v>395.66576610538658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3165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Snoqualmie Valley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15277</v>
      </c>
      <c r="D137" s="14">
        <f>data!AF59</f>
        <v>0</v>
      </c>
      <c r="E137" s="14">
        <f>data!AG59</f>
        <v>3818</v>
      </c>
      <c r="F137" s="14">
        <f>data!AH59</f>
        <v>0</v>
      </c>
      <c r="G137" s="14">
        <f>data!AI59</f>
        <v>0</v>
      </c>
      <c r="H137" s="14">
        <f>data!AJ59</f>
        <v>7671</v>
      </c>
      <c r="I137" s="14">
        <f>data!AK59</f>
        <v>9991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7.0299999999999994</v>
      </c>
      <c r="D138" s="26">
        <f>data!AF60</f>
        <v>0</v>
      </c>
      <c r="E138" s="26">
        <f>data!AG60</f>
        <v>15.8</v>
      </c>
      <c r="F138" s="26">
        <f>data!AH60</f>
        <v>0</v>
      </c>
      <c r="G138" s="26">
        <f>data!AI60</f>
        <v>0</v>
      </c>
      <c r="H138" s="26">
        <f>data!AJ60</f>
        <v>9.7200000000000006</v>
      </c>
      <c r="I138" s="26">
        <f>data!AK60</f>
        <v>4.5599999999999996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571045</v>
      </c>
      <c r="D139" s="14">
        <f>data!AF61</f>
        <v>0</v>
      </c>
      <c r="E139" s="14">
        <f>data!AG61</f>
        <v>1997186</v>
      </c>
      <c r="F139" s="14">
        <f>data!AH61</f>
        <v>0</v>
      </c>
      <c r="G139" s="14">
        <f>data!AI61</f>
        <v>0</v>
      </c>
      <c r="H139" s="14">
        <f>data!AJ61</f>
        <v>1366814</v>
      </c>
      <c r="I139" s="14">
        <f>data!AK61</f>
        <v>435163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119620</v>
      </c>
      <c r="D140" s="14">
        <f>data!AF62</f>
        <v>0</v>
      </c>
      <c r="E140" s="14">
        <f>data!AG62</f>
        <v>318779</v>
      </c>
      <c r="F140" s="14">
        <f>data!AH62</f>
        <v>0</v>
      </c>
      <c r="G140" s="14">
        <f>data!AI62</f>
        <v>0</v>
      </c>
      <c r="H140" s="14">
        <f>data!AJ62</f>
        <v>205457</v>
      </c>
      <c r="I140" s="14">
        <f>data!AK62</f>
        <v>91634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217322</v>
      </c>
      <c r="F141" s="14">
        <f>data!AH63</f>
        <v>0</v>
      </c>
      <c r="G141" s="14">
        <f>data!AI63</f>
        <v>0</v>
      </c>
      <c r="H141" s="14">
        <f>data!AJ63</f>
        <v>62441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31237</v>
      </c>
      <c r="D142" s="14">
        <f>data!AF64</f>
        <v>0</v>
      </c>
      <c r="E142" s="14">
        <f>data!AG64</f>
        <v>77474</v>
      </c>
      <c r="F142" s="14">
        <f>data!AH64</f>
        <v>0</v>
      </c>
      <c r="G142" s="14">
        <f>data!AI64</f>
        <v>0</v>
      </c>
      <c r="H142" s="14">
        <f>data!AJ64</f>
        <v>15869</v>
      </c>
      <c r="I142" s="14">
        <f>data!AK64</f>
        <v>743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1870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10564</v>
      </c>
      <c r="D144" s="14">
        <f>data!AF66</f>
        <v>0</v>
      </c>
      <c r="E144" s="14">
        <f>data!AG66</f>
        <v>11849</v>
      </c>
      <c r="F144" s="14">
        <f>data!AH66</f>
        <v>0</v>
      </c>
      <c r="G144" s="14">
        <f>data!AI66</f>
        <v>0</v>
      </c>
      <c r="H144" s="14">
        <f>data!AJ66</f>
        <v>9624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85777</v>
      </c>
      <c r="D145" s="14">
        <f>data!AF67</f>
        <v>0</v>
      </c>
      <c r="E145" s="14">
        <f>data!AG67</f>
        <v>268324</v>
      </c>
      <c r="F145" s="14">
        <f>data!AH67</f>
        <v>0</v>
      </c>
      <c r="G145" s="14">
        <f>data!AI67</f>
        <v>0</v>
      </c>
      <c r="H145" s="14">
        <f>data!AJ67</f>
        <v>110992</v>
      </c>
      <c r="I145" s="14">
        <f>data!AK67</f>
        <v>47654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11941</v>
      </c>
      <c r="D146" s="14">
        <f>data!AF68</f>
        <v>0</v>
      </c>
      <c r="E146" s="14">
        <f>data!AG68</f>
        <v>29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5512</v>
      </c>
      <c r="D147" s="14">
        <f>data!AF69</f>
        <v>0</v>
      </c>
      <c r="E147" s="14">
        <f>data!AG69</f>
        <v>14064</v>
      </c>
      <c r="F147" s="14">
        <f>data!AH69</f>
        <v>0</v>
      </c>
      <c r="G147" s="14">
        <f>data!AI69</f>
        <v>0</v>
      </c>
      <c r="H147" s="14">
        <f>data!AJ69</f>
        <v>13567</v>
      </c>
      <c r="I147" s="14">
        <f>data!AK69</f>
        <v>743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835696</v>
      </c>
      <c r="D149" s="14">
        <f>data!AF71</f>
        <v>0</v>
      </c>
      <c r="E149" s="14">
        <f>data!AG71</f>
        <v>2905027</v>
      </c>
      <c r="F149" s="14">
        <f>data!AH71</f>
        <v>0</v>
      </c>
      <c r="G149" s="14">
        <f>data!AI71</f>
        <v>0</v>
      </c>
      <c r="H149" s="14">
        <f>data!AJ71</f>
        <v>1786634</v>
      </c>
      <c r="I149" s="14">
        <f>data!AK71</f>
        <v>575937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588497</v>
      </c>
      <c r="D151" s="48">
        <f>+data!M697</f>
        <v>0</v>
      </c>
      <c r="E151" s="48">
        <f>+data!M698</f>
        <v>1851188</v>
      </c>
      <c r="F151" s="48">
        <f>+data!M699</f>
        <v>0</v>
      </c>
      <c r="G151" s="48">
        <f>+data!M700</f>
        <v>0</v>
      </c>
      <c r="H151" s="48">
        <f>+data!M701</f>
        <v>748853</v>
      </c>
      <c r="I151" s="48">
        <f>+data!M702</f>
        <v>373341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1219747</v>
      </c>
      <c r="D152" s="14">
        <f>data!AF73</f>
        <v>0</v>
      </c>
      <c r="E152" s="14">
        <f>data!AG73</f>
        <v>35242</v>
      </c>
      <c r="F152" s="14">
        <f>data!AH73</f>
        <v>0</v>
      </c>
      <c r="G152" s="14">
        <f>data!AI73</f>
        <v>0</v>
      </c>
      <c r="H152" s="14">
        <f>data!AJ73</f>
        <v>24081</v>
      </c>
      <c r="I152" s="14">
        <f>data!AK73</f>
        <v>1440599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936340</v>
      </c>
      <c r="D153" s="14">
        <f>data!AF74</f>
        <v>0</v>
      </c>
      <c r="E153" s="14">
        <f>data!AG74</f>
        <v>6356443</v>
      </c>
      <c r="F153" s="14">
        <f>data!AH74</f>
        <v>0</v>
      </c>
      <c r="G153" s="14">
        <f>data!AI74</f>
        <v>0</v>
      </c>
      <c r="H153" s="14">
        <f>data!AJ74</f>
        <v>1855537</v>
      </c>
      <c r="I153" s="14">
        <f>data!AK74</f>
        <v>103209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2156087</v>
      </c>
      <c r="D154" s="14">
        <f>data!AF75</f>
        <v>0</v>
      </c>
      <c r="E154" s="14">
        <f>data!AG75</f>
        <v>6391685</v>
      </c>
      <c r="F154" s="14">
        <f>data!AH75</f>
        <v>0</v>
      </c>
      <c r="G154" s="14">
        <f>data!AI75</f>
        <v>0</v>
      </c>
      <c r="H154" s="14">
        <f>data!AJ75</f>
        <v>1879618</v>
      </c>
      <c r="I154" s="14">
        <f>data!AK75</f>
        <v>1543808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1245.78</v>
      </c>
      <c r="D156" s="14">
        <f>data!AF76</f>
        <v>0</v>
      </c>
      <c r="E156" s="14">
        <f>data!AG76</f>
        <v>3897</v>
      </c>
      <c r="F156" s="14">
        <f>data!AH76</f>
        <v>0</v>
      </c>
      <c r="G156" s="14">
        <f>data!AI76</f>
        <v>0</v>
      </c>
      <c r="H156" s="14">
        <f>data!AJ76</f>
        <v>1612</v>
      </c>
      <c r="I156" s="14">
        <f>data!AK76</f>
        <v>692.1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504.51637471726565</v>
      </c>
      <c r="D158" s="14">
        <f>data!AF78</f>
        <v>0</v>
      </c>
      <c r="E158" s="14">
        <f>data!AG78</f>
        <v>1578.2082809751194</v>
      </c>
      <c r="F158" s="14">
        <f>data!AH78</f>
        <v>0</v>
      </c>
      <c r="G158" s="14">
        <f>data!AI78</f>
        <v>0</v>
      </c>
      <c r="H158" s="14">
        <f>data!AJ78</f>
        <v>652.82826505822231</v>
      </c>
      <c r="I158" s="14">
        <f>data!AK78</f>
        <v>280.28687484292539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412</v>
      </c>
      <c r="D159" s="14">
        <f>data!AF79</f>
        <v>0</v>
      </c>
      <c r="E159" s="14">
        <f>data!AG79</f>
        <v>27020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0.04</v>
      </c>
      <c r="D160" s="26">
        <f>data!AF80</f>
        <v>0</v>
      </c>
      <c r="E160" s="26">
        <f>data!AG80</f>
        <v>6.21</v>
      </c>
      <c r="F160" s="26">
        <f>data!AH80</f>
        <v>0</v>
      </c>
      <c r="G160" s="26">
        <f>data!AI80</f>
        <v>0</v>
      </c>
      <c r="H160" s="26">
        <f>data!AJ80</f>
        <v>0.01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Snoqualmie Valley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4253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10381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2.2000000000000002</v>
      </c>
      <c r="D170" s="26">
        <f>data!AM60</f>
        <v>3.69</v>
      </c>
      <c r="E170" s="26">
        <f>data!AN60</f>
        <v>0</v>
      </c>
      <c r="F170" s="26">
        <f>data!AO60</f>
        <v>0</v>
      </c>
      <c r="G170" s="26">
        <f>data!AP60</f>
        <v>16.350000000000001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203648</v>
      </c>
      <c r="D171" s="14">
        <f>data!AM61</f>
        <v>238613</v>
      </c>
      <c r="E171" s="14">
        <f>data!AN61</f>
        <v>0</v>
      </c>
      <c r="F171" s="14">
        <f>data!AO61</f>
        <v>0</v>
      </c>
      <c r="G171" s="14">
        <f>data!AP61</f>
        <v>1509761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42804</v>
      </c>
      <c r="D172" s="14">
        <f>data!AM62</f>
        <v>64771</v>
      </c>
      <c r="E172" s="14">
        <f>data!AN62</f>
        <v>0</v>
      </c>
      <c r="F172" s="14">
        <f>data!AO62</f>
        <v>0</v>
      </c>
      <c r="G172" s="14">
        <f>data!AP62</f>
        <v>293782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55036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2156</v>
      </c>
      <c r="E174" s="14">
        <f>data!AN64</f>
        <v>0</v>
      </c>
      <c r="F174" s="14">
        <f>data!AO64</f>
        <v>0</v>
      </c>
      <c r="G174" s="14">
        <f>data!AP64</f>
        <v>34692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14410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5565</v>
      </c>
      <c r="D176" s="14">
        <f>data!AM66</f>
        <v>1200</v>
      </c>
      <c r="E176" s="14">
        <f>data!AN66</f>
        <v>0</v>
      </c>
      <c r="F176" s="14">
        <f>data!AO66</f>
        <v>0</v>
      </c>
      <c r="G176" s="14">
        <f>data!AP66</f>
        <v>56245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25415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448721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185877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59</v>
      </c>
      <c r="D179" s="14">
        <f>data!AM69</f>
        <v>1764</v>
      </c>
      <c r="E179" s="14">
        <f>data!AN69</f>
        <v>0</v>
      </c>
      <c r="F179" s="14">
        <f>data!AO69</f>
        <v>0</v>
      </c>
      <c r="G179" s="14">
        <f>data!AP69</f>
        <v>40981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277491</v>
      </c>
      <c r="D181" s="14">
        <f>data!AM71</f>
        <v>308504</v>
      </c>
      <c r="E181" s="14">
        <f>data!AN71</f>
        <v>0</v>
      </c>
      <c r="F181" s="14">
        <f>data!AO71</f>
        <v>0</v>
      </c>
      <c r="G181" s="14">
        <f>data!AP71</f>
        <v>2639505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195321</v>
      </c>
      <c r="D183" s="48">
        <f>+data!M704</f>
        <v>72199</v>
      </c>
      <c r="E183" s="48">
        <f>+data!M705</f>
        <v>0</v>
      </c>
      <c r="F183" s="48">
        <f>+data!M706</f>
        <v>0</v>
      </c>
      <c r="G183" s="48">
        <f>+data!M707</f>
        <v>1917745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751767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86975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2237726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838742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2237726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369.12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6517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149.4863332495602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2639.2567018513864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0.32</v>
      </c>
      <c r="E192" s="26">
        <f>data!AN80</f>
        <v>0</v>
      </c>
      <c r="F192" s="26">
        <f>data!AO80</f>
        <v>0</v>
      </c>
      <c r="G192" s="26">
        <f>data!AP80</f>
        <v>0.01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Snoqualmie Valley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22598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1.97</v>
      </c>
      <c r="G202" s="26">
        <f>data!AW60</f>
        <v>0</v>
      </c>
      <c r="H202" s="26">
        <f>data!AX60</f>
        <v>0</v>
      </c>
      <c r="I202" s="26">
        <f>data!AY60</f>
        <v>10.07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169993</v>
      </c>
      <c r="G203" s="14">
        <f>data!AW61</f>
        <v>0</v>
      </c>
      <c r="H203" s="14">
        <f>data!AX61</f>
        <v>0</v>
      </c>
      <c r="I203" s="14">
        <f>data!AY61</f>
        <v>395448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33545</v>
      </c>
      <c r="G204" s="14">
        <f>data!AW62</f>
        <v>0</v>
      </c>
      <c r="H204" s="14">
        <f>data!AX62</f>
        <v>0</v>
      </c>
      <c r="I204" s="14">
        <f>data!AY62</f>
        <v>127813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4266</v>
      </c>
      <c r="G206" s="14">
        <f>data!AW64</f>
        <v>0</v>
      </c>
      <c r="H206" s="14">
        <f>data!AX64</f>
        <v>0</v>
      </c>
      <c r="I206" s="14">
        <f>data!AY64</f>
        <v>247321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218703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163528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36849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505</v>
      </c>
      <c r="G211" s="14">
        <f>data!AW69</f>
        <v>0</v>
      </c>
      <c r="H211" s="14">
        <f>data!AX69</f>
        <v>0</v>
      </c>
      <c r="I211" s="14">
        <f>data!AY69</f>
        <v>65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208309</v>
      </c>
      <c r="G213" s="14">
        <f>data!AW71</f>
        <v>0</v>
      </c>
      <c r="H213" s="14">
        <f>data!AX71</f>
        <v>0</v>
      </c>
      <c r="I213" s="14">
        <f>data!AY71</f>
        <v>1189727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85984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297859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156242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454101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2375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0.49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Snoqualmie Valley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17137</v>
      </c>
      <c r="D233" s="14">
        <f>data!BA59</f>
        <v>0</v>
      </c>
      <c r="E233" s="212"/>
      <c r="F233" s="212"/>
      <c r="G233" s="212"/>
      <c r="H233" s="14">
        <f>data!BE59</f>
        <v>47748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2.54</v>
      </c>
      <c r="F234" s="26">
        <f>data!BC60</f>
        <v>0</v>
      </c>
      <c r="G234" s="26">
        <f>data!BD60</f>
        <v>0</v>
      </c>
      <c r="H234" s="26">
        <f>data!BE60</f>
        <v>5.34</v>
      </c>
      <c r="I234" s="26">
        <f>data!BF60</f>
        <v>9.3000000000000007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218622</v>
      </c>
      <c r="F235" s="14">
        <f>data!BC61</f>
        <v>0</v>
      </c>
      <c r="G235" s="14">
        <f>data!BD61</f>
        <v>0</v>
      </c>
      <c r="H235" s="14">
        <f>data!BE61</f>
        <v>297627</v>
      </c>
      <c r="I235" s="14">
        <f>data!BF61</f>
        <v>282065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21026</v>
      </c>
      <c r="F236" s="14">
        <f>data!BC62</f>
        <v>0</v>
      </c>
      <c r="G236" s="14">
        <f>data!BD62</f>
        <v>0</v>
      </c>
      <c r="H236" s="14">
        <f>data!BE62</f>
        <v>85597</v>
      </c>
      <c r="I236" s="14">
        <f>data!BF62</f>
        <v>92263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497</v>
      </c>
      <c r="F238" s="14">
        <f>data!BC64</f>
        <v>0</v>
      </c>
      <c r="G238" s="14">
        <f>data!BD64</f>
        <v>0</v>
      </c>
      <c r="H238" s="14">
        <f>data!BE64</f>
        <v>49320</v>
      </c>
      <c r="I238" s="14">
        <f>data!BF64</f>
        <v>209343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389860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375</v>
      </c>
      <c r="F240" s="14">
        <f>data!BC66</f>
        <v>0</v>
      </c>
      <c r="G240" s="14">
        <f>data!BD66</f>
        <v>0</v>
      </c>
      <c r="H240" s="14">
        <f>data!BE66</f>
        <v>291887</v>
      </c>
      <c r="I240" s="14">
        <f>data!BF66</f>
        <v>0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50745</v>
      </c>
      <c r="D241" s="14">
        <f>data!BA67</f>
        <v>0</v>
      </c>
      <c r="E241" s="14">
        <f>data!BB67</f>
        <v>10810</v>
      </c>
      <c r="F241" s="14">
        <f>data!BC67</f>
        <v>0</v>
      </c>
      <c r="G241" s="14">
        <f>data!BD67</f>
        <v>0</v>
      </c>
      <c r="H241" s="14">
        <f>data!BE67</f>
        <v>348814</v>
      </c>
      <c r="I241" s="14">
        <f>data!BF67</f>
        <v>56254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202398</v>
      </c>
      <c r="I242" s="14">
        <f>data!BF68</f>
        <v>9597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2082</v>
      </c>
      <c r="F243" s="14">
        <f>data!BC69</f>
        <v>0</v>
      </c>
      <c r="G243" s="14">
        <f>data!BD69</f>
        <v>0</v>
      </c>
      <c r="H243" s="14">
        <f>data!BE69</f>
        <v>4303</v>
      </c>
      <c r="I243" s="14">
        <f>data!BF69</f>
        <v>108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50745</v>
      </c>
      <c r="D245" s="14">
        <f>data!BA71</f>
        <v>0</v>
      </c>
      <c r="E245" s="14">
        <f>data!BB71</f>
        <v>253412</v>
      </c>
      <c r="F245" s="14">
        <f>data!BC71</f>
        <v>0</v>
      </c>
      <c r="G245" s="14">
        <f>data!BD71</f>
        <v>0</v>
      </c>
      <c r="H245" s="14">
        <f>data!BE71</f>
        <v>1669806</v>
      </c>
      <c r="I245" s="14">
        <f>data!BF71</f>
        <v>649630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737</v>
      </c>
      <c r="D252" s="85">
        <f>data!BA76</f>
        <v>0</v>
      </c>
      <c r="E252" s="85">
        <f>data!BB76</f>
        <v>157</v>
      </c>
      <c r="F252" s="85">
        <f>data!BC76</f>
        <v>0</v>
      </c>
      <c r="G252" s="85">
        <f>data!BD76</f>
        <v>0</v>
      </c>
      <c r="H252" s="85">
        <f>data!BE76</f>
        <v>5066</v>
      </c>
      <c r="I252" s="85">
        <f>data!BF76</f>
        <v>817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22598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63.581909189913709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Snoqualmie Valley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7.03</v>
      </c>
      <c r="E266" s="26">
        <f>data!BI60</f>
        <v>0</v>
      </c>
      <c r="F266" s="26">
        <f>data!BJ60</f>
        <v>3.93</v>
      </c>
      <c r="G266" s="26">
        <f>data!BK60</f>
        <v>4.66</v>
      </c>
      <c r="H266" s="26">
        <f>data!BL60</f>
        <v>10.06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474056</v>
      </c>
      <c r="E267" s="14">
        <f>data!BI61</f>
        <v>0</v>
      </c>
      <c r="F267" s="14">
        <f>data!BJ61</f>
        <v>302460</v>
      </c>
      <c r="G267" s="14">
        <f>data!BK61</f>
        <v>264196</v>
      </c>
      <c r="H267" s="14">
        <f>data!BL61</f>
        <v>442914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101807</v>
      </c>
      <c r="E268" s="14">
        <f>data!BI62</f>
        <v>0</v>
      </c>
      <c r="F268" s="14">
        <f>data!BJ62</f>
        <v>70923</v>
      </c>
      <c r="G268" s="14">
        <f>data!BK62</f>
        <v>71177</v>
      </c>
      <c r="H268" s="14">
        <f>data!BL62</f>
        <v>146198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53749</v>
      </c>
      <c r="E269" s="14">
        <f>data!BI63</f>
        <v>0</v>
      </c>
      <c r="F269" s="14">
        <f>data!BJ63</f>
        <v>63285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217654</v>
      </c>
      <c r="E270" s="14">
        <f>data!BI64</f>
        <v>0</v>
      </c>
      <c r="F270" s="14">
        <f>data!BJ64</f>
        <v>5307</v>
      </c>
      <c r="G270" s="14">
        <f>data!BK64</f>
        <v>-1757</v>
      </c>
      <c r="H270" s="14">
        <f>data!BL64</f>
        <v>4944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14388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280745</v>
      </c>
      <c r="E272" s="14">
        <f>data!BI66</f>
        <v>0</v>
      </c>
      <c r="F272" s="14">
        <f>data!BJ66</f>
        <v>2082</v>
      </c>
      <c r="G272" s="14">
        <f>data!BK66</f>
        <v>702193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17541</v>
      </c>
      <c r="E275" s="14">
        <f>data!BI69</f>
        <v>0</v>
      </c>
      <c r="F275" s="14">
        <f>data!BJ69</f>
        <v>841</v>
      </c>
      <c r="G275" s="14">
        <f>data!BK69</f>
        <v>6834</v>
      </c>
      <c r="H275" s="14">
        <f>data!BL69</f>
        <v>149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1159940</v>
      </c>
      <c r="E277" s="14">
        <f>data!BI71</f>
        <v>0</v>
      </c>
      <c r="F277" s="14">
        <f>data!BJ71</f>
        <v>444898</v>
      </c>
      <c r="G277" s="14">
        <f>data!BK71</f>
        <v>1042643</v>
      </c>
      <c r="H277" s="14">
        <f>data!BL71</f>
        <v>594205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Snoqualmie Valley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4.2300000000000004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2.15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762056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156365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4958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32168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164726</v>
      </c>
      <c r="D301" s="14">
        <f>data!BO63</f>
        <v>0</v>
      </c>
      <c r="E301" s="14">
        <f>data!BP63</f>
        <v>13413</v>
      </c>
      <c r="F301" s="14">
        <f>data!BQ63</f>
        <v>0</v>
      </c>
      <c r="G301" s="14">
        <f>data!BR63</f>
        <v>4000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19206</v>
      </c>
      <c r="D302" s="14">
        <f>data!BO64</f>
        <v>0</v>
      </c>
      <c r="E302" s="14">
        <f>data!BP64</f>
        <v>444</v>
      </c>
      <c r="F302" s="14">
        <f>data!BQ64</f>
        <v>0</v>
      </c>
      <c r="G302" s="14">
        <f>data!BR64</f>
        <v>4554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10670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55683</v>
      </c>
      <c r="D304" s="14">
        <f>data!BO66</f>
        <v>0</v>
      </c>
      <c r="E304" s="14">
        <f>data!BP66</f>
        <v>595</v>
      </c>
      <c r="F304" s="14">
        <f>data!BQ66</f>
        <v>0</v>
      </c>
      <c r="G304" s="14">
        <f>data!BR66</f>
        <v>5485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237339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340190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260565</v>
      </c>
      <c r="D307" s="14">
        <f>data!BO69</f>
        <v>0</v>
      </c>
      <c r="E307" s="14">
        <f>data!BP69</f>
        <v>277</v>
      </c>
      <c r="F307" s="14">
        <f>data!BQ69</f>
        <v>0</v>
      </c>
      <c r="G307" s="14">
        <f>data!BR69</f>
        <v>29344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1855393</v>
      </c>
      <c r="D309" s="14">
        <f>data!BO71</f>
        <v>0</v>
      </c>
      <c r="E309" s="14">
        <f>data!BP71</f>
        <v>14729</v>
      </c>
      <c r="F309" s="14">
        <f>data!BQ71</f>
        <v>0</v>
      </c>
      <c r="G309" s="14">
        <f>data!BR71</f>
        <v>231916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3447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Snoqualmie Valley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4.01</v>
      </c>
      <c r="E330" s="26">
        <f>data!BW60</f>
        <v>1</v>
      </c>
      <c r="F330" s="26">
        <f>data!BX60</f>
        <v>0</v>
      </c>
      <c r="G330" s="26">
        <f>data!BY60</f>
        <v>5.96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233110</v>
      </c>
      <c r="E331" s="86">
        <f>data!BW61</f>
        <v>83007</v>
      </c>
      <c r="F331" s="86">
        <f>data!BX61</f>
        <v>0</v>
      </c>
      <c r="G331" s="86">
        <f>data!BY61</f>
        <v>555214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60400</v>
      </c>
      <c r="E332" s="86">
        <f>data!BW62</f>
        <v>22039</v>
      </c>
      <c r="F332" s="86">
        <f>data!BX62</f>
        <v>0</v>
      </c>
      <c r="G332" s="86">
        <f>data!BY62</f>
        <v>112798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2381</v>
      </c>
      <c r="E334" s="86">
        <f>data!BW64</f>
        <v>1200</v>
      </c>
      <c r="F334" s="86">
        <f>data!BX64</f>
        <v>0</v>
      </c>
      <c r="G334" s="86">
        <f>data!BY64</f>
        <v>516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5669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10879</v>
      </c>
      <c r="E337" s="86">
        <f>data!BW67</f>
        <v>0</v>
      </c>
      <c r="F337" s="86">
        <f>data!BX67</f>
        <v>0</v>
      </c>
      <c r="G337" s="86">
        <f>data!BY67</f>
        <v>5921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1639</v>
      </c>
      <c r="E339" s="86">
        <f>data!BW69</f>
        <v>4567</v>
      </c>
      <c r="F339" s="86">
        <f>data!BX69</f>
        <v>0</v>
      </c>
      <c r="G339" s="86">
        <f>data!BY69</f>
        <v>15206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308409</v>
      </c>
      <c r="E341" s="14">
        <f>data!BW71</f>
        <v>116482</v>
      </c>
      <c r="F341" s="14">
        <f>data!BX71</f>
        <v>0</v>
      </c>
      <c r="G341" s="14">
        <f>data!BY71</f>
        <v>689655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158</v>
      </c>
      <c r="E348" s="85">
        <f>data!BW76</f>
        <v>0</v>
      </c>
      <c r="F348" s="85">
        <f>data!BX76</f>
        <v>0</v>
      </c>
      <c r="G348" s="85">
        <f>data!BY76</f>
        <v>86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63.986889503225271</v>
      </c>
      <c r="E350" s="85">
        <f>data!BW78</f>
        <v>0</v>
      </c>
      <c r="F350" s="85">
        <f>data!BX78</f>
        <v>0</v>
      </c>
      <c r="G350" s="85">
        <f>data!BY78</f>
        <v>34.828306944793496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Snoqualmie Valley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0.84</v>
      </c>
      <c r="E362" s="217"/>
      <c r="F362" s="211"/>
      <c r="G362" s="211"/>
      <c r="H362" s="211"/>
      <c r="I362" s="87">
        <f>data!CE60</f>
        <v>216.47000000000003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30983</v>
      </c>
      <c r="E363" s="218"/>
      <c r="F363" s="219"/>
      <c r="G363" s="219"/>
      <c r="H363" s="219"/>
      <c r="I363" s="86">
        <f>data!CE61</f>
        <v>17143136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13982</v>
      </c>
      <c r="E364" s="218"/>
      <c r="F364" s="219"/>
      <c r="G364" s="219"/>
      <c r="H364" s="219"/>
      <c r="I364" s="86">
        <f>data!CE62</f>
        <v>3405134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1035393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14718</v>
      </c>
      <c r="E366" s="218"/>
      <c r="F366" s="219"/>
      <c r="G366" s="219"/>
      <c r="H366" s="219"/>
      <c r="I366" s="86">
        <f>data!CE64</f>
        <v>2492076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451448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948</v>
      </c>
      <c r="E368" s="218"/>
      <c r="F368" s="219"/>
      <c r="G368" s="219"/>
      <c r="H368" s="219"/>
      <c r="I368" s="86">
        <f>data!CE66</f>
        <v>2221214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3287635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1933093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5653859</v>
      </c>
      <c r="F371" s="219"/>
      <c r="G371" s="219"/>
      <c r="H371" s="219"/>
      <c r="I371" s="86">
        <f>data!CE69</f>
        <v>6103635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432723</v>
      </c>
      <c r="F372" s="220"/>
      <c r="G372" s="220"/>
      <c r="H372" s="220"/>
      <c r="I372" s="14">
        <f>-data!CE70</f>
        <v>-432723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60631</v>
      </c>
      <c r="E373" s="86">
        <f>data!CD71</f>
        <v>5221136</v>
      </c>
      <c r="F373" s="219"/>
      <c r="G373" s="219"/>
      <c r="H373" s="219"/>
      <c r="I373" s="14">
        <f>data!CE71</f>
        <v>37640041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-3785604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27373555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20796480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48170035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47748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22598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14298.234941777666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189879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58.889999999999993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Snoqualmie Valley Hospital Year End Report</dc:title>
  <dc:subject>2018 Snoqualmie Valley Hospital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2019-04-18T22:06:26Z</dcterms:modified>
</cp:coreProperties>
</file>