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data!#REF!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Year'!$I$184:$P$194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D69" i="1" l="1"/>
  <c r="D139" i="1" l="1"/>
  <c r="D138" i="1"/>
  <c r="AV60" i="1" l="1"/>
  <c r="AV80" i="1"/>
  <c r="AI80" i="1"/>
  <c r="AC80" i="1"/>
  <c r="AB80" i="1"/>
  <c r="Y80" i="1"/>
  <c r="X80" i="1"/>
  <c r="E79" i="1" l="1"/>
  <c r="AI79" i="1"/>
  <c r="Y79" i="1"/>
  <c r="AC79" i="1"/>
  <c r="O79" i="1"/>
  <c r="AV78" i="1"/>
  <c r="BN60" i="1" l="1"/>
  <c r="BE60" i="1"/>
  <c r="Y60" i="1"/>
  <c r="X60" i="1"/>
  <c r="C73" i="1" l="1"/>
  <c r="BD69" i="1"/>
  <c r="AV61" i="1" l="1"/>
  <c r="AV64" i="1"/>
  <c r="BP69" i="1" l="1"/>
  <c r="O69" i="1" l="1"/>
  <c r="O66" i="1"/>
  <c r="R69" i="1"/>
  <c r="AV63" i="1"/>
  <c r="BN69" i="1" l="1"/>
  <c r="BN47" i="1"/>
  <c r="AV47" i="1"/>
  <c r="C60" i="1"/>
  <c r="C64" i="1"/>
  <c r="C47" i="1"/>
  <c r="C61" i="1"/>
  <c r="P74" i="1"/>
  <c r="P73" i="1"/>
  <c r="R73" i="1"/>
  <c r="Y69" i="1" l="1"/>
  <c r="Y65" i="1"/>
  <c r="Y66" i="1"/>
  <c r="Y63" i="1"/>
  <c r="Y64" i="1"/>
  <c r="Y47" i="1"/>
  <c r="Y61" i="1"/>
  <c r="Y74" i="1"/>
  <c r="Y73" i="1"/>
  <c r="Y59" i="1"/>
  <c r="X65" i="1"/>
  <c r="X69" i="1"/>
  <c r="X66" i="1"/>
  <c r="X64" i="1"/>
  <c r="X47" i="1"/>
  <c r="X61" i="1"/>
  <c r="X74" i="1"/>
  <c r="X73" i="1"/>
  <c r="X59" i="1"/>
  <c r="BN66" i="1"/>
  <c r="BY61" i="1"/>
  <c r="BN65" i="1"/>
  <c r="BN64" i="1"/>
  <c r="BN61" i="1"/>
  <c r="CA69" i="1"/>
  <c r="BX69" i="1"/>
  <c r="BW69" i="1"/>
  <c r="BV66" i="1"/>
  <c r="BV69" i="1"/>
  <c r="BV64" i="1"/>
  <c r="BV61" i="1"/>
  <c r="BR60" i="1"/>
  <c r="BR47" i="1"/>
  <c r="BR61" i="1"/>
  <c r="BR69" i="1"/>
  <c r="BR64" i="1"/>
  <c r="BN68" i="1"/>
  <c r="BL60" i="1"/>
  <c r="BL47" i="1"/>
  <c r="BL61" i="1"/>
  <c r="BL69" i="1"/>
  <c r="BJ69" i="1"/>
  <c r="BJ61" i="1"/>
  <c r="BH69" i="1"/>
  <c r="BF66" i="1"/>
  <c r="BF69" i="1"/>
  <c r="BF61" i="1"/>
  <c r="BE69" i="1"/>
  <c r="BE65" i="1"/>
  <c r="BE64" i="1"/>
  <c r="BE47" i="1"/>
  <c r="BE61" i="1"/>
  <c r="BD64" i="1"/>
  <c r="BB60" i="1"/>
  <c r="BB69" i="1"/>
  <c r="BB64" i="1"/>
  <c r="BB47" i="1"/>
  <c r="BB61" i="1"/>
  <c r="AY69" i="1"/>
  <c r="AY61" i="1"/>
  <c r="AV74" i="1"/>
  <c r="AV73" i="1"/>
  <c r="AV69" i="1"/>
  <c r="AK69" i="1" l="1"/>
  <c r="AI69" i="1" l="1"/>
  <c r="AI60" i="1"/>
  <c r="AI65" i="1"/>
  <c r="AI64" i="1"/>
  <c r="AI47" i="1"/>
  <c r="AI61" i="1"/>
  <c r="AI74" i="1"/>
  <c r="AI73" i="1"/>
  <c r="AI59" i="1"/>
  <c r="AG69" i="1"/>
  <c r="AG61" i="1"/>
  <c r="AE69" i="1"/>
  <c r="AE61" i="1"/>
  <c r="AC60" i="1" l="1"/>
  <c r="AC69" i="1"/>
  <c r="AC66" i="1"/>
  <c r="AC63" i="1"/>
  <c r="AC64" i="1"/>
  <c r="AC47" i="1"/>
  <c r="AC61" i="1"/>
  <c r="AC74" i="1"/>
  <c r="AC59" i="1"/>
  <c r="AB60" i="1"/>
  <c r="AB66" i="1"/>
  <c r="AB64" i="1"/>
  <c r="AB47" i="1"/>
  <c r="AB61" i="1"/>
  <c r="AB74" i="1"/>
  <c r="AB73" i="1"/>
  <c r="AB69" i="1"/>
  <c r="AA69" i="1"/>
  <c r="Z69" i="1"/>
  <c r="Y68" i="1"/>
  <c r="X68" i="1"/>
  <c r="W69" i="1" l="1"/>
  <c r="U69" i="1"/>
  <c r="U66" i="1"/>
  <c r="U64" i="1"/>
  <c r="U74" i="1"/>
  <c r="U73" i="1"/>
  <c r="U59" i="1"/>
  <c r="S69" i="1"/>
  <c r="S61" i="1"/>
  <c r="Q69" i="1"/>
  <c r="P69" i="1"/>
  <c r="P61" i="1"/>
  <c r="O61" i="1"/>
  <c r="J69" i="1"/>
  <c r="J61" i="1"/>
  <c r="E69" i="1"/>
  <c r="E61" i="1"/>
  <c r="C69" i="1"/>
  <c r="C389" i="1" l="1"/>
  <c r="C364" i="10"/>
  <c r="C359" i="1"/>
  <c r="C276" i="1"/>
  <c r="C213" i="1"/>
  <c r="C210" i="1"/>
  <c r="C214" i="1"/>
  <c r="C212" i="1"/>
  <c r="C215" i="1"/>
  <c r="D210" i="1"/>
  <c r="C200" i="1"/>
  <c r="C201" i="1"/>
  <c r="C199" i="1"/>
  <c r="C197" i="1"/>
  <c r="E200" i="10"/>
  <c r="C252" i="1" l="1"/>
  <c r="C270" i="1" l="1"/>
  <c r="C272" i="1"/>
  <c r="C269" i="1"/>
  <c r="C228" i="1" l="1"/>
  <c r="C228" i="10" l="1"/>
  <c r="C234" i="1"/>
  <c r="C233" i="1"/>
  <c r="C179" i="1"/>
  <c r="C176" i="1" l="1"/>
  <c r="C175" i="1"/>
  <c r="C172" i="1"/>
  <c r="C169" i="1"/>
  <c r="C168" i="1"/>
  <c r="C166" i="1"/>
  <c r="C165" i="1"/>
  <c r="D141" i="1"/>
  <c r="D142" i="1"/>
  <c r="D140" i="1"/>
  <c r="M817" i="10" l="1"/>
  <c r="K817" i="10"/>
  <c r="J817" i="10"/>
  <c r="I817" i="10"/>
  <c r="H817" i="10"/>
  <c r="G817" i="10"/>
  <c r="F817" i="10"/>
  <c r="E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K808" i="10"/>
  <c r="I808" i="10"/>
  <c r="H808" i="10"/>
  <c r="G808" i="10"/>
  <c r="F808" i="10"/>
  <c r="A808" i="10"/>
  <c r="T807" i="10"/>
  <c r="S807" i="10"/>
  <c r="R807" i="10"/>
  <c r="Q807" i="10"/>
  <c r="P807" i="10"/>
  <c r="M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K805" i="10"/>
  <c r="H805" i="10"/>
  <c r="G805" i="10"/>
  <c r="F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K801" i="10"/>
  <c r="H801" i="10"/>
  <c r="G801" i="10"/>
  <c r="F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K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K791" i="10"/>
  <c r="I791" i="10"/>
  <c r="H791" i="10"/>
  <c r="G791" i="10"/>
  <c r="F791" i="10"/>
  <c r="D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K789" i="10"/>
  <c r="H789" i="10"/>
  <c r="G789" i="10"/>
  <c r="F789" i="10"/>
  <c r="D789" i="10"/>
  <c r="C789" i="10"/>
  <c r="A789" i="10"/>
  <c r="T788" i="10"/>
  <c r="S788" i="10"/>
  <c r="R788" i="10"/>
  <c r="Q788" i="10"/>
  <c r="M788" i="10"/>
  <c r="K788" i="10"/>
  <c r="F788" i="10"/>
  <c r="B788" i="10"/>
  <c r="A788" i="10"/>
  <c r="T787" i="10"/>
  <c r="S787" i="10"/>
  <c r="R787" i="10"/>
  <c r="Q787" i="10"/>
  <c r="P787" i="10"/>
  <c r="M787" i="10"/>
  <c r="K787" i="10"/>
  <c r="H787" i="10"/>
  <c r="F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K785" i="10"/>
  <c r="I785" i="10"/>
  <c r="H785" i="10"/>
  <c r="F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K779" i="10"/>
  <c r="I779" i="10"/>
  <c r="H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S766" i="10"/>
  <c r="R766" i="10"/>
  <c r="Q766" i="10"/>
  <c r="P766" i="10"/>
  <c r="M766" i="10"/>
  <c r="K766" i="10"/>
  <c r="I766" i="10"/>
  <c r="F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K764" i="10"/>
  <c r="I764" i="10"/>
  <c r="H764" i="10"/>
  <c r="F764" i="10"/>
  <c r="C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K762" i="10"/>
  <c r="I762" i="10"/>
  <c r="H762" i="10"/>
  <c r="G762" i="10"/>
  <c r="F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M760" i="10"/>
  <c r="H760" i="10"/>
  <c r="A760" i="10"/>
  <c r="S759" i="10"/>
  <c r="R759" i="10"/>
  <c r="Q759" i="10"/>
  <c r="P759" i="10"/>
  <c r="M759" i="10"/>
  <c r="K759" i="10"/>
  <c r="H759" i="10"/>
  <c r="F759" i="10"/>
  <c r="A759" i="10"/>
  <c r="T758" i="10"/>
  <c r="S758" i="10"/>
  <c r="R758" i="10"/>
  <c r="Q758" i="10"/>
  <c r="P758" i="10"/>
  <c r="O758" i="10"/>
  <c r="M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M756" i="10"/>
  <c r="F756" i="10"/>
  <c r="A756" i="10"/>
  <c r="T755" i="10"/>
  <c r="S755" i="10"/>
  <c r="R755" i="10"/>
  <c r="Q755" i="10"/>
  <c r="P755" i="10"/>
  <c r="M755" i="10"/>
  <c r="K755" i="10"/>
  <c r="H755" i="10"/>
  <c r="F755" i="10"/>
  <c r="A755" i="10"/>
  <c r="T754" i="10"/>
  <c r="S754" i="10"/>
  <c r="R754" i="10"/>
  <c r="Q754" i="10"/>
  <c r="P754" i="10"/>
  <c r="O754" i="10"/>
  <c r="M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K752" i="10"/>
  <c r="H752" i="10"/>
  <c r="F752" i="10"/>
  <c r="D752" i="10"/>
  <c r="C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F751" i="10"/>
  <c r="D751" i="10"/>
  <c r="C751" i="10"/>
  <c r="A751" i="10"/>
  <c r="T750" i="10"/>
  <c r="S750" i="10"/>
  <c r="R750" i="10"/>
  <c r="Q750" i="10"/>
  <c r="P750" i="10"/>
  <c r="O750" i="10"/>
  <c r="M750" i="10"/>
  <c r="K750" i="10"/>
  <c r="I750" i="10"/>
  <c r="H750" i="10"/>
  <c r="G750" i="10"/>
  <c r="F750" i="10"/>
  <c r="C750" i="10"/>
  <c r="A750" i="10"/>
  <c r="T749" i="10"/>
  <c r="S749" i="10"/>
  <c r="R749" i="10"/>
  <c r="Q749" i="10"/>
  <c r="P749" i="10"/>
  <c r="O749" i="10"/>
  <c r="M749" i="10"/>
  <c r="K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K748" i="10"/>
  <c r="I748" i="10"/>
  <c r="H748" i="10"/>
  <c r="G748" i="10"/>
  <c r="F748" i="10"/>
  <c r="C748" i="10"/>
  <c r="B748" i="10"/>
  <c r="A748" i="10"/>
  <c r="T747" i="10"/>
  <c r="S747" i="10"/>
  <c r="R747" i="10"/>
  <c r="Q747" i="10"/>
  <c r="P747" i="10"/>
  <c r="M747" i="10"/>
  <c r="I747" i="10"/>
  <c r="H747" i="10"/>
  <c r="G747" i="10"/>
  <c r="F747" i="10"/>
  <c r="C747" i="10"/>
  <c r="B747" i="10"/>
  <c r="A747" i="10"/>
  <c r="S746" i="10"/>
  <c r="R746" i="10"/>
  <c r="Q746" i="10"/>
  <c r="P746" i="10"/>
  <c r="O746" i="10"/>
  <c r="M746" i="10"/>
  <c r="K746" i="10"/>
  <c r="I746" i="10"/>
  <c r="H746" i="10"/>
  <c r="G746" i="10"/>
  <c r="F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K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K736" i="10"/>
  <c r="I736" i="10"/>
  <c r="H736" i="10"/>
  <c r="G736" i="10"/>
  <c r="F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K734" i="10"/>
  <c r="H734" i="10"/>
  <c r="G734" i="10"/>
  <c r="F734" i="10"/>
  <c r="C734" i="10"/>
  <c r="B734" i="10"/>
  <c r="A734" i="10"/>
  <c r="CF730" i="10"/>
  <c r="CE730" i="10"/>
  <c r="CD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P730" i="10"/>
  <c r="BO730" i="10"/>
  <c r="BN730" i="10"/>
  <c r="BM730" i="10"/>
  <c r="BK730" i="10"/>
  <c r="BF730" i="10"/>
  <c r="BB730" i="10"/>
  <c r="BA730" i="10"/>
  <c r="AZ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A730" i="10"/>
  <c r="Z730" i="10"/>
  <c r="Y730" i="10"/>
  <c r="X730" i="10"/>
  <c r="W730" i="10"/>
  <c r="V730" i="10"/>
  <c r="U730" i="10"/>
  <c r="S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BZ722" i="10"/>
  <c r="BX722" i="10"/>
  <c r="BW722" i="10"/>
  <c r="BV722" i="10"/>
  <c r="BU722" i="10"/>
  <c r="BT722" i="10"/>
  <c r="BS722" i="10"/>
  <c r="BR722" i="10"/>
  <c r="BQ722" i="10"/>
  <c r="BO722" i="10"/>
  <c r="BN722" i="10"/>
  <c r="BK722" i="10"/>
  <c r="BI722" i="10"/>
  <c r="BH722" i="10"/>
  <c r="BF722" i="10"/>
  <c r="BE722" i="10"/>
  <c r="BD722" i="10"/>
  <c r="BC722" i="10"/>
  <c r="BB722" i="10"/>
  <c r="AZ722" i="10"/>
  <c r="AY722" i="10"/>
  <c r="AW722" i="10"/>
  <c r="AR722" i="10"/>
  <c r="AQ722" i="10"/>
  <c r="AP722" i="10"/>
  <c r="AM722" i="10"/>
  <c r="AL722" i="10"/>
  <c r="AK722" i="10"/>
  <c r="AJ722" i="10"/>
  <c r="AH722" i="10"/>
  <c r="AG722" i="10"/>
  <c r="AE722" i="10"/>
  <c r="AD722" i="10"/>
  <c r="AC722" i="10"/>
  <c r="AB722" i="10"/>
  <c r="AA722" i="10"/>
  <c r="X722" i="10"/>
  <c r="V722" i="10"/>
  <c r="U722" i="10"/>
  <c r="S722" i="10"/>
  <c r="R722" i="10"/>
  <c r="P722" i="10"/>
  <c r="O722" i="10"/>
  <c r="N722" i="10"/>
  <c r="M722" i="10"/>
  <c r="L722" i="10"/>
  <c r="K722" i="10"/>
  <c r="G722" i="10"/>
  <c r="D722" i="10"/>
  <c r="C722" i="10"/>
  <c r="A722" i="10"/>
  <c r="C615" i="10"/>
  <c r="E550" i="10"/>
  <c r="F550" i="10"/>
  <c r="F546" i="10"/>
  <c r="E546" i="10"/>
  <c r="H546" i="10"/>
  <c r="H545" i="10"/>
  <c r="F545" i="10"/>
  <c r="E545" i="10"/>
  <c r="E544" i="10"/>
  <c r="H540" i="10"/>
  <c r="F540" i="10"/>
  <c r="E540" i="10"/>
  <c r="H539" i="10"/>
  <c r="F539" i="10"/>
  <c r="E539" i="10"/>
  <c r="E538" i="10"/>
  <c r="F538" i="10"/>
  <c r="E537" i="10"/>
  <c r="H537" i="10"/>
  <c r="E536" i="10"/>
  <c r="H536" i="10"/>
  <c r="F535" i="10"/>
  <c r="E535" i="10"/>
  <c r="H535" i="10"/>
  <c r="E534" i="10"/>
  <c r="H533" i="10"/>
  <c r="F533" i="10"/>
  <c r="E533" i="10"/>
  <c r="H532" i="10"/>
  <c r="F532" i="10"/>
  <c r="E532" i="10"/>
  <c r="E531" i="10"/>
  <c r="F531" i="10"/>
  <c r="F530" i="10"/>
  <c r="E530" i="10"/>
  <c r="H529" i="10"/>
  <c r="E529" i="10"/>
  <c r="F529" i="10"/>
  <c r="F527" i="10"/>
  <c r="E527" i="10"/>
  <c r="H527" i="10"/>
  <c r="H525" i="10"/>
  <c r="F525" i="10"/>
  <c r="E525" i="10"/>
  <c r="F524" i="10"/>
  <c r="E524" i="10"/>
  <c r="E523" i="10"/>
  <c r="F523" i="10"/>
  <c r="F522" i="10"/>
  <c r="F521" i="10"/>
  <c r="E520" i="10"/>
  <c r="E519" i="10"/>
  <c r="F519" i="10"/>
  <c r="F518" i="10"/>
  <c r="F517" i="10"/>
  <c r="F516" i="10"/>
  <c r="E516" i="10"/>
  <c r="H515" i="10"/>
  <c r="E515" i="10"/>
  <c r="F515" i="10"/>
  <c r="F513" i="10"/>
  <c r="F512" i="10"/>
  <c r="E511" i="10"/>
  <c r="F511" i="10"/>
  <c r="E510" i="10"/>
  <c r="F509" i="10"/>
  <c r="E509" i="10"/>
  <c r="E508" i="10"/>
  <c r="H507" i="10"/>
  <c r="F507" i="10"/>
  <c r="E507" i="10"/>
  <c r="H506" i="10"/>
  <c r="F506" i="10"/>
  <c r="E506" i="10"/>
  <c r="E505" i="10"/>
  <c r="F505" i="10"/>
  <c r="H504" i="10"/>
  <c r="F504" i="10"/>
  <c r="E504" i="10"/>
  <c r="E503" i="10"/>
  <c r="F503" i="10"/>
  <c r="E502" i="10"/>
  <c r="H502" i="10"/>
  <c r="F501" i="10"/>
  <c r="E501" i="10"/>
  <c r="H501" i="10"/>
  <c r="E500" i="10"/>
  <c r="H499" i="10"/>
  <c r="F499" i="10"/>
  <c r="E499" i="10"/>
  <c r="F498" i="10"/>
  <c r="E498" i="10"/>
  <c r="E497" i="10"/>
  <c r="F497" i="10"/>
  <c r="F496" i="10"/>
  <c r="E496" i="10"/>
  <c r="G493" i="10"/>
  <c r="E493" i="10"/>
  <c r="C493" i="10"/>
  <c r="A493" i="10"/>
  <c r="B478" i="10"/>
  <c r="B475" i="10"/>
  <c r="B474" i="10"/>
  <c r="B472" i="10"/>
  <c r="B470" i="10"/>
  <c r="B469" i="10"/>
  <c r="B468" i="10"/>
  <c r="B464" i="10"/>
  <c r="C459" i="10"/>
  <c r="B459" i="10"/>
  <c r="B458" i="10"/>
  <c r="B453" i="10"/>
  <c r="C447" i="10"/>
  <c r="C446" i="10"/>
  <c r="C444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C378" i="10"/>
  <c r="B427" i="10" s="1"/>
  <c r="D372" i="10"/>
  <c r="BL730" i="10"/>
  <c r="C359" i="10"/>
  <c r="C337" i="10"/>
  <c r="BE730" i="10" s="1"/>
  <c r="D329" i="10"/>
  <c r="D328" i="10"/>
  <c r="D330" i="10" s="1"/>
  <c r="C326" i="10"/>
  <c r="AY730" i="10" s="1"/>
  <c r="D319" i="10"/>
  <c r="D314" i="10"/>
  <c r="D290" i="10"/>
  <c r="C282" i="10"/>
  <c r="AB730" i="10" s="1"/>
  <c r="C272" i="10"/>
  <c r="C270" i="10"/>
  <c r="D265" i="10"/>
  <c r="C252" i="10"/>
  <c r="D730" i="10" s="1"/>
  <c r="D240" i="10"/>
  <c r="B447" i="10" s="1"/>
  <c r="C234" i="10"/>
  <c r="C233" i="10"/>
  <c r="D221" i="10"/>
  <c r="E216" i="10"/>
  <c r="D215" i="10"/>
  <c r="D214" i="10"/>
  <c r="BM722" i="10" s="1"/>
  <c r="C214" i="10"/>
  <c r="BL722" i="10" s="1"/>
  <c r="D213" i="10"/>
  <c r="D212" i="10"/>
  <c r="BG722" i="10" s="1"/>
  <c r="E211" i="10"/>
  <c r="D210" i="10"/>
  <c r="E210" i="10" s="1"/>
  <c r="D209" i="10"/>
  <c r="AX722" i="10" s="1"/>
  <c r="B209" i="10"/>
  <c r="B217" i="10" s="1"/>
  <c r="B204" i="10"/>
  <c r="E203" i="10"/>
  <c r="C475" i="10" s="1"/>
  <c r="D202" i="10"/>
  <c r="AO722" i="10" s="1"/>
  <c r="C202" i="10"/>
  <c r="E201" i="10"/>
  <c r="D200" i="10"/>
  <c r="D199" i="10"/>
  <c r="AF722" i="10" s="1"/>
  <c r="E198" i="10"/>
  <c r="C471" i="10" s="1"/>
  <c r="D197" i="10"/>
  <c r="C197" i="10"/>
  <c r="Y722" i="10" s="1"/>
  <c r="D196" i="10"/>
  <c r="D195" i="10"/>
  <c r="E195" i="10" s="1"/>
  <c r="C189" i="10"/>
  <c r="Q722" i="10" s="1"/>
  <c r="D186" i="10"/>
  <c r="D436" i="10" s="1"/>
  <c r="D181" i="10"/>
  <c r="C176" i="10"/>
  <c r="J722" i="10" s="1"/>
  <c r="C175" i="10"/>
  <c r="C172" i="10"/>
  <c r="H722" i="10" s="1"/>
  <c r="C169" i="10"/>
  <c r="F722" i="10" s="1"/>
  <c r="C168" i="10"/>
  <c r="E722" i="10" s="1"/>
  <c r="C165" i="10"/>
  <c r="B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D141" i="10"/>
  <c r="AK726" i="10" s="1"/>
  <c r="D140" i="10"/>
  <c r="AJ726" i="10" s="1"/>
  <c r="D139" i="10"/>
  <c r="D138" i="10"/>
  <c r="AH726" i="10" s="1"/>
  <c r="E127" i="10"/>
  <c r="AI80" i="10"/>
  <c r="T766" i="10" s="1"/>
  <c r="AB80" i="10"/>
  <c r="O80" i="10"/>
  <c r="T746" i="10" s="1"/>
  <c r="CF79" i="10"/>
  <c r="CE79" i="10"/>
  <c r="CE78" i="10"/>
  <c r="CE77" i="10"/>
  <c r="CF77" i="10" s="1"/>
  <c r="CE76" i="10"/>
  <c r="P788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B75" i="10"/>
  <c r="N759" i="10" s="1"/>
  <c r="AA75" i="10"/>
  <c r="N758" i="10" s="1"/>
  <c r="Z75" i="10"/>
  <c r="N757" i="10" s="1"/>
  <c r="X75" i="10"/>
  <c r="N755" i="10" s="1"/>
  <c r="W75" i="10"/>
  <c r="N754" i="10" s="1"/>
  <c r="V75" i="10"/>
  <c r="N753" i="10" s="1"/>
  <c r="T75" i="10"/>
  <c r="N751" i="10" s="1"/>
  <c r="S75" i="10"/>
  <c r="N750" i="10" s="1"/>
  <c r="R75" i="10"/>
  <c r="N749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I74" i="10"/>
  <c r="AC74" i="10"/>
  <c r="AB74" i="10"/>
  <c r="Y74" i="10"/>
  <c r="X74" i="10"/>
  <c r="U74" i="10"/>
  <c r="Q74" i="10"/>
  <c r="Q75" i="10" s="1"/>
  <c r="N748" i="10" s="1"/>
  <c r="P74" i="10"/>
  <c r="CE74" i="10" s="1"/>
  <c r="C464" i="10" s="1"/>
  <c r="AI73" i="10"/>
  <c r="O766" i="10" s="1"/>
  <c r="AC73" i="10"/>
  <c r="AB73" i="10"/>
  <c r="O759" i="10" s="1"/>
  <c r="Y73" i="10"/>
  <c r="O756" i="10" s="1"/>
  <c r="X73" i="10"/>
  <c r="O755" i="10" s="1"/>
  <c r="U73" i="10"/>
  <c r="P73" i="10"/>
  <c r="O747" i="10" s="1"/>
  <c r="CD71" i="10"/>
  <c r="C575" i="10" s="1"/>
  <c r="CE70" i="10"/>
  <c r="CA69" i="10"/>
  <c r="L810" i="10" s="1"/>
  <c r="BY69" i="10"/>
  <c r="L808" i="10" s="1"/>
  <c r="BX69" i="10"/>
  <c r="L807" i="10" s="1"/>
  <c r="BW69" i="10"/>
  <c r="L806" i="10" s="1"/>
  <c r="BV69" i="10"/>
  <c r="L805" i="10" s="1"/>
  <c r="BR69" i="10"/>
  <c r="L801" i="10" s="1"/>
  <c r="BP69" i="10"/>
  <c r="L799" i="10" s="1"/>
  <c r="BN69" i="10"/>
  <c r="L797" i="10" s="1"/>
  <c r="BK69" i="10"/>
  <c r="L794" i="10" s="1"/>
  <c r="BJ69" i="10"/>
  <c r="L793" i="10" s="1"/>
  <c r="BH69" i="10"/>
  <c r="L791" i="10" s="1"/>
  <c r="BF69" i="10"/>
  <c r="L789" i="10" s="1"/>
  <c r="BE69" i="10"/>
  <c r="L788" i="10" s="1"/>
  <c r="BD69" i="10"/>
  <c r="L787" i="10" s="1"/>
  <c r="BB69" i="10"/>
  <c r="L785" i="10" s="1"/>
  <c r="AY69" i="10"/>
  <c r="L782" i="10" s="1"/>
  <c r="AV69" i="10"/>
  <c r="L779" i="10" s="1"/>
  <c r="AK69" i="10"/>
  <c r="L768" i="10" s="1"/>
  <c r="AI69" i="10"/>
  <c r="L766" i="10" s="1"/>
  <c r="AG69" i="10"/>
  <c r="L764" i="10" s="1"/>
  <c r="AE69" i="10"/>
  <c r="L762" i="10" s="1"/>
  <c r="AC69" i="10"/>
  <c r="L760" i="10" s="1"/>
  <c r="AB69" i="10"/>
  <c r="L759" i="10" s="1"/>
  <c r="AA69" i="10"/>
  <c r="L758" i="10" s="1"/>
  <c r="Z69" i="10"/>
  <c r="L757" i="10" s="1"/>
  <c r="Y69" i="10"/>
  <c r="L756" i="10" s="1"/>
  <c r="X69" i="10"/>
  <c r="L755" i="10" s="1"/>
  <c r="W69" i="10"/>
  <c r="L754" i="10" s="1"/>
  <c r="U69" i="10"/>
  <c r="L752" i="10" s="1"/>
  <c r="S69" i="10"/>
  <c r="L750" i="10" s="1"/>
  <c r="R69" i="10"/>
  <c r="L749" i="10" s="1"/>
  <c r="Q69" i="10"/>
  <c r="L748" i="10" s="1"/>
  <c r="P69" i="10"/>
  <c r="L747" i="10" s="1"/>
  <c r="O69" i="10"/>
  <c r="L746" i="10" s="1"/>
  <c r="J69" i="10"/>
  <c r="L741" i="10" s="1"/>
  <c r="E69" i="10"/>
  <c r="L736" i="10" s="1"/>
  <c r="C69" i="10"/>
  <c r="L734" i="10" s="1"/>
  <c r="BN68" i="10"/>
  <c r="K797" i="10" s="1"/>
  <c r="AC68" i="10"/>
  <c r="K760" i="10" s="1"/>
  <c r="Y68" i="10"/>
  <c r="K756" i="10" s="1"/>
  <c r="P68" i="10"/>
  <c r="K747" i="10" s="1"/>
  <c r="BV66" i="10"/>
  <c r="I805" i="10" s="1"/>
  <c r="BR66" i="10"/>
  <c r="I801" i="10" s="1"/>
  <c r="BN66" i="10"/>
  <c r="I797" i="10" s="1"/>
  <c r="BK66" i="10"/>
  <c r="I794" i="10" s="1"/>
  <c r="BF66" i="10"/>
  <c r="I789" i="10" s="1"/>
  <c r="BE66" i="10"/>
  <c r="I788" i="10" s="1"/>
  <c r="BD66" i="10"/>
  <c r="I787" i="10" s="1"/>
  <c r="AC66" i="10"/>
  <c r="I760" i="10" s="1"/>
  <c r="AB66" i="10"/>
  <c r="I759" i="10" s="1"/>
  <c r="Y66" i="10"/>
  <c r="I756" i="10" s="1"/>
  <c r="X66" i="10"/>
  <c r="I755" i="10" s="1"/>
  <c r="U66" i="10"/>
  <c r="I752" i="10" s="1"/>
  <c r="R66" i="10"/>
  <c r="I749" i="10" s="1"/>
  <c r="J66" i="10"/>
  <c r="I741" i="10" s="1"/>
  <c r="C66" i="10"/>
  <c r="I734" i="10" s="1"/>
  <c r="BN65" i="10"/>
  <c r="H797" i="10" s="1"/>
  <c r="BE65" i="10"/>
  <c r="H788" i="10" s="1"/>
  <c r="AI65" i="10"/>
  <c r="H766" i="10" s="1"/>
  <c r="Y65" i="10"/>
  <c r="H756" i="10" s="1"/>
  <c r="BN64" i="10"/>
  <c r="G797" i="10" s="1"/>
  <c r="BE64" i="10"/>
  <c r="G788" i="10" s="1"/>
  <c r="BD64" i="10"/>
  <c r="G787" i="10" s="1"/>
  <c r="BB64" i="10"/>
  <c r="G785" i="10" s="1"/>
  <c r="AV64" i="10"/>
  <c r="G779" i="10" s="1"/>
  <c r="AI64" i="10"/>
  <c r="G766" i="10" s="1"/>
  <c r="AG64" i="10"/>
  <c r="G764" i="10" s="1"/>
  <c r="AC64" i="10"/>
  <c r="G760" i="10" s="1"/>
  <c r="AB64" i="10"/>
  <c r="G759" i="10" s="1"/>
  <c r="Y64" i="10"/>
  <c r="G756" i="10" s="1"/>
  <c r="X64" i="10"/>
  <c r="G755" i="10" s="1"/>
  <c r="U64" i="10"/>
  <c r="G752" i="10" s="1"/>
  <c r="T64" i="10"/>
  <c r="G751" i="10" s="1"/>
  <c r="CE63" i="10"/>
  <c r="BN63" i="10"/>
  <c r="F797" i="10" s="1"/>
  <c r="AC63" i="10"/>
  <c r="F760" i="10" s="1"/>
  <c r="BY61" i="10"/>
  <c r="D808" i="10" s="1"/>
  <c r="BV61" i="10"/>
  <c r="D805" i="10" s="1"/>
  <c r="BR61" i="10"/>
  <c r="D801" i="10" s="1"/>
  <c r="BN61" i="10"/>
  <c r="D797" i="10" s="1"/>
  <c r="BE61" i="10"/>
  <c r="D788" i="10" s="1"/>
  <c r="BD61" i="10"/>
  <c r="BB61" i="10"/>
  <c r="D785" i="10" s="1"/>
  <c r="AI61" i="10"/>
  <c r="D766" i="10" s="1"/>
  <c r="AG61" i="10"/>
  <c r="D764" i="10" s="1"/>
  <c r="AE61" i="10"/>
  <c r="AC61" i="10"/>
  <c r="D760" i="10" s="1"/>
  <c r="AB61" i="10"/>
  <c r="D759" i="10" s="1"/>
  <c r="Y61" i="10"/>
  <c r="D756" i="10" s="1"/>
  <c r="X61" i="10"/>
  <c r="D755" i="10" s="1"/>
  <c r="S61" i="10"/>
  <c r="D750" i="10" s="1"/>
  <c r="Q61" i="10"/>
  <c r="D748" i="10" s="1"/>
  <c r="P61" i="10"/>
  <c r="D747" i="10" s="1"/>
  <c r="O61" i="10"/>
  <c r="E61" i="10"/>
  <c r="D736" i="10" s="1"/>
  <c r="C61" i="10"/>
  <c r="D734" i="10" s="1"/>
  <c r="BY60" i="10"/>
  <c r="C808" i="10" s="1"/>
  <c r="BR60" i="10"/>
  <c r="C801" i="10" s="1"/>
  <c r="BN60" i="10"/>
  <c r="C797" i="10" s="1"/>
  <c r="BH60" i="10"/>
  <c r="C791" i="10" s="1"/>
  <c r="BE60" i="10"/>
  <c r="C788" i="10" s="1"/>
  <c r="BB60" i="10"/>
  <c r="C785" i="10" s="1"/>
  <c r="AI60" i="10"/>
  <c r="C766" i="10" s="1"/>
  <c r="AC60" i="10"/>
  <c r="C760" i="10" s="1"/>
  <c r="AB60" i="10"/>
  <c r="C759" i="10" s="1"/>
  <c r="Y60" i="10"/>
  <c r="C756" i="10" s="1"/>
  <c r="X60" i="10"/>
  <c r="C755" i="10" s="1"/>
  <c r="AI59" i="10"/>
  <c r="B766" i="10" s="1"/>
  <c r="AG59" i="10"/>
  <c r="E526" i="10" s="1"/>
  <c r="AC59" i="10"/>
  <c r="Y59" i="10"/>
  <c r="B756" i="10" s="1"/>
  <c r="X59" i="10"/>
  <c r="U59" i="10"/>
  <c r="B53" i="10"/>
  <c r="CE51" i="10"/>
  <c r="B49" i="10"/>
  <c r="CC47" i="10"/>
  <c r="BY47" i="10"/>
  <c r="BR47" i="10"/>
  <c r="BN47" i="10"/>
  <c r="BH47" i="10"/>
  <c r="BE47" i="10"/>
  <c r="BB47" i="10"/>
  <c r="AI47" i="10"/>
  <c r="AC47" i="10"/>
  <c r="AB47" i="10"/>
  <c r="Y47" i="10"/>
  <c r="X47" i="10"/>
  <c r="E212" i="10" l="1"/>
  <c r="D367" i="10"/>
  <c r="C448" i="10" s="1"/>
  <c r="CE47" i="10"/>
  <c r="E138" i="10"/>
  <c r="C414" i="10" s="1"/>
  <c r="E141" i="10"/>
  <c r="D463" i="10" s="1"/>
  <c r="D173" i="10"/>
  <c r="D428" i="10" s="1"/>
  <c r="D283" i="10"/>
  <c r="C445" i="10"/>
  <c r="CE68" i="10"/>
  <c r="P75" i="10"/>
  <c r="N747" i="10" s="1"/>
  <c r="N815" i="10" s="1"/>
  <c r="Y75" i="10"/>
  <c r="N756" i="10" s="1"/>
  <c r="D190" i="10"/>
  <c r="D437" i="10" s="1"/>
  <c r="E199" i="10"/>
  <c r="C472" i="10" s="1"/>
  <c r="D339" i="10"/>
  <c r="C482" i="10" s="1"/>
  <c r="CE60" i="10"/>
  <c r="K816" i="10"/>
  <c r="C434" i="10"/>
  <c r="CA722" i="10"/>
  <c r="D236" i="10"/>
  <c r="B446" i="10" s="1"/>
  <c r="T730" i="10"/>
  <c r="B473" i="10"/>
  <c r="F508" i="10"/>
  <c r="O752" i="10"/>
  <c r="U75" i="10"/>
  <c r="N752" i="10" s="1"/>
  <c r="E142" i="10"/>
  <c r="D464" i="10" s="1"/>
  <c r="I722" i="10"/>
  <c r="D177" i="10"/>
  <c r="D434" i="10" s="1"/>
  <c r="W722" i="10"/>
  <c r="E196" i="10"/>
  <c r="C469" i="10" s="1"/>
  <c r="AN722" i="10"/>
  <c r="E202" i="10"/>
  <c r="C474" i="10" s="1"/>
  <c r="BA722" i="10"/>
  <c r="D217" i="10"/>
  <c r="E214" i="10"/>
  <c r="CB722" i="10"/>
  <c r="B455" i="10"/>
  <c r="L817" i="10"/>
  <c r="CC730" i="10"/>
  <c r="B760" i="10"/>
  <c r="E522" i="10"/>
  <c r="R816" i="10"/>
  <c r="I612" i="10"/>
  <c r="BP722" i="10"/>
  <c r="E215" i="10"/>
  <c r="CE64" i="10"/>
  <c r="D746" i="10"/>
  <c r="D815" i="10" s="1"/>
  <c r="D762" i="10"/>
  <c r="S816" i="10"/>
  <c r="J612" i="10"/>
  <c r="AI726" i="10"/>
  <c r="E139" i="10"/>
  <c r="C415" i="10" s="1"/>
  <c r="D438" i="10"/>
  <c r="Z722" i="10"/>
  <c r="E197" i="10"/>
  <c r="C470" i="10" s="1"/>
  <c r="O817" i="10"/>
  <c r="BJ730" i="10"/>
  <c r="B463" i="10"/>
  <c r="D361" i="10"/>
  <c r="B439" i="10"/>
  <c r="B440" i="10" s="1"/>
  <c r="H815" i="10"/>
  <c r="H534" i="10"/>
  <c r="F534" i="10"/>
  <c r="B755" i="10"/>
  <c r="E517" i="10"/>
  <c r="F816" i="10"/>
  <c r="C429" i="10"/>
  <c r="C439" i="10"/>
  <c r="C468" i="10"/>
  <c r="CE61" i="10"/>
  <c r="O760" i="10"/>
  <c r="O815" i="10" s="1"/>
  <c r="AC75" i="10"/>
  <c r="N760" i="10" s="1"/>
  <c r="E140" i="10"/>
  <c r="C204" i="10"/>
  <c r="D260" i="10"/>
  <c r="D435" i="10"/>
  <c r="B454" i="10"/>
  <c r="F526" i="10"/>
  <c r="B764" i="10"/>
  <c r="CE69" i="10"/>
  <c r="AI75" i="10"/>
  <c r="N766" i="10" s="1"/>
  <c r="P816" i="10"/>
  <c r="D612" i="10"/>
  <c r="T759" i="10"/>
  <c r="T815" i="10" s="1"/>
  <c r="CE80" i="10"/>
  <c r="BJ722" i="10"/>
  <c r="E213" i="10"/>
  <c r="CD722" i="10"/>
  <c r="B444" i="10"/>
  <c r="B752" i="10"/>
  <c r="E514" i="10"/>
  <c r="D787" i="10"/>
  <c r="CE65" i="10"/>
  <c r="CE66" i="10"/>
  <c r="M816" i="10"/>
  <c r="C458" i="10"/>
  <c r="CE73" i="10"/>
  <c r="CF76" i="10"/>
  <c r="BN52" i="10" s="1"/>
  <c r="BN67" i="10" s="1"/>
  <c r="J797" i="10" s="1"/>
  <c r="T722" i="10"/>
  <c r="D204" i="10"/>
  <c r="AI722" i="10"/>
  <c r="C473" i="10"/>
  <c r="AV722" i="10"/>
  <c r="E209" i="10"/>
  <c r="BY722" i="10"/>
  <c r="D229" i="10"/>
  <c r="B445" i="10" s="1"/>
  <c r="R730" i="10"/>
  <c r="B471" i="10"/>
  <c r="D275" i="10"/>
  <c r="H500" i="10"/>
  <c r="F500" i="10"/>
  <c r="F520" i="10"/>
  <c r="L815" i="10"/>
  <c r="H497" i="10"/>
  <c r="H505" i="10"/>
  <c r="H523" i="10"/>
  <c r="E528" i="10"/>
  <c r="F537" i="10"/>
  <c r="H538" i="10"/>
  <c r="BQ730" i="10"/>
  <c r="D817" i="10"/>
  <c r="F502" i="10"/>
  <c r="F510" i="10"/>
  <c r="F514" i="10"/>
  <c r="F528" i="10"/>
  <c r="F536" i="10"/>
  <c r="I815" i="10"/>
  <c r="Q816" i="10"/>
  <c r="G612" i="10"/>
  <c r="C217" i="10"/>
  <c r="D433" i="10" s="1"/>
  <c r="D390" i="10"/>
  <c r="B441" i="10" s="1"/>
  <c r="P815" i="10"/>
  <c r="E518" i="10"/>
  <c r="F544" i="10"/>
  <c r="C815" i="10"/>
  <c r="G815" i="10"/>
  <c r="S815" i="10"/>
  <c r="Q815" i="10"/>
  <c r="F815" i="10"/>
  <c r="R815" i="10"/>
  <c r="K815" i="10"/>
  <c r="M815" i="10"/>
  <c r="F52" i="10" l="1"/>
  <c r="F67" i="10" s="1"/>
  <c r="J737" i="10" s="1"/>
  <c r="Q52" i="10"/>
  <c r="Q67" i="10" s="1"/>
  <c r="J748" i="10" s="1"/>
  <c r="BR52" i="10"/>
  <c r="BR67" i="10" s="1"/>
  <c r="J801" i="10" s="1"/>
  <c r="AU52" i="10"/>
  <c r="AU67" i="10" s="1"/>
  <c r="J778" i="10" s="1"/>
  <c r="G52" i="10"/>
  <c r="G67" i="10" s="1"/>
  <c r="J738" i="10" s="1"/>
  <c r="CC52" i="10"/>
  <c r="CC67" i="10" s="1"/>
  <c r="J812" i="10" s="1"/>
  <c r="AD52" i="10"/>
  <c r="AD67" i="10" s="1"/>
  <c r="J761" i="10" s="1"/>
  <c r="AW52" i="10"/>
  <c r="AW67" i="10" s="1"/>
  <c r="J780" i="10" s="1"/>
  <c r="L52" i="10"/>
  <c r="L67" i="10" s="1"/>
  <c r="J743" i="10" s="1"/>
  <c r="BJ52" i="10"/>
  <c r="BJ67" i="10" s="1"/>
  <c r="J793" i="10" s="1"/>
  <c r="BE52" i="10"/>
  <c r="BE67" i="10" s="1"/>
  <c r="J788" i="10" s="1"/>
  <c r="AB52" i="10"/>
  <c r="AB67" i="10" s="1"/>
  <c r="J759" i="10" s="1"/>
  <c r="O52" i="10"/>
  <c r="O67" i="10" s="1"/>
  <c r="J746" i="10" s="1"/>
  <c r="BC52" i="10"/>
  <c r="BC67" i="10" s="1"/>
  <c r="J786" i="10" s="1"/>
  <c r="C52" i="10"/>
  <c r="D465" i="10"/>
  <c r="V52" i="10"/>
  <c r="V67" i="10" s="1"/>
  <c r="J753" i="10" s="1"/>
  <c r="I52" i="10"/>
  <c r="I67" i="10" s="1"/>
  <c r="J740" i="10" s="1"/>
  <c r="BU52" i="10"/>
  <c r="BU67" i="10" s="1"/>
  <c r="J804" i="10" s="1"/>
  <c r="AM52" i="10"/>
  <c r="AM67" i="10" s="1"/>
  <c r="J770" i="10" s="1"/>
  <c r="D52" i="10"/>
  <c r="D67" i="10" s="1"/>
  <c r="J735" i="10" s="1"/>
  <c r="I816" i="10"/>
  <c r="C432" i="10"/>
  <c r="BV52" i="10"/>
  <c r="BV67" i="10" s="1"/>
  <c r="J805" i="10" s="1"/>
  <c r="BK52" i="10"/>
  <c r="BK67" i="10" s="1"/>
  <c r="J794" i="10" s="1"/>
  <c r="AZ52" i="10"/>
  <c r="AZ67" i="10" s="1"/>
  <c r="J783" i="10" s="1"/>
  <c r="AP52" i="10"/>
  <c r="AP67" i="10" s="1"/>
  <c r="J773" i="10" s="1"/>
  <c r="AE52" i="10"/>
  <c r="AE67" i="10" s="1"/>
  <c r="J762" i="10" s="1"/>
  <c r="T52" i="10"/>
  <c r="T67" i="10" s="1"/>
  <c r="J751" i="10" s="1"/>
  <c r="J52" i="10"/>
  <c r="J67" i="10" s="1"/>
  <c r="J741" i="10" s="1"/>
  <c r="AC52" i="10"/>
  <c r="AC67" i="10" s="1"/>
  <c r="J760" i="10" s="1"/>
  <c r="BQ52" i="10"/>
  <c r="BQ67" i="10" s="1"/>
  <c r="J800" i="10" s="1"/>
  <c r="AV52" i="10"/>
  <c r="AV67" i="10" s="1"/>
  <c r="J779" i="10" s="1"/>
  <c r="AK52" i="10"/>
  <c r="AK67" i="10" s="1"/>
  <c r="J768" i="10" s="1"/>
  <c r="P52" i="10"/>
  <c r="P67" i="10" s="1"/>
  <c r="J747" i="10" s="1"/>
  <c r="BA52" i="10"/>
  <c r="BA67" i="10" s="1"/>
  <c r="J784" i="10" s="1"/>
  <c r="K52" i="10"/>
  <c r="K67" i="10" s="1"/>
  <c r="J742" i="10" s="1"/>
  <c r="BI52" i="10"/>
  <c r="BI67" i="10" s="1"/>
  <c r="J792" i="10" s="1"/>
  <c r="S52" i="10"/>
  <c r="S67" i="10" s="1"/>
  <c r="J750" i="10" s="1"/>
  <c r="CB52" i="10"/>
  <c r="CB67" i="10" s="1"/>
  <c r="J811" i="10" s="1"/>
  <c r="BG52" i="10"/>
  <c r="BG67" i="10" s="1"/>
  <c r="J790" i="10" s="1"/>
  <c r="AA52" i="10"/>
  <c r="AA67" i="10" s="1"/>
  <c r="J758" i="10" s="1"/>
  <c r="E52" i="10"/>
  <c r="E67" i="10" s="1"/>
  <c r="J736" i="10" s="1"/>
  <c r="BL52" i="10"/>
  <c r="BL67" i="10" s="1"/>
  <c r="J795" i="10" s="1"/>
  <c r="AY52" i="10"/>
  <c r="AY67" i="10" s="1"/>
  <c r="J782" i="10" s="1"/>
  <c r="BY52" i="10"/>
  <c r="BY67" i="10" s="1"/>
  <c r="J808" i="10" s="1"/>
  <c r="BD52" i="10"/>
  <c r="BD67" i="10" s="1"/>
  <c r="J787" i="10" s="1"/>
  <c r="AI52" i="10"/>
  <c r="AI67" i="10" s="1"/>
  <c r="J766" i="10" s="1"/>
  <c r="M52" i="10"/>
  <c r="M67" i="10" s="1"/>
  <c r="J744" i="10" s="1"/>
  <c r="AQ52" i="10"/>
  <c r="AQ67" i="10" s="1"/>
  <c r="J774" i="10" s="1"/>
  <c r="BO52" i="10"/>
  <c r="BO67" i="10" s="1"/>
  <c r="J798" i="10" s="1"/>
  <c r="AS52" i="10"/>
  <c r="AS67" i="10" s="1"/>
  <c r="J776" i="10" s="1"/>
  <c r="X52" i="10"/>
  <c r="X67" i="10" s="1"/>
  <c r="J755" i="10" s="1"/>
  <c r="AF52" i="10"/>
  <c r="AF67" i="10" s="1"/>
  <c r="J763" i="10" s="1"/>
  <c r="AN52" i="10"/>
  <c r="AN67" i="10" s="1"/>
  <c r="J771" i="10" s="1"/>
  <c r="BW52" i="10"/>
  <c r="BW67" i="10" s="1"/>
  <c r="J806" i="10" s="1"/>
  <c r="U52" i="10"/>
  <c r="U67" i="10" s="1"/>
  <c r="J752" i="10" s="1"/>
  <c r="BT52" i="10"/>
  <c r="BT67" i="10" s="1"/>
  <c r="J803" i="10" s="1"/>
  <c r="H52" i="10"/>
  <c r="H67" i="10" s="1"/>
  <c r="J739" i="10" s="1"/>
  <c r="AL52" i="10"/>
  <c r="AL67" i="10" s="1"/>
  <c r="J769" i="10" s="1"/>
  <c r="Y52" i="10"/>
  <c r="Y67" i="10" s="1"/>
  <c r="J756" i="10" s="1"/>
  <c r="AR52" i="10"/>
  <c r="AR67" i="10" s="1"/>
  <c r="J775" i="10" s="1"/>
  <c r="O816" i="10"/>
  <c r="C463" i="10"/>
  <c r="AT52" i="10"/>
  <c r="AT67" i="10" s="1"/>
  <c r="J777" i="10" s="1"/>
  <c r="AG52" i="10"/>
  <c r="AG67" i="10" s="1"/>
  <c r="J764" i="10" s="1"/>
  <c r="BH52" i="10"/>
  <c r="BH67" i="10" s="1"/>
  <c r="J791" i="10" s="1"/>
  <c r="BP52" i="10"/>
  <c r="BP67" i="10" s="1"/>
  <c r="J799" i="10" s="1"/>
  <c r="G816" i="10"/>
  <c r="F612" i="10"/>
  <c r="C430" i="10"/>
  <c r="AH52" i="10"/>
  <c r="AH67" i="10" s="1"/>
  <c r="J765" i="10" s="1"/>
  <c r="BS52" i="10"/>
  <c r="BS67" i="10" s="1"/>
  <c r="J802" i="10" s="1"/>
  <c r="H816" i="10"/>
  <c r="C431" i="10"/>
  <c r="D816" i="10"/>
  <c r="C427" i="10"/>
  <c r="BW48" i="10"/>
  <c r="BW62" i="10" s="1"/>
  <c r="BO48" i="10"/>
  <c r="BO62" i="10" s="1"/>
  <c r="BG48" i="10"/>
  <c r="BG62" i="10" s="1"/>
  <c r="AY48" i="10"/>
  <c r="AY62" i="10" s="1"/>
  <c r="AQ48" i="10"/>
  <c r="AQ62" i="10" s="1"/>
  <c r="CB48" i="10"/>
  <c r="CB62" i="10" s="1"/>
  <c r="BT48" i="10"/>
  <c r="BT62" i="10" s="1"/>
  <c r="BL48" i="10"/>
  <c r="BL62" i="10" s="1"/>
  <c r="BD48" i="10"/>
  <c r="BD62" i="10" s="1"/>
  <c r="AV48" i="10"/>
  <c r="AV62" i="10" s="1"/>
  <c r="BS48" i="10"/>
  <c r="BS62" i="10" s="1"/>
  <c r="BI48" i="10"/>
  <c r="BI62" i="10" s="1"/>
  <c r="AX48" i="10"/>
  <c r="AX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AW48" i="10"/>
  <c r="AW62" i="10" s="1"/>
  <c r="BR48" i="10"/>
  <c r="BR62" i="10" s="1"/>
  <c r="CA48" i="10"/>
  <c r="CA62" i="10" s="1"/>
  <c r="BQ48" i="10"/>
  <c r="BQ62" i="10" s="1"/>
  <c r="BF48" i="10"/>
  <c r="BF62" i="10" s="1"/>
  <c r="AU48" i="10"/>
  <c r="AU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Z48" i="10"/>
  <c r="BZ62" i="10" s="1"/>
  <c r="BE48" i="10"/>
  <c r="BE62" i="10" s="1"/>
  <c r="AC48" i="10"/>
  <c r="AC62" i="10" s="1"/>
  <c r="M48" i="10"/>
  <c r="M62" i="10" s="1"/>
  <c r="AG48" i="10"/>
  <c r="AG62" i="10" s="1"/>
  <c r="AM48" i="10"/>
  <c r="AM62" i="10" s="1"/>
  <c r="BP48" i="10"/>
  <c r="BP62" i="10" s="1"/>
  <c r="AT48" i="10"/>
  <c r="AT62" i="10" s="1"/>
  <c r="AK48" i="10"/>
  <c r="AK62" i="10" s="1"/>
  <c r="U48" i="10"/>
  <c r="U62" i="10" s="1"/>
  <c r="E48" i="10"/>
  <c r="E62" i="10" s="1"/>
  <c r="AO48" i="10"/>
  <c r="AO62" i="10" s="1"/>
  <c r="I48" i="10"/>
  <c r="I62" i="10" s="1"/>
  <c r="BH48" i="10"/>
  <c r="BH62" i="10" s="1"/>
  <c r="O48" i="10"/>
  <c r="O62" i="10" s="1"/>
  <c r="BY48" i="10"/>
  <c r="BY62" i="10" s="1"/>
  <c r="BN48" i="10"/>
  <c r="BN62" i="10" s="1"/>
  <c r="BC48" i="10"/>
  <c r="BC62" i="10" s="1"/>
  <c r="AS48" i="10"/>
  <c r="AS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X48" i="10"/>
  <c r="BX62" i="10" s="1"/>
  <c r="AR48" i="10"/>
  <c r="AR62" i="10" s="1"/>
  <c r="AI48" i="10"/>
  <c r="AI62" i="10" s="1"/>
  <c r="S48" i="10"/>
  <c r="S62" i="10" s="1"/>
  <c r="K48" i="10"/>
  <c r="K62" i="10" s="1"/>
  <c r="C48" i="10"/>
  <c r="BU48" i="10"/>
  <c r="BU62" i="10" s="1"/>
  <c r="Y48" i="10"/>
  <c r="Y62" i="10" s="1"/>
  <c r="G48" i="10"/>
  <c r="G62" i="10" s="1"/>
  <c r="BM48" i="10"/>
  <c r="BM62" i="10" s="1"/>
  <c r="BB48" i="10"/>
  <c r="BB62" i="10" s="1"/>
  <c r="AA48" i="10"/>
  <c r="AA62" i="10" s="1"/>
  <c r="BJ48" i="10"/>
  <c r="BJ62" i="10" s="1"/>
  <c r="CC48" i="10"/>
  <c r="CC62" i="10" s="1"/>
  <c r="W48" i="10"/>
  <c r="W62" i="10" s="1"/>
  <c r="BV48" i="10"/>
  <c r="BV62" i="10" s="1"/>
  <c r="BK48" i="10"/>
  <c r="BK62" i="10" s="1"/>
  <c r="BA48" i="10"/>
  <c r="BA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AZ48" i="10"/>
  <c r="AZ62" i="10" s="1"/>
  <c r="Q48" i="10"/>
  <c r="Q62" i="10" s="1"/>
  <c r="AE48" i="10"/>
  <c r="AE62" i="10" s="1"/>
  <c r="N817" i="10"/>
  <c r="B465" i="10"/>
  <c r="D368" i="10"/>
  <c r="D373" i="10" s="1"/>
  <c r="D391" i="10" s="1"/>
  <c r="D393" i="10" s="1"/>
  <c r="D396" i="10" s="1"/>
  <c r="CA52" i="10"/>
  <c r="CA67" i="10" s="1"/>
  <c r="J810" i="10" s="1"/>
  <c r="E217" i="10"/>
  <c r="C478" i="10" s="1"/>
  <c r="T816" i="10"/>
  <c r="L612" i="10"/>
  <c r="BB52" i="10"/>
  <c r="BB67" i="10" s="1"/>
  <c r="J785" i="10" s="1"/>
  <c r="AO52" i="10"/>
  <c r="AO67" i="10" s="1"/>
  <c r="J772" i="10" s="1"/>
  <c r="AX52" i="10"/>
  <c r="AX67" i="10" s="1"/>
  <c r="J781" i="10" s="1"/>
  <c r="CE75" i="10"/>
  <c r="BF52" i="10"/>
  <c r="BF67" i="10" s="1"/>
  <c r="J789" i="10" s="1"/>
  <c r="W52" i="10"/>
  <c r="W67" i="10" s="1"/>
  <c r="J754" i="10" s="1"/>
  <c r="E204" i="10"/>
  <c r="C476" i="10" s="1"/>
  <c r="D242" i="10"/>
  <c r="B448" i="10" s="1"/>
  <c r="L816" i="10"/>
  <c r="C440" i="10"/>
  <c r="AJ52" i="10"/>
  <c r="AJ67" i="10" s="1"/>
  <c r="J767" i="10" s="1"/>
  <c r="B476" i="10"/>
  <c r="D277" i="10"/>
  <c r="D292" i="10" s="1"/>
  <c r="D341" i="10" s="1"/>
  <c r="C481" i="10" s="1"/>
  <c r="N52" i="10"/>
  <c r="N67" i="10" s="1"/>
  <c r="J745" i="10" s="1"/>
  <c r="BZ52" i="10"/>
  <c r="BZ67" i="10" s="1"/>
  <c r="J809" i="10" s="1"/>
  <c r="BM52" i="10"/>
  <c r="BM67" i="10" s="1"/>
  <c r="J796" i="10" s="1"/>
  <c r="R52" i="10"/>
  <c r="R67" i="10" s="1"/>
  <c r="J749" i="10" s="1"/>
  <c r="Z52" i="10"/>
  <c r="Z67" i="10" s="1"/>
  <c r="J757" i="10" s="1"/>
  <c r="BX52" i="10"/>
  <c r="BX67" i="10" s="1"/>
  <c r="J807" i="10" s="1"/>
  <c r="BI730" i="10"/>
  <c r="C816" i="10"/>
  <c r="H612" i="10"/>
  <c r="E772" i="10" l="1"/>
  <c r="AO71" i="10"/>
  <c r="E747" i="10"/>
  <c r="P71" i="10"/>
  <c r="E784" i="10"/>
  <c r="BA71" i="10"/>
  <c r="E775" i="10"/>
  <c r="AR71" i="10"/>
  <c r="E752" i="10"/>
  <c r="U71" i="10"/>
  <c r="E789" i="10"/>
  <c r="BF71" i="10"/>
  <c r="E803" i="10"/>
  <c r="BT71" i="10"/>
  <c r="E748" i="10"/>
  <c r="Q71" i="10"/>
  <c r="E794" i="10"/>
  <c r="BK71" i="10"/>
  <c r="E738" i="10"/>
  <c r="G71" i="10"/>
  <c r="E807" i="10"/>
  <c r="BX71" i="10"/>
  <c r="E797" i="10"/>
  <c r="BN71" i="10"/>
  <c r="E768" i="10"/>
  <c r="AK71" i="10"/>
  <c r="E809" i="10"/>
  <c r="BZ71" i="10"/>
  <c r="E800" i="10"/>
  <c r="BQ71" i="10"/>
  <c r="E771" i="10"/>
  <c r="AN71" i="10"/>
  <c r="E811" i="10"/>
  <c r="CB71" i="10"/>
  <c r="E750" i="10"/>
  <c r="S71" i="10"/>
  <c r="E769" i="10"/>
  <c r="AL71" i="10"/>
  <c r="E762" i="10"/>
  <c r="AE71" i="10"/>
  <c r="E796" i="10"/>
  <c r="BM71" i="10"/>
  <c r="E786" i="10"/>
  <c r="BC71" i="10"/>
  <c r="E788" i="10"/>
  <c r="BE71" i="10"/>
  <c r="E763" i="10"/>
  <c r="AF71" i="10"/>
  <c r="E783" i="10"/>
  <c r="AZ71" i="10"/>
  <c r="E805" i="10"/>
  <c r="BV71" i="10"/>
  <c r="E756" i="10"/>
  <c r="Y71" i="10"/>
  <c r="E735" i="10"/>
  <c r="D71" i="10"/>
  <c r="E808" i="10"/>
  <c r="BY71" i="10"/>
  <c r="E777" i="10"/>
  <c r="AT71" i="10"/>
  <c r="E737" i="10"/>
  <c r="F71" i="10"/>
  <c r="E810" i="10"/>
  <c r="CA71" i="10"/>
  <c r="E781" i="10"/>
  <c r="AX71" i="10"/>
  <c r="E774" i="10"/>
  <c r="AQ71" i="10"/>
  <c r="E804" i="10"/>
  <c r="BU71" i="10"/>
  <c r="E799" i="10"/>
  <c r="BP71" i="10"/>
  <c r="E792" i="10"/>
  <c r="BI71" i="10"/>
  <c r="E765" i="10"/>
  <c r="AH71" i="10"/>
  <c r="E741" i="10"/>
  <c r="J71" i="10"/>
  <c r="E746" i="10"/>
  <c r="O71" i="10"/>
  <c r="E801" i="10"/>
  <c r="BR71" i="10"/>
  <c r="E812" i="10"/>
  <c r="CC71" i="10"/>
  <c r="E751" i="10"/>
  <c r="T71" i="10"/>
  <c r="E770" i="10"/>
  <c r="AM71" i="10"/>
  <c r="E802" i="10"/>
  <c r="BS71" i="10"/>
  <c r="N816" i="10"/>
  <c r="C465" i="10"/>
  <c r="K612" i="10"/>
  <c r="E754" i="10"/>
  <c r="W71" i="10"/>
  <c r="E743" i="10"/>
  <c r="L71" i="10"/>
  <c r="E745" i="10"/>
  <c r="N71" i="10"/>
  <c r="E782" i="10"/>
  <c r="AY71" i="10"/>
  <c r="E749" i="10"/>
  <c r="R71" i="10"/>
  <c r="CE48" i="10"/>
  <c r="C62" i="10"/>
  <c r="E791" i="10"/>
  <c r="BH71" i="10"/>
  <c r="E753" i="10"/>
  <c r="V71" i="10"/>
  <c r="E780" i="10"/>
  <c r="AW71" i="10"/>
  <c r="E790" i="10"/>
  <c r="BG71" i="10"/>
  <c r="E757" i="10"/>
  <c r="Z71" i="10"/>
  <c r="E793" i="10"/>
  <c r="BJ71" i="10"/>
  <c r="E742" i="10"/>
  <c r="K71" i="10"/>
  <c r="E759" i="10"/>
  <c r="AB71" i="10"/>
  <c r="E740" i="10"/>
  <c r="I71" i="10"/>
  <c r="E764" i="10"/>
  <c r="AG71" i="10"/>
  <c r="E761" i="10"/>
  <c r="AD71" i="10"/>
  <c r="E739" i="10"/>
  <c r="H71" i="10"/>
  <c r="E779" i="10"/>
  <c r="AV71" i="10"/>
  <c r="E798" i="10"/>
  <c r="BO71" i="10"/>
  <c r="E758" i="10"/>
  <c r="AA71" i="10"/>
  <c r="E744" i="10"/>
  <c r="M71" i="10"/>
  <c r="E787" i="10"/>
  <c r="BD71" i="10"/>
  <c r="E806" i="10"/>
  <c r="BW71" i="10"/>
  <c r="E767" i="10"/>
  <c r="AJ71" i="10"/>
  <c r="E773" i="10"/>
  <c r="AP71" i="10"/>
  <c r="E785" i="10"/>
  <c r="BB71" i="10"/>
  <c r="E766" i="10"/>
  <c r="AI71" i="10"/>
  <c r="E776" i="10"/>
  <c r="AS71" i="10"/>
  <c r="E736" i="10"/>
  <c r="E71" i="10"/>
  <c r="E760" i="10"/>
  <c r="AC71" i="10"/>
  <c r="E778" i="10"/>
  <c r="AU71" i="10"/>
  <c r="E755" i="10"/>
  <c r="X71" i="10"/>
  <c r="E795" i="10"/>
  <c r="BL71" i="10"/>
  <c r="C67" i="10"/>
  <c r="CE52" i="10"/>
  <c r="C673" i="10" l="1"/>
  <c r="C501" i="10"/>
  <c r="G501" i="10" s="1"/>
  <c r="E734" i="10"/>
  <c r="E815" i="10" s="1"/>
  <c r="CE62" i="10"/>
  <c r="C71" i="10"/>
  <c r="C689" i="10"/>
  <c r="C517" i="10"/>
  <c r="C529" i="10"/>
  <c r="G529" i="10" s="1"/>
  <c r="C701" i="10"/>
  <c r="C523" i="10"/>
  <c r="G523" i="10" s="1"/>
  <c r="C695" i="10"/>
  <c r="C680" i="10"/>
  <c r="C508" i="10"/>
  <c r="C561" i="10"/>
  <c r="C621" i="10"/>
  <c r="C647" i="10"/>
  <c r="C572" i="10"/>
  <c r="C669" i="10"/>
  <c r="C497" i="10"/>
  <c r="G497" i="10" s="1"/>
  <c r="C697" i="10"/>
  <c r="C525" i="10"/>
  <c r="G525" i="10" s="1"/>
  <c r="C696" i="10"/>
  <c r="C524" i="10"/>
  <c r="C705" i="10"/>
  <c r="C533" i="10"/>
  <c r="G533" i="10" s="1"/>
  <c r="C619" i="10"/>
  <c r="C559" i="10"/>
  <c r="C682" i="10"/>
  <c r="C510" i="10"/>
  <c r="C709" i="10"/>
  <c r="C537" i="10"/>
  <c r="G537" i="10" s="1"/>
  <c r="C631" i="10"/>
  <c r="C542" i="10"/>
  <c r="C511" i="10"/>
  <c r="C683" i="10"/>
  <c r="C688" i="10"/>
  <c r="C516" i="10"/>
  <c r="C506" i="10"/>
  <c r="G506" i="10" s="1"/>
  <c r="C678" i="10"/>
  <c r="C693" i="10"/>
  <c r="C521" i="10"/>
  <c r="C618" i="10"/>
  <c r="C552" i="10"/>
  <c r="C710" i="10"/>
  <c r="C538" i="10"/>
  <c r="G538" i="10" s="1"/>
  <c r="C692" i="10"/>
  <c r="C520" i="10"/>
  <c r="C676" i="10"/>
  <c r="C504" i="10"/>
  <c r="G504" i="10" s="1"/>
  <c r="C532" i="10"/>
  <c r="G532" i="10" s="1"/>
  <c r="C704" i="10"/>
  <c r="C712" i="10"/>
  <c r="C540" i="10"/>
  <c r="G540" i="10" s="1"/>
  <c r="C528" i="10"/>
  <c r="C700" i="10"/>
  <c r="C643" i="10"/>
  <c r="C568" i="10"/>
  <c r="C627" i="10"/>
  <c r="C560" i="10"/>
  <c r="C698" i="10"/>
  <c r="C526" i="10"/>
  <c r="C617" i="10"/>
  <c r="C555" i="10"/>
  <c r="C685" i="10"/>
  <c r="C513" i="10"/>
  <c r="C675" i="10"/>
  <c r="C503" i="10"/>
  <c r="C641" i="10"/>
  <c r="C566" i="10"/>
  <c r="C499" i="10"/>
  <c r="G499" i="10" s="1"/>
  <c r="C671" i="10"/>
  <c r="C690" i="10"/>
  <c r="C518" i="10"/>
  <c r="C550" i="10"/>
  <c r="C614" i="10"/>
  <c r="C703" i="10"/>
  <c r="C531" i="10"/>
  <c r="C623" i="10"/>
  <c r="C562" i="10"/>
  <c r="C569" i="10"/>
  <c r="C644" i="10"/>
  <c r="C565" i="10"/>
  <c r="C640" i="10"/>
  <c r="C546" i="10"/>
  <c r="G546" i="10" s="1"/>
  <c r="C630" i="10"/>
  <c r="C687" i="10"/>
  <c r="C515" i="10"/>
  <c r="G515" i="10" s="1"/>
  <c r="C544" i="10"/>
  <c r="C625" i="10"/>
  <c r="C547" i="10"/>
  <c r="C632" i="10"/>
  <c r="C713" i="10"/>
  <c r="C541" i="10"/>
  <c r="C620" i="10"/>
  <c r="C574" i="10"/>
  <c r="C711" i="10"/>
  <c r="C539" i="10"/>
  <c r="G539" i="10" s="1"/>
  <c r="C646" i="10"/>
  <c r="C571" i="10"/>
  <c r="C557" i="10"/>
  <c r="C637" i="10"/>
  <c r="C694" i="10"/>
  <c r="C522" i="10"/>
  <c r="C624" i="10"/>
  <c r="C549" i="10"/>
  <c r="C502" i="10"/>
  <c r="G502" i="10" s="1"/>
  <c r="C674" i="10"/>
  <c r="C519" i="10"/>
  <c r="C691" i="10"/>
  <c r="C699" i="10"/>
  <c r="C527" i="10"/>
  <c r="G527" i="10" s="1"/>
  <c r="C536" i="10"/>
  <c r="G536" i="10" s="1"/>
  <c r="C708" i="10"/>
  <c r="C642" i="10"/>
  <c r="C567" i="10"/>
  <c r="C548" i="10"/>
  <c r="C633" i="10"/>
  <c r="C684" i="10"/>
  <c r="C512" i="10"/>
  <c r="C672" i="10"/>
  <c r="C500" i="10"/>
  <c r="G500" i="10" s="1"/>
  <c r="C629" i="10"/>
  <c r="C551" i="10"/>
  <c r="C681" i="10"/>
  <c r="C509" i="10"/>
  <c r="J734" i="10"/>
  <c r="J815" i="10" s="1"/>
  <c r="CE67" i="10"/>
  <c r="C553" i="10"/>
  <c r="C636" i="10"/>
  <c r="C507" i="10"/>
  <c r="G507" i="10" s="1"/>
  <c r="C679" i="10"/>
  <c r="C707" i="10"/>
  <c r="C535" i="10"/>
  <c r="G535" i="10" s="1"/>
  <c r="C639" i="10"/>
  <c r="C564" i="10"/>
  <c r="C563" i="10"/>
  <c r="C626" i="10"/>
  <c r="C554" i="10"/>
  <c r="C634" i="10"/>
  <c r="C616" i="10"/>
  <c r="C543" i="10"/>
  <c r="C570" i="10"/>
  <c r="C645" i="10"/>
  <c r="C628" i="10"/>
  <c r="C545" i="10"/>
  <c r="G545" i="10" s="1"/>
  <c r="C638" i="10"/>
  <c r="C558" i="10"/>
  <c r="C573" i="10"/>
  <c r="C622" i="10"/>
  <c r="C530" i="10"/>
  <c r="C702" i="10"/>
  <c r="C635" i="10"/>
  <c r="C556" i="10"/>
  <c r="C514" i="10"/>
  <c r="C686" i="10"/>
  <c r="C706" i="10"/>
  <c r="C534" i="10"/>
  <c r="G534" i="10" s="1"/>
  <c r="C670" i="10"/>
  <c r="C498" i="10"/>
  <c r="C677" i="10"/>
  <c r="C505" i="10"/>
  <c r="G505" i="10" s="1"/>
  <c r="G518" i="10" l="1"/>
  <c r="H518" i="10" s="1"/>
  <c r="G544" i="10"/>
  <c r="H544" i="10" s="1"/>
  <c r="G498" i="10"/>
  <c r="H498" i="10" s="1"/>
  <c r="J816" i="10"/>
  <c r="C433" i="10"/>
  <c r="G512" i="10"/>
  <c r="H512" i="10"/>
  <c r="G522" i="10"/>
  <c r="H522" i="10" s="1"/>
  <c r="G520" i="10"/>
  <c r="H520" i="10" s="1"/>
  <c r="G524" i="10"/>
  <c r="H524" i="10" s="1"/>
  <c r="G517" i="10"/>
  <c r="H517" i="10" s="1"/>
  <c r="H513" i="10"/>
  <c r="G513" i="10"/>
  <c r="H521" i="10"/>
  <c r="G521" i="10"/>
  <c r="G530" i="10"/>
  <c r="H530" i="10" s="1"/>
  <c r="G528" i="10"/>
  <c r="H528" i="10" s="1"/>
  <c r="G516" i="10"/>
  <c r="H516" i="10" s="1"/>
  <c r="G510" i="10"/>
  <c r="H510" i="10" s="1"/>
  <c r="G508" i="10"/>
  <c r="H508" i="10" s="1"/>
  <c r="C668" i="10"/>
  <c r="C715" i="10" s="1"/>
  <c r="C496" i="10"/>
  <c r="G514" i="10"/>
  <c r="H514" i="10" s="1"/>
  <c r="G509" i="10"/>
  <c r="H509" i="10" s="1"/>
  <c r="G531" i="10"/>
  <c r="H531" i="10" s="1"/>
  <c r="G519" i="10"/>
  <c r="H519" i="10" s="1"/>
  <c r="G526" i="10"/>
  <c r="H526" i="10" s="1"/>
  <c r="E816" i="10"/>
  <c r="C428" i="10"/>
  <c r="CE71" i="10"/>
  <c r="C716" i="10" s="1"/>
  <c r="C648" i="10"/>
  <c r="M716" i="10" s="1"/>
  <c r="Y816" i="10" s="1"/>
  <c r="D615" i="10"/>
  <c r="G503" i="10"/>
  <c r="H503" i="10" s="1"/>
  <c r="G550" i="10"/>
  <c r="H550" i="10" s="1"/>
  <c r="G511" i="10"/>
  <c r="H511" i="10" s="1"/>
  <c r="D712" i="10" l="1"/>
  <c r="D704" i="10"/>
  <c r="D711" i="10"/>
  <c r="D708" i="10"/>
  <c r="D700" i="10"/>
  <c r="D710" i="10"/>
  <c r="D693" i="10"/>
  <c r="D703" i="10"/>
  <c r="D702" i="10"/>
  <c r="D701" i="10"/>
  <c r="D690" i="10"/>
  <c r="D682" i="10"/>
  <c r="D674" i="10"/>
  <c r="D706" i="10"/>
  <c r="D697" i="10"/>
  <c r="D677" i="10"/>
  <c r="D672" i="10"/>
  <c r="D639" i="10"/>
  <c r="D627" i="10"/>
  <c r="D698" i="10"/>
  <c r="D686" i="10"/>
  <c r="D681" i="10"/>
  <c r="D676" i="10"/>
  <c r="D671" i="10"/>
  <c r="D640" i="10"/>
  <c r="D623" i="10"/>
  <c r="D619" i="10"/>
  <c r="D716" i="10"/>
  <c r="D713" i="10"/>
  <c r="D699" i="10"/>
  <c r="D694" i="10"/>
  <c r="D689" i="10"/>
  <c r="D684" i="10"/>
  <c r="D679" i="10"/>
  <c r="D643" i="10"/>
  <c r="D709" i="10"/>
  <c r="D688" i="10"/>
  <c r="D680" i="10"/>
  <c r="D668" i="10"/>
  <c r="D641" i="10"/>
  <c r="D631" i="10"/>
  <c r="D696" i="10"/>
  <c r="D692" i="10"/>
  <c r="D634" i="10"/>
  <c r="D629" i="10"/>
  <c r="D624" i="10"/>
  <c r="D618" i="10"/>
  <c r="D705" i="10"/>
  <c r="D685" i="10"/>
  <c r="D673" i="10"/>
  <c r="D669" i="10"/>
  <c r="D646" i="10"/>
  <c r="D637" i="10"/>
  <c r="D617" i="10"/>
  <c r="D644" i="10"/>
  <c r="D632" i="10"/>
  <c r="D626" i="10"/>
  <c r="D695" i="10"/>
  <c r="D678" i="10"/>
  <c r="D670" i="10"/>
  <c r="D642" i="10"/>
  <c r="D635" i="10"/>
  <c r="D622" i="10"/>
  <c r="D616" i="10"/>
  <c r="D707" i="10"/>
  <c r="D630" i="10"/>
  <c r="D628" i="10"/>
  <c r="D621" i="10"/>
  <c r="D691" i="10"/>
  <c r="D687" i="10"/>
  <c r="D683" i="10"/>
  <c r="D675" i="10"/>
  <c r="D647" i="10"/>
  <c r="D645" i="10"/>
  <c r="D638" i="10"/>
  <c r="D633" i="10"/>
  <c r="D625" i="10"/>
  <c r="D620" i="10"/>
  <c r="D636" i="10"/>
  <c r="G496" i="10"/>
  <c r="H496" i="10" s="1"/>
  <c r="C441" i="10"/>
  <c r="D715" i="10" l="1"/>
  <c r="E623" i="10"/>
  <c r="E612" i="10"/>
  <c r="E709" i="10" l="1"/>
  <c r="E701" i="10"/>
  <c r="E708" i="10"/>
  <c r="E713" i="10"/>
  <c r="E705" i="10"/>
  <c r="E703" i="10"/>
  <c r="E702" i="10"/>
  <c r="E711" i="10"/>
  <c r="E704" i="10"/>
  <c r="E700" i="10"/>
  <c r="E699" i="10"/>
  <c r="E698" i="10"/>
  <c r="E695" i="10"/>
  <c r="E687" i="10"/>
  <c r="E679" i="10"/>
  <c r="E671" i="10"/>
  <c r="E707" i="10"/>
  <c r="E694" i="10"/>
  <c r="E712" i="10"/>
  <c r="E686" i="10"/>
  <c r="E681" i="10"/>
  <c r="E676" i="10"/>
  <c r="E640" i="10"/>
  <c r="E710" i="10"/>
  <c r="E692" i="10"/>
  <c r="E691" i="10"/>
  <c r="E641" i="10"/>
  <c r="E625" i="10"/>
  <c r="E674" i="10"/>
  <c r="E669" i="10"/>
  <c r="E645" i="10"/>
  <c r="E644" i="10"/>
  <c r="E629" i="10"/>
  <c r="E626" i="10"/>
  <c r="E696" i="10"/>
  <c r="E672" i="10"/>
  <c r="E634" i="10"/>
  <c r="E627" i="10"/>
  <c r="E624" i="10"/>
  <c r="E689" i="10"/>
  <c r="E685" i="10"/>
  <c r="E673" i="10"/>
  <c r="E646" i="10"/>
  <c r="E639" i="10"/>
  <c r="E637" i="10"/>
  <c r="E677" i="10"/>
  <c r="E632" i="10"/>
  <c r="E690" i="10"/>
  <c r="E678" i="10"/>
  <c r="E670" i="10"/>
  <c r="E642" i="10"/>
  <c r="E635" i="10"/>
  <c r="E697" i="10"/>
  <c r="E682" i="10"/>
  <c r="E630" i="10"/>
  <c r="E628" i="10"/>
  <c r="E693" i="10"/>
  <c r="E683" i="10"/>
  <c r="E675" i="10"/>
  <c r="E647" i="10"/>
  <c r="E638" i="10"/>
  <c r="E633" i="10"/>
  <c r="E636" i="10"/>
  <c r="E631" i="10"/>
  <c r="E643" i="10"/>
  <c r="E684" i="10"/>
  <c r="E716" i="10"/>
  <c r="E680" i="10"/>
  <c r="E706" i="10"/>
  <c r="E668" i="10"/>
  <c r="E688" i="10"/>
  <c r="E715" i="10" l="1"/>
  <c r="F624" i="10"/>
  <c r="F706" i="10" l="1"/>
  <c r="F698" i="10"/>
  <c r="F713" i="10"/>
  <c r="F705" i="10"/>
  <c r="F710" i="10"/>
  <c r="F702" i="10"/>
  <c r="F711" i="10"/>
  <c r="F704" i="10"/>
  <c r="F701" i="10"/>
  <c r="F700" i="10"/>
  <c r="F699" i="10"/>
  <c r="F695" i="10"/>
  <c r="F712" i="10"/>
  <c r="F692" i="10"/>
  <c r="F684" i="10"/>
  <c r="F676" i="10"/>
  <c r="F668" i="10"/>
  <c r="F716" i="10"/>
  <c r="F691" i="10"/>
  <c r="F671" i="10"/>
  <c r="F641" i="10"/>
  <c r="F625" i="10"/>
  <c r="F708" i="10"/>
  <c r="F690" i="10"/>
  <c r="F685" i="10"/>
  <c r="F680" i="10"/>
  <c r="F675" i="10"/>
  <c r="F670" i="10"/>
  <c r="F642" i="10"/>
  <c r="F628" i="10"/>
  <c r="F688" i="10"/>
  <c r="F683" i="10"/>
  <c r="F678" i="10"/>
  <c r="F673" i="10"/>
  <c r="F646" i="10"/>
  <c r="F637" i="10"/>
  <c r="F636" i="10"/>
  <c r="F635" i="10"/>
  <c r="F634" i="10"/>
  <c r="F633" i="10"/>
  <c r="F632" i="10"/>
  <c r="F631" i="10"/>
  <c r="F630" i="10"/>
  <c r="F703" i="10"/>
  <c r="F694" i="10"/>
  <c r="F689" i="10"/>
  <c r="F639" i="10"/>
  <c r="F629" i="10"/>
  <c r="F681" i="10"/>
  <c r="F677" i="10"/>
  <c r="F669" i="10"/>
  <c r="F644" i="10"/>
  <c r="F626" i="10"/>
  <c r="F697" i="10"/>
  <c r="F686" i="10"/>
  <c r="F682" i="10"/>
  <c r="F674" i="10"/>
  <c r="F707" i="10"/>
  <c r="F693" i="10"/>
  <c r="F647" i="10"/>
  <c r="F640" i="10"/>
  <c r="F638" i="10"/>
  <c r="F687" i="10"/>
  <c r="F679" i="10"/>
  <c r="F645" i="10"/>
  <c r="F643" i="10"/>
  <c r="F696" i="10"/>
  <c r="F627" i="10"/>
  <c r="F672" i="10"/>
  <c r="F709" i="10"/>
  <c r="F715" i="10" l="1"/>
  <c r="G625" i="10"/>
  <c r="G711" i="10" l="1"/>
  <c r="G703" i="10"/>
  <c r="G710" i="10"/>
  <c r="G716" i="10"/>
  <c r="G707" i="10"/>
  <c r="G699" i="10"/>
  <c r="G712" i="10"/>
  <c r="G698" i="10"/>
  <c r="G692" i="10"/>
  <c r="G705" i="10"/>
  <c r="G697" i="10"/>
  <c r="G689" i="10"/>
  <c r="G681" i="10"/>
  <c r="G673" i="10"/>
  <c r="G708" i="10"/>
  <c r="G696" i="10"/>
  <c r="G690" i="10"/>
  <c r="G685" i="10"/>
  <c r="G680" i="10"/>
  <c r="G675" i="10"/>
  <c r="G670" i="10"/>
  <c r="G642" i="10"/>
  <c r="G628" i="10"/>
  <c r="G706" i="10"/>
  <c r="G701" i="10"/>
  <c r="G693" i="10"/>
  <c r="G643" i="10"/>
  <c r="G709" i="10"/>
  <c r="G702" i="10"/>
  <c r="G695" i="10"/>
  <c r="G668" i="10"/>
  <c r="G647" i="10"/>
  <c r="G638" i="10"/>
  <c r="G677" i="10"/>
  <c r="G669" i="10"/>
  <c r="G646" i="10"/>
  <c r="G637" i="10"/>
  <c r="G700" i="10"/>
  <c r="G644" i="10"/>
  <c r="G632" i="10"/>
  <c r="G626" i="10"/>
  <c r="G686" i="10"/>
  <c r="G682" i="10"/>
  <c r="G678" i="10"/>
  <c r="G674" i="10"/>
  <c r="G635" i="10"/>
  <c r="G640" i="10"/>
  <c r="G630" i="10"/>
  <c r="G713" i="10"/>
  <c r="G704" i="10"/>
  <c r="G687" i="10"/>
  <c r="G683" i="10"/>
  <c r="G679" i="10"/>
  <c r="G645" i="10"/>
  <c r="G633" i="10"/>
  <c r="G691" i="10"/>
  <c r="G671" i="10"/>
  <c r="G636" i="10"/>
  <c r="G688" i="10"/>
  <c r="G684" i="10"/>
  <c r="G672" i="10"/>
  <c r="G631" i="10"/>
  <c r="G627" i="10"/>
  <c r="G676" i="10"/>
  <c r="G629" i="10"/>
  <c r="G641" i="10"/>
  <c r="G694" i="10"/>
  <c r="G639" i="10"/>
  <c r="G634" i="10"/>
  <c r="H628" i="10" l="1"/>
  <c r="G715" i="10"/>
  <c r="H708" i="10" l="1"/>
  <c r="H700" i="10"/>
  <c r="H716" i="10"/>
  <c r="H707" i="10"/>
  <c r="H712" i="10"/>
  <c r="H704" i="10"/>
  <c r="H705" i="10"/>
  <c r="H697" i="10"/>
  <c r="H713" i="10"/>
  <c r="H706" i="10"/>
  <c r="H694" i="10"/>
  <c r="H686" i="10"/>
  <c r="H678" i="10"/>
  <c r="H670" i="10"/>
  <c r="H647" i="10"/>
  <c r="H646" i="10"/>
  <c r="H645" i="10"/>
  <c r="H709" i="10"/>
  <c r="H693" i="10"/>
  <c r="H710" i="10"/>
  <c r="H701" i="10"/>
  <c r="H698" i="10"/>
  <c r="H692" i="10"/>
  <c r="H643" i="10"/>
  <c r="H689" i="10"/>
  <c r="H684" i="10"/>
  <c r="H679" i="10"/>
  <c r="H674" i="10"/>
  <c r="H669" i="10"/>
  <c r="H644" i="10"/>
  <c r="H629" i="10"/>
  <c r="H711" i="10"/>
  <c r="H696" i="10"/>
  <c r="H687" i="10"/>
  <c r="H682" i="10"/>
  <c r="H677" i="10"/>
  <c r="H672" i="10"/>
  <c r="H639" i="10"/>
  <c r="H685" i="10"/>
  <c r="H681" i="10"/>
  <c r="H673" i="10"/>
  <c r="H632" i="10"/>
  <c r="H635" i="10"/>
  <c r="H702" i="10"/>
  <c r="H690" i="10"/>
  <c r="H642" i="10"/>
  <c r="H640" i="10"/>
  <c r="H630" i="10"/>
  <c r="H695" i="10"/>
  <c r="H683" i="10"/>
  <c r="H638" i="10"/>
  <c r="H633" i="10"/>
  <c r="H699" i="10"/>
  <c r="H691" i="10"/>
  <c r="H675" i="10"/>
  <c r="H671" i="10"/>
  <c r="H636" i="10"/>
  <c r="H688" i="10"/>
  <c r="H631" i="10"/>
  <c r="H680" i="10"/>
  <c r="H676" i="10"/>
  <c r="H668" i="10"/>
  <c r="H641" i="10"/>
  <c r="H634" i="10"/>
  <c r="H637" i="10"/>
  <c r="H703" i="10"/>
  <c r="H715" i="10" l="1"/>
  <c r="I629" i="10"/>
  <c r="I713" i="10" l="1"/>
  <c r="I705" i="10"/>
  <c r="I712" i="10"/>
  <c r="I704" i="10"/>
  <c r="I709" i="10"/>
  <c r="I701" i="10"/>
  <c r="I706" i="10"/>
  <c r="I694" i="10"/>
  <c r="I691" i="10"/>
  <c r="I683" i="10"/>
  <c r="I675" i="10"/>
  <c r="I644" i="10"/>
  <c r="I643" i="10"/>
  <c r="I642" i="10"/>
  <c r="I641" i="10"/>
  <c r="I640" i="10"/>
  <c r="I639" i="10"/>
  <c r="I638" i="10"/>
  <c r="I637" i="10"/>
  <c r="I708" i="10"/>
  <c r="I693" i="10"/>
  <c r="I689" i="10"/>
  <c r="I684" i="10"/>
  <c r="I679" i="10"/>
  <c r="I674" i="10"/>
  <c r="I669" i="10"/>
  <c r="I688" i="10"/>
  <c r="I645" i="10"/>
  <c r="I636" i="10"/>
  <c r="I635" i="10"/>
  <c r="I634" i="10"/>
  <c r="I633" i="10"/>
  <c r="I632" i="10"/>
  <c r="I631" i="10"/>
  <c r="I630" i="10"/>
  <c r="I707" i="10"/>
  <c r="I700" i="10"/>
  <c r="I692" i="10"/>
  <c r="I711" i="10"/>
  <c r="I702" i="10"/>
  <c r="I690" i="10"/>
  <c r="I686" i="10"/>
  <c r="I682" i="10"/>
  <c r="I678" i="10"/>
  <c r="I697" i="10"/>
  <c r="I695" i="10"/>
  <c r="I670" i="10"/>
  <c r="I699" i="10"/>
  <c r="I687" i="10"/>
  <c r="I671" i="10"/>
  <c r="I647" i="10"/>
  <c r="I710" i="10"/>
  <c r="I680" i="10"/>
  <c r="I676" i="10"/>
  <c r="I672" i="10"/>
  <c r="I668" i="10"/>
  <c r="I716" i="10"/>
  <c r="I703" i="10"/>
  <c r="I696" i="10"/>
  <c r="I698" i="10"/>
  <c r="I685" i="10"/>
  <c r="I673" i="10"/>
  <c r="I681" i="10"/>
  <c r="I677" i="10"/>
  <c r="I646" i="10"/>
  <c r="I715" i="10" l="1"/>
  <c r="J630" i="10"/>
  <c r="J710" i="10" l="1"/>
  <c r="J702" i="10"/>
  <c r="J709" i="10"/>
  <c r="J706" i="10"/>
  <c r="J698" i="10"/>
  <c r="J713" i="10"/>
  <c r="J691" i="10"/>
  <c r="J707" i="10"/>
  <c r="J696" i="10"/>
  <c r="J688" i="10"/>
  <c r="J680" i="10"/>
  <c r="J672" i="10"/>
  <c r="J703" i="10"/>
  <c r="J695" i="10"/>
  <c r="J645" i="10"/>
  <c r="J644" i="10"/>
  <c r="J636" i="10"/>
  <c r="J635" i="10"/>
  <c r="J634" i="10"/>
  <c r="J633" i="10"/>
  <c r="J632" i="10"/>
  <c r="J631" i="10"/>
  <c r="J716" i="10"/>
  <c r="J704" i="10"/>
  <c r="J699" i="10"/>
  <c r="J694" i="10"/>
  <c r="J683" i="10"/>
  <c r="J678" i="10"/>
  <c r="J673" i="10"/>
  <c r="J668" i="10"/>
  <c r="J646" i="10"/>
  <c r="J637" i="10"/>
  <c r="J700" i="10"/>
  <c r="J697" i="10"/>
  <c r="J686" i="10"/>
  <c r="J681" i="10"/>
  <c r="J676" i="10"/>
  <c r="J671" i="10"/>
  <c r="J640" i="10"/>
  <c r="J711" i="10"/>
  <c r="J690" i="10"/>
  <c r="J682" i="10"/>
  <c r="J708" i="10"/>
  <c r="J705" i="10"/>
  <c r="J674" i="10"/>
  <c r="J670" i="10"/>
  <c r="J642" i="10"/>
  <c r="J687" i="10"/>
  <c r="J647" i="10"/>
  <c r="J638" i="10"/>
  <c r="J693" i="10"/>
  <c r="J679" i="10"/>
  <c r="J675" i="10"/>
  <c r="J701" i="10"/>
  <c r="J684" i="10"/>
  <c r="J643" i="10"/>
  <c r="J641" i="10"/>
  <c r="J685" i="10"/>
  <c r="J677" i="10"/>
  <c r="J639" i="10"/>
  <c r="J712" i="10"/>
  <c r="J692" i="10"/>
  <c r="J669" i="10"/>
  <c r="J689" i="10"/>
  <c r="K644" i="10" l="1"/>
  <c r="K716" i="10" s="1"/>
  <c r="J715" i="10"/>
  <c r="L647" i="10"/>
  <c r="K681" i="10" l="1"/>
  <c r="K712" i="10"/>
  <c r="K684" i="10"/>
  <c r="K675" i="10"/>
  <c r="K674" i="10"/>
  <c r="K682" i="10"/>
  <c r="K673" i="10"/>
  <c r="K694" i="10"/>
  <c r="K701" i="10"/>
  <c r="K677" i="10"/>
  <c r="K696" i="10"/>
  <c r="K699" i="10"/>
  <c r="K680" i="10"/>
  <c r="K670" i="10"/>
  <c r="K668" i="10"/>
  <c r="K700" i="10"/>
  <c r="K708" i="10"/>
  <c r="K689" i="10"/>
  <c r="K679" i="10"/>
  <c r="K686" i="10"/>
  <c r="K687" i="10"/>
  <c r="K678" i="10"/>
  <c r="K704" i="10"/>
  <c r="K702" i="10"/>
  <c r="K685" i="10"/>
  <c r="K703" i="10"/>
  <c r="K707" i="10"/>
  <c r="K709" i="10"/>
  <c r="K671" i="10"/>
  <c r="K705" i="10"/>
  <c r="K688" i="10"/>
  <c r="K669" i="10"/>
  <c r="K706" i="10"/>
  <c r="K672" i="10"/>
  <c r="K691" i="10"/>
  <c r="K698" i="10"/>
  <c r="K676" i="10"/>
  <c r="K713" i="10"/>
  <c r="K697" i="10"/>
  <c r="K690" i="10"/>
  <c r="K695" i="10"/>
  <c r="K683" i="10"/>
  <c r="K692" i="10"/>
  <c r="K710" i="10"/>
  <c r="K693" i="10"/>
  <c r="K711" i="10"/>
  <c r="L712" i="10"/>
  <c r="L704" i="10"/>
  <c r="L711" i="10"/>
  <c r="L703" i="10"/>
  <c r="M703" i="10" s="1"/>
  <c r="Y769" i="10" s="1"/>
  <c r="L708" i="10"/>
  <c r="L700" i="10"/>
  <c r="M700" i="10" s="1"/>
  <c r="Y766" i="10" s="1"/>
  <c r="L707" i="10"/>
  <c r="L693" i="10"/>
  <c r="L716" i="10"/>
  <c r="L690" i="10"/>
  <c r="M690" i="10" s="1"/>
  <c r="Y756" i="10" s="1"/>
  <c r="L682" i="10"/>
  <c r="L674" i="10"/>
  <c r="M674" i="10" s="1"/>
  <c r="Y740" i="10" s="1"/>
  <c r="L699" i="10"/>
  <c r="L698" i="10"/>
  <c r="M698" i="10" s="1"/>
  <c r="Y764" i="10" s="1"/>
  <c r="L697" i="10"/>
  <c r="L706" i="10"/>
  <c r="L695" i="10"/>
  <c r="L687" i="10"/>
  <c r="M687" i="10" s="1"/>
  <c r="Y753" i="10" s="1"/>
  <c r="L713" i="10"/>
  <c r="L702" i="10"/>
  <c r="L677" i="10"/>
  <c r="L672" i="10"/>
  <c r="L691" i="10"/>
  <c r="L685" i="10"/>
  <c r="M685" i="10" s="1"/>
  <c r="Y751" i="10" s="1"/>
  <c r="L680" i="10"/>
  <c r="M680" i="10" s="1"/>
  <c r="Y746" i="10" s="1"/>
  <c r="L675" i="10"/>
  <c r="M675" i="10" s="1"/>
  <c r="Y741" i="10" s="1"/>
  <c r="L670" i="10"/>
  <c r="L705" i="10"/>
  <c r="M705" i="10" s="1"/>
  <c r="Y771" i="10" s="1"/>
  <c r="L678" i="10"/>
  <c r="L679" i="10"/>
  <c r="L671" i="10"/>
  <c r="M671" i="10" s="1"/>
  <c r="Y737" i="10" s="1"/>
  <c r="L683" i="10"/>
  <c r="M683" i="10" s="1"/>
  <c r="Y749" i="10" s="1"/>
  <c r="L710" i="10"/>
  <c r="L684" i="10"/>
  <c r="L676" i="10"/>
  <c r="M676" i="10" s="1"/>
  <c r="Y742" i="10" s="1"/>
  <c r="L701" i="10"/>
  <c r="M701" i="10" s="1"/>
  <c r="Y767" i="10" s="1"/>
  <c r="L688" i="10"/>
  <c r="M688" i="10" s="1"/>
  <c r="Y754" i="10" s="1"/>
  <c r="L668" i="10"/>
  <c r="L709" i="10"/>
  <c r="L696" i="10"/>
  <c r="L689" i="10"/>
  <c r="L681" i="10"/>
  <c r="M681" i="10" s="1"/>
  <c r="Y747" i="10" s="1"/>
  <c r="L694" i="10"/>
  <c r="L692" i="10"/>
  <c r="L673" i="10"/>
  <c r="M673" i="10" s="1"/>
  <c r="Y739" i="10" s="1"/>
  <c r="L669" i="10"/>
  <c r="M669" i="10" s="1"/>
  <c r="Y735" i="10" s="1"/>
  <c r="L686" i="10"/>
  <c r="M684" i="10" l="1"/>
  <c r="Y750" i="10" s="1"/>
  <c r="M679" i="10"/>
  <c r="Y745" i="10" s="1"/>
  <c r="M704" i="10"/>
  <c r="Y770" i="10" s="1"/>
  <c r="M692" i="10"/>
  <c r="Y758" i="10" s="1"/>
  <c r="M696" i="10"/>
  <c r="Y762" i="10" s="1"/>
  <c r="M691" i="10"/>
  <c r="Y757" i="10" s="1"/>
  <c r="M697" i="10"/>
  <c r="Y763" i="10" s="1"/>
  <c r="M707" i="10"/>
  <c r="Y773" i="10" s="1"/>
  <c r="M672" i="10"/>
  <c r="Y738" i="10" s="1"/>
  <c r="M689" i="10"/>
  <c r="Y755" i="10" s="1"/>
  <c r="M678" i="10"/>
  <c r="Y744" i="10" s="1"/>
  <c r="M677" i="10"/>
  <c r="Y743" i="10" s="1"/>
  <c r="M712" i="10"/>
  <c r="Y778" i="10" s="1"/>
  <c r="M670" i="10"/>
  <c r="Y736" i="10" s="1"/>
  <c r="M713" i="10"/>
  <c r="Y779" i="10" s="1"/>
  <c r="M682" i="10"/>
  <c r="Y748" i="10" s="1"/>
  <c r="M710" i="10"/>
  <c r="Y776" i="10" s="1"/>
  <c r="M699" i="10"/>
  <c r="Y765" i="10" s="1"/>
  <c r="M702" i="10"/>
  <c r="Y768" i="10" s="1"/>
  <c r="M686" i="10"/>
  <c r="Y752" i="10" s="1"/>
  <c r="M694" i="10"/>
  <c r="Y760" i="10" s="1"/>
  <c r="M709" i="10"/>
  <c r="Y775" i="10" s="1"/>
  <c r="M711" i="10"/>
  <c r="Y777" i="10" s="1"/>
  <c r="M695" i="10"/>
  <c r="Y761" i="10" s="1"/>
  <c r="M708" i="10"/>
  <c r="Y774" i="10" s="1"/>
  <c r="M706" i="10"/>
  <c r="Y772" i="10" s="1"/>
  <c r="K715" i="10"/>
  <c r="M693" i="10"/>
  <c r="Y759" i="10" s="1"/>
  <c r="L715" i="10"/>
  <c r="M668" i="10"/>
  <c r="Y734" i="10" l="1"/>
  <c r="Y815" i="10" s="1"/>
  <c r="M715" i="10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F517" i="1" s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G122" i="9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F11" i="6" s="1"/>
  <c r="E200" i="1"/>
  <c r="F12" i="6" s="1"/>
  <c r="E201" i="1"/>
  <c r="E202" i="1"/>
  <c r="C474" i="1" s="1"/>
  <c r="E203" i="1"/>
  <c r="D204" i="1"/>
  <c r="E16" i="6" s="1"/>
  <c r="B204" i="1"/>
  <c r="D190" i="1"/>
  <c r="D437" i="1" s="1"/>
  <c r="D186" i="1"/>
  <c r="D436" i="1" s="1"/>
  <c r="D181" i="1"/>
  <c r="C27" i="5" s="1"/>
  <c r="D177" i="1"/>
  <c r="C20" i="5" s="1"/>
  <c r="E154" i="1"/>
  <c r="E153" i="1"/>
  <c r="E152" i="1"/>
  <c r="E151" i="1"/>
  <c r="C28" i="4" s="1"/>
  <c r="E150" i="1"/>
  <c r="E148" i="1"/>
  <c r="F19" i="4" s="1"/>
  <c r="E147" i="1"/>
  <c r="G19" i="4" s="1"/>
  <c r="E146" i="1"/>
  <c r="D19" i="4" s="1"/>
  <c r="E145" i="1"/>
  <c r="C19" i="4" s="1"/>
  <c r="E144" i="1"/>
  <c r="E141" i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B472" i="1"/>
  <c r="B471" i="1"/>
  <c r="C470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29" i="1"/>
  <c r="C432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F76" i="9" s="1"/>
  <c r="P48" i="1"/>
  <c r="P62" i="1" s="1"/>
  <c r="I44" i="9" s="1"/>
  <c r="L48" i="1"/>
  <c r="L62" i="1" s="1"/>
  <c r="E44" i="9" s="1"/>
  <c r="H48" i="1"/>
  <c r="H62" i="1" s="1"/>
  <c r="D48" i="1"/>
  <c r="D62" i="1" s="1"/>
  <c r="D368" i="1"/>
  <c r="C120" i="8" s="1"/>
  <c r="D330" i="1"/>
  <c r="C86" i="8" s="1"/>
  <c r="C16" i="8"/>
  <c r="C473" i="1"/>
  <c r="C469" i="1"/>
  <c r="F8" i="6"/>
  <c r="I26" i="9"/>
  <c r="H58" i="9"/>
  <c r="F90" i="9"/>
  <c r="C218" i="9"/>
  <c r="D366" i="9"/>
  <c r="CE64" i="1"/>
  <c r="F612" i="1" s="1"/>
  <c r="D368" i="9"/>
  <c r="C276" i="9"/>
  <c r="CE70" i="1"/>
  <c r="CE76" i="1"/>
  <c r="CE77" i="1"/>
  <c r="CF77" i="1" s="1"/>
  <c r="I29" i="9"/>
  <c r="C95" i="9"/>
  <c r="CE79" i="1"/>
  <c r="J612" i="1" s="1"/>
  <c r="E142" i="1"/>
  <c r="G10" i="4" s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BZ48" i="1"/>
  <c r="BZ62" i="1" s="1"/>
  <c r="G48" i="1"/>
  <c r="G62" i="1" s="1"/>
  <c r="G12" i="9" s="1"/>
  <c r="AC48" i="1"/>
  <c r="AC62" i="1" s="1"/>
  <c r="H108" i="9" s="1"/>
  <c r="AU48" i="1"/>
  <c r="AU62" i="1" s="1"/>
  <c r="BS48" i="1"/>
  <c r="BS62" i="1" s="1"/>
  <c r="M48" i="1"/>
  <c r="M62" i="1" s="1"/>
  <c r="AE48" i="1"/>
  <c r="AE62" i="1" s="1"/>
  <c r="BC48" i="1"/>
  <c r="BC62" i="1" s="1"/>
  <c r="O48" i="1"/>
  <c r="O62" i="1" s="1"/>
  <c r="AM48" i="1"/>
  <c r="AM62" i="1" s="1"/>
  <c r="D172" i="9" s="1"/>
  <c r="BI48" i="1"/>
  <c r="BI62" i="1" s="1"/>
  <c r="C427" i="1"/>
  <c r="CD71" i="1"/>
  <c r="E373" i="9" s="1"/>
  <c r="BQ48" i="1"/>
  <c r="BQ62" i="1" s="1"/>
  <c r="BA48" i="1"/>
  <c r="BA62" i="1" s="1"/>
  <c r="AK48" i="1"/>
  <c r="AK62" i="1" s="1"/>
  <c r="U48" i="1"/>
  <c r="U62" i="1" s="1"/>
  <c r="E48" i="1"/>
  <c r="E62" i="1" s="1"/>
  <c r="BU48" i="1"/>
  <c r="BU62" i="1" s="1"/>
  <c r="C332" i="9" s="1"/>
  <c r="BM48" i="1"/>
  <c r="BM62" i="1" s="1"/>
  <c r="BE48" i="1"/>
  <c r="BE62" i="1" s="1"/>
  <c r="AW48" i="1"/>
  <c r="AW62" i="1" s="1"/>
  <c r="AO48" i="1"/>
  <c r="AO62" i="1" s="1"/>
  <c r="AG48" i="1"/>
  <c r="AG62" i="1" s="1"/>
  <c r="Y48" i="1"/>
  <c r="Y62" i="1" s="1"/>
  <c r="Q48" i="1"/>
  <c r="Q62" i="1" s="1"/>
  <c r="I48" i="1"/>
  <c r="I62" i="1" s="1"/>
  <c r="I12" i="9" s="1"/>
  <c r="CC48" i="1"/>
  <c r="CC62" i="1" s="1"/>
  <c r="BW48" i="1"/>
  <c r="BW62" i="1" s="1"/>
  <c r="BO48" i="1"/>
  <c r="BO62" i="1" s="1"/>
  <c r="D300" i="9" s="1"/>
  <c r="BG48" i="1"/>
  <c r="BG62" i="1" s="1"/>
  <c r="C268" i="9" s="1"/>
  <c r="AY48" i="1"/>
  <c r="AY62" i="1" s="1"/>
  <c r="AQ48" i="1"/>
  <c r="AQ62" i="1" s="1"/>
  <c r="AI48" i="1"/>
  <c r="AI62" i="1" s="1"/>
  <c r="AA48" i="1"/>
  <c r="AA62" i="1" s="1"/>
  <c r="F108" i="9" s="1"/>
  <c r="S48" i="1"/>
  <c r="S62" i="1" s="1"/>
  <c r="K48" i="1"/>
  <c r="K62" i="1" s="1"/>
  <c r="C615" i="1"/>
  <c r="B440" i="1"/>
  <c r="C48" i="1"/>
  <c r="C62" i="1" s="1"/>
  <c r="C12" i="9" s="1"/>
  <c r="CB48" i="1"/>
  <c r="CB62" i="1" s="1"/>
  <c r="C364" i="9" s="1"/>
  <c r="E372" i="9"/>
  <c r="CA48" i="1"/>
  <c r="CA62" i="1" s="1"/>
  <c r="I332" i="9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AL48" i="1"/>
  <c r="AL62" i="1" s="1"/>
  <c r="AJ48" i="1"/>
  <c r="AJ62" i="1" s="1"/>
  <c r="AH48" i="1"/>
  <c r="AH62" i="1" s="1"/>
  <c r="AF48" i="1"/>
  <c r="AF62" i="1" s="1"/>
  <c r="D140" i="9" s="1"/>
  <c r="AD48" i="1"/>
  <c r="AD62" i="1" s="1"/>
  <c r="Z48" i="1"/>
  <c r="Z62" i="1" s="1"/>
  <c r="V48" i="1"/>
  <c r="V62" i="1" s="1"/>
  <c r="R48" i="1"/>
  <c r="R62" i="1" s="1"/>
  <c r="N48" i="1"/>
  <c r="N62" i="1" s="1"/>
  <c r="J48" i="1"/>
  <c r="J62" i="1" s="1"/>
  <c r="F48" i="1"/>
  <c r="F62" i="1" s="1"/>
  <c r="I372" i="9"/>
  <c r="F499" i="1"/>
  <c r="H505" i="1"/>
  <c r="H515" i="1"/>
  <c r="H501" i="1"/>
  <c r="F501" i="1"/>
  <c r="F497" i="1"/>
  <c r="H497" i="1"/>
  <c r="H499" i="1"/>
  <c r="C472" i="1" l="1"/>
  <c r="C34" i="5"/>
  <c r="I377" i="9"/>
  <c r="E19" i="4"/>
  <c r="I612" i="1"/>
  <c r="G612" i="1"/>
  <c r="I381" i="9"/>
  <c r="I380" i="9"/>
  <c r="CF76" i="1"/>
  <c r="AG52" i="1" s="1"/>
  <c r="AG67" i="1" s="1"/>
  <c r="D612" i="1"/>
  <c r="C76" i="9"/>
  <c r="W48" i="1"/>
  <c r="W62" i="1" s="1"/>
  <c r="C434" i="1"/>
  <c r="E140" i="9"/>
  <c r="AS48" i="1"/>
  <c r="AS62" i="1" s="1"/>
  <c r="H300" i="9"/>
  <c r="I300" i="9"/>
  <c r="G236" i="9"/>
  <c r="D76" i="9"/>
  <c r="D236" i="9"/>
  <c r="H236" i="9"/>
  <c r="E172" i="9"/>
  <c r="I362" i="9"/>
  <c r="C440" i="1"/>
  <c r="G76" i="9"/>
  <c r="H268" i="9"/>
  <c r="H332" i="9"/>
  <c r="H140" i="9"/>
  <c r="I268" i="9"/>
  <c r="G108" i="9"/>
  <c r="F204" i="9"/>
  <c r="I172" i="9"/>
  <c r="I140" i="9"/>
  <c r="C141" i="8"/>
  <c r="D435" i="1"/>
  <c r="C14" i="5"/>
  <c r="E300" i="9"/>
  <c r="F332" i="9"/>
  <c r="BT52" i="1"/>
  <c r="BT67" i="1" s="1"/>
  <c r="AS52" i="1"/>
  <c r="AS67" i="1" s="1"/>
  <c r="C44" i="9"/>
  <c r="C236" i="9"/>
  <c r="F10" i="4"/>
  <c r="H12" i="9"/>
  <c r="E76" i="9"/>
  <c r="F300" i="9"/>
  <c r="C140" i="9"/>
  <c r="D268" i="9"/>
  <c r="E108" i="9"/>
  <c r="C430" i="1"/>
  <c r="C575" i="1"/>
  <c r="F172" i="9"/>
  <c r="I366" i="9"/>
  <c r="E268" i="9"/>
  <c r="D44" i="9"/>
  <c r="F236" i="9"/>
  <c r="C414" i="1"/>
  <c r="B10" i="4"/>
  <c r="C458" i="1"/>
  <c r="I90" i="9"/>
  <c r="G28" i="4"/>
  <c r="D186" i="9"/>
  <c r="F140" i="9"/>
  <c r="D12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G300" i="9"/>
  <c r="F44" i="9"/>
  <c r="H44" i="9"/>
  <c r="B446" i="1"/>
  <c r="D242" i="1"/>
  <c r="F12" i="9"/>
  <c r="G140" i="9"/>
  <c r="E332" i="9"/>
  <c r="E12" i="9"/>
  <c r="C418" i="1"/>
  <c r="D438" i="1"/>
  <c r="C108" i="9"/>
  <c r="F14" i="6"/>
  <c r="C471" i="1"/>
  <c r="F10" i="6"/>
  <c r="D339" i="1"/>
  <c r="D26" i="9"/>
  <c r="CE75" i="1"/>
  <c r="G204" i="9"/>
  <c r="D108" i="9"/>
  <c r="E204" i="9"/>
  <c r="F7" i="6"/>
  <c r="E204" i="1"/>
  <c r="C468" i="1"/>
  <c r="I383" i="9"/>
  <c r="D22" i="7"/>
  <c r="C40" i="5"/>
  <c r="C420" i="1"/>
  <c r="B28" i="4"/>
  <c r="F186" i="9"/>
  <c r="I204" i="9"/>
  <c r="H172" i="9"/>
  <c r="BD52" i="1"/>
  <c r="BD67" i="1" s="1"/>
  <c r="BD71" i="1" s="1"/>
  <c r="M52" i="1"/>
  <c r="M67" i="1" s="1"/>
  <c r="M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373" i="1"/>
  <c r="D434" i="1"/>
  <c r="D292" i="1"/>
  <c r="C58" i="9"/>
  <c r="BE52" i="1" l="1"/>
  <c r="BE67" i="1" s="1"/>
  <c r="BE71" i="1" s="1"/>
  <c r="AW52" i="1"/>
  <c r="AW67" i="1" s="1"/>
  <c r="AW71" i="1" s="1"/>
  <c r="AA52" i="1"/>
  <c r="AA67" i="1" s="1"/>
  <c r="AA71" i="1" s="1"/>
  <c r="CB52" i="1"/>
  <c r="CB67" i="1" s="1"/>
  <c r="CB71" i="1" s="1"/>
  <c r="Q52" i="1"/>
  <c r="Q67" i="1" s="1"/>
  <c r="Q71" i="1" s="1"/>
  <c r="C510" i="1" s="1"/>
  <c r="G510" i="1" s="1"/>
  <c r="AT52" i="1"/>
  <c r="AT67" i="1" s="1"/>
  <c r="AT71" i="1" s="1"/>
  <c r="C711" i="1" s="1"/>
  <c r="AJ52" i="1"/>
  <c r="AJ67" i="1" s="1"/>
  <c r="AJ71" i="1" s="1"/>
  <c r="C701" i="1" s="1"/>
  <c r="AK52" i="1"/>
  <c r="AK67" i="1" s="1"/>
  <c r="AK71" i="1" s="1"/>
  <c r="F52" i="1"/>
  <c r="F67" i="1" s="1"/>
  <c r="F71" i="1" s="1"/>
  <c r="V52" i="1"/>
  <c r="V67" i="1" s="1"/>
  <c r="BA52" i="1"/>
  <c r="BA67" i="1" s="1"/>
  <c r="BA71" i="1" s="1"/>
  <c r="CC52" i="1"/>
  <c r="CC67" i="1" s="1"/>
  <c r="AQ52" i="1"/>
  <c r="AQ67" i="1" s="1"/>
  <c r="AQ71" i="1" s="1"/>
  <c r="W52" i="1"/>
  <c r="W67" i="1" s="1"/>
  <c r="W71" i="1" s="1"/>
  <c r="H52" i="1"/>
  <c r="H67" i="1" s="1"/>
  <c r="H71" i="1" s="1"/>
  <c r="C501" i="1" s="1"/>
  <c r="G501" i="1" s="1"/>
  <c r="AX52" i="1"/>
  <c r="AX67" i="1" s="1"/>
  <c r="AX71" i="1" s="1"/>
  <c r="BV52" i="1"/>
  <c r="BV67" i="1" s="1"/>
  <c r="BV71" i="1" s="1"/>
  <c r="T52" i="1"/>
  <c r="T67" i="1" s="1"/>
  <c r="T71" i="1" s="1"/>
  <c r="C685" i="1" s="1"/>
  <c r="AY52" i="1"/>
  <c r="AY67" i="1" s="1"/>
  <c r="AY71" i="1" s="1"/>
  <c r="BF52" i="1"/>
  <c r="BF67" i="1" s="1"/>
  <c r="BF71" i="1" s="1"/>
  <c r="BH52" i="1"/>
  <c r="BH67" i="1" s="1"/>
  <c r="BH71" i="1" s="1"/>
  <c r="N52" i="1"/>
  <c r="N67" i="1" s="1"/>
  <c r="N71" i="1" s="1"/>
  <c r="C679" i="1" s="1"/>
  <c r="K52" i="1"/>
  <c r="K67" i="1" s="1"/>
  <c r="K71" i="1" s="1"/>
  <c r="D53" i="9" s="1"/>
  <c r="BO52" i="1"/>
  <c r="BO67" i="1" s="1"/>
  <c r="BO71" i="1" s="1"/>
  <c r="AU52" i="1"/>
  <c r="AU67" i="1" s="1"/>
  <c r="AU71" i="1" s="1"/>
  <c r="BU52" i="1"/>
  <c r="BU67" i="1" s="1"/>
  <c r="C337" i="9" s="1"/>
  <c r="BI52" i="1"/>
  <c r="BI67" i="1" s="1"/>
  <c r="BI71" i="1" s="1"/>
  <c r="E277" i="9" s="1"/>
  <c r="AL52" i="1"/>
  <c r="AL67" i="1" s="1"/>
  <c r="AL71" i="1" s="1"/>
  <c r="BC52" i="1"/>
  <c r="BC67" i="1" s="1"/>
  <c r="BC71" i="1" s="1"/>
  <c r="BB52" i="1"/>
  <c r="BB67" i="1" s="1"/>
  <c r="BB71" i="1" s="1"/>
  <c r="C547" i="1" s="1"/>
  <c r="O52" i="1"/>
  <c r="O67" i="1" s="1"/>
  <c r="O71" i="1" s="1"/>
  <c r="BY52" i="1"/>
  <c r="BY67" i="1" s="1"/>
  <c r="BY71" i="1" s="1"/>
  <c r="AM52" i="1"/>
  <c r="AM67" i="1" s="1"/>
  <c r="AM71" i="1" s="1"/>
  <c r="AH52" i="1"/>
  <c r="AH67" i="1" s="1"/>
  <c r="F145" i="9" s="1"/>
  <c r="BK52" i="1"/>
  <c r="BK67" i="1" s="1"/>
  <c r="BK71" i="1" s="1"/>
  <c r="C556" i="1" s="1"/>
  <c r="BW52" i="1"/>
  <c r="BW67" i="1" s="1"/>
  <c r="AE52" i="1"/>
  <c r="AE67" i="1" s="1"/>
  <c r="C145" i="9" s="1"/>
  <c r="AI52" i="1"/>
  <c r="AI67" i="1" s="1"/>
  <c r="AI71" i="1" s="1"/>
  <c r="C700" i="1" s="1"/>
  <c r="J52" i="1"/>
  <c r="J67" i="1" s="1"/>
  <c r="J71" i="1" s="1"/>
  <c r="AC52" i="1"/>
  <c r="AC67" i="1" s="1"/>
  <c r="AC71" i="1" s="1"/>
  <c r="S52" i="1"/>
  <c r="S67" i="1" s="1"/>
  <c r="S71" i="1" s="1"/>
  <c r="BG52" i="1"/>
  <c r="BG67" i="1" s="1"/>
  <c r="BG71" i="1" s="1"/>
  <c r="C552" i="1" s="1"/>
  <c r="P52" i="1"/>
  <c r="P67" i="1" s="1"/>
  <c r="P71" i="1" s="1"/>
  <c r="I53" i="9" s="1"/>
  <c r="BZ52" i="1"/>
  <c r="BZ67" i="1" s="1"/>
  <c r="G52" i="1"/>
  <c r="G67" i="1" s="1"/>
  <c r="G71" i="1" s="1"/>
  <c r="D52" i="1"/>
  <c r="D67" i="1" s="1"/>
  <c r="D71" i="1" s="1"/>
  <c r="D21" i="9" s="1"/>
  <c r="BN52" i="1"/>
  <c r="BN67" i="1" s="1"/>
  <c r="BN71" i="1" s="1"/>
  <c r="C559" i="1" s="1"/>
  <c r="BM52" i="1"/>
  <c r="BM67" i="1" s="1"/>
  <c r="BM71" i="1" s="1"/>
  <c r="BQ52" i="1"/>
  <c r="BQ67" i="1" s="1"/>
  <c r="BQ71" i="1" s="1"/>
  <c r="C52" i="1"/>
  <c r="C67" i="1" s="1"/>
  <c r="C71" i="1" s="1"/>
  <c r="C21" i="9" s="1"/>
  <c r="I52" i="1"/>
  <c r="I67" i="1" s="1"/>
  <c r="I17" i="9" s="1"/>
  <c r="CA52" i="1"/>
  <c r="CA67" i="1" s="1"/>
  <c r="CA71" i="1" s="1"/>
  <c r="Y52" i="1"/>
  <c r="Y67" i="1" s="1"/>
  <c r="Y71" i="1" s="1"/>
  <c r="U52" i="1"/>
  <c r="U67" i="1" s="1"/>
  <c r="U71" i="1" s="1"/>
  <c r="G85" i="9" s="1"/>
  <c r="AV52" i="1"/>
  <c r="AV67" i="1" s="1"/>
  <c r="L52" i="1"/>
  <c r="L67" i="1" s="1"/>
  <c r="Z52" i="1"/>
  <c r="Z67" i="1" s="1"/>
  <c r="Z71" i="1" s="1"/>
  <c r="AP52" i="1"/>
  <c r="AP67" i="1" s="1"/>
  <c r="AZ52" i="1"/>
  <c r="AZ67" i="1" s="1"/>
  <c r="AZ71" i="1" s="1"/>
  <c r="X52" i="1"/>
  <c r="X67" i="1" s="1"/>
  <c r="X71" i="1" s="1"/>
  <c r="C117" i="9" s="1"/>
  <c r="BS52" i="1"/>
  <c r="BS67" i="1" s="1"/>
  <c r="AR52" i="1"/>
  <c r="AR67" i="1" s="1"/>
  <c r="BX52" i="1"/>
  <c r="BX67" i="1" s="1"/>
  <c r="BX71" i="1" s="1"/>
  <c r="C644" i="1" s="1"/>
  <c r="R52" i="1"/>
  <c r="R67" i="1" s="1"/>
  <c r="BJ52" i="1"/>
  <c r="BJ67" i="1" s="1"/>
  <c r="BJ71" i="1" s="1"/>
  <c r="C617" i="1" s="1"/>
  <c r="AO52" i="1"/>
  <c r="AO67" i="1" s="1"/>
  <c r="F177" i="9" s="1"/>
  <c r="BP52" i="1"/>
  <c r="BP67" i="1" s="1"/>
  <c r="BP71" i="1" s="1"/>
  <c r="C561" i="1" s="1"/>
  <c r="BL52" i="1"/>
  <c r="BL67" i="1" s="1"/>
  <c r="BL71" i="1" s="1"/>
  <c r="C637" i="1" s="1"/>
  <c r="AN52" i="1"/>
  <c r="AN67" i="1" s="1"/>
  <c r="AN71" i="1" s="1"/>
  <c r="E181" i="9" s="1"/>
  <c r="CC71" i="1"/>
  <c r="D373" i="9" s="1"/>
  <c r="BW71" i="1"/>
  <c r="E341" i="9" s="1"/>
  <c r="V71" i="1"/>
  <c r="I305" i="9"/>
  <c r="H81" i="9"/>
  <c r="D241" i="9"/>
  <c r="AF52" i="1"/>
  <c r="AF67" i="1" s="1"/>
  <c r="D145" i="9" s="1"/>
  <c r="D369" i="9"/>
  <c r="E273" i="9"/>
  <c r="AG71" i="1"/>
  <c r="E149" i="9" s="1"/>
  <c r="E145" i="9"/>
  <c r="E337" i="9"/>
  <c r="C49" i="9"/>
  <c r="AB52" i="1"/>
  <c r="AB67" i="1" s="1"/>
  <c r="E52" i="1"/>
  <c r="E67" i="1" s="1"/>
  <c r="AD52" i="1"/>
  <c r="AD67" i="1" s="1"/>
  <c r="C689" i="1"/>
  <c r="I76" i="9"/>
  <c r="E309" i="9"/>
  <c r="CE62" i="1"/>
  <c r="CE48" i="1"/>
  <c r="C549" i="1"/>
  <c r="G245" i="9"/>
  <c r="C624" i="1"/>
  <c r="C512" i="1"/>
  <c r="G512" i="1" s="1"/>
  <c r="E85" i="9"/>
  <c r="C684" i="1"/>
  <c r="C638" i="1"/>
  <c r="C558" i="1"/>
  <c r="I277" i="9"/>
  <c r="C546" i="1"/>
  <c r="G546" i="1" s="1"/>
  <c r="D245" i="9"/>
  <c r="C518" i="1"/>
  <c r="G518" i="1" s="1"/>
  <c r="C690" i="1"/>
  <c r="D117" i="9"/>
  <c r="C519" i="1"/>
  <c r="G519" i="1" s="1"/>
  <c r="E117" i="9"/>
  <c r="C691" i="1"/>
  <c r="H245" i="9"/>
  <c r="C614" i="1"/>
  <c r="C550" i="1"/>
  <c r="G550" i="1" s="1"/>
  <c r="C530" i="1"/>
  <c r="G530" i="1" s="1"/>
  <c r="I149" i="9"/>
  <c r="C702" i="1"/>
  <c r="C540" i="1"/>
  <c r="G540" i="1" s="1"/>
  <c r="E213" i="9"/>
  <c r="C712" i="1"/>
  <c r="F21" i="9"/>
  <c r="C671" i="1"/>
  <c r="C499" i="1"/>
  <c r="G499" i="1" s="1"/>
  <c r="C554" i="1"/>
  <c r="C85" i="9"/>
  <c r="C635" i="1"/>
  <c r="AE71" i="1"/>
  <c r="BT71" i="1"/>
  <c r="C682" i="1"/>
  <c r="F85" i="9"/>
  <c r="G277" i="9"/>
  <c r="AO71" i="1"/>
  <c r="C517" i="1"/>
  <c r="C634" i="1"/>
  <c r="BZ71" i="1"/>
  <c r="C571" i="1" s="1"/>
  <c r="AS71" i="1"/>
  <c r="C204" i="9"/>
  <c r="C509" i="1"/>
  <c r="G509" i="1" s="1"/>
  <c r="C630" i="1"/>
  <c r="C681" i="1"/>
  <c r="C496" i="1"/>
  <c r="G496" i="1" s="1"/>
  <c r="C553" i="1"/>
  <c r="D277" i="9"/>
  <c r="C636" i="1"/>
  <c r="C633" i="1"/>
  <c r="F245" i="9"/>
  <c r="C548" i="1"/>
  <c r="G273" i="9"/>
  <c r="H113" i="9"/>
  <c r="E81" i="9"/>
  <c r="F241" i="9"/>
  <c r="C241" i="9"/>
  <c r="G213" i="9"/>
  <c r="C542" i="1"/>
  <c r="C631" i="1"/>
  <c r="C245" i="9"/>
  <c r="C628" i="1"/>
  <c r="C545" i="1"/>
  <c r="G545" i="1" s="1"/>
  <c r="H177" i="9"/>
  <c r="C81" i="9"/>
  <c r="C209" i="9"/>
  <c r="D209" i="9"/>
  <c r="H17" i="9"/>
  <c r="I337" i="9"/>
  <c r="D113" i="9"/>
  <c r="E113" i="9"/>
  <c r="I49" i="9"/>
  <c r="C113" i="9"/>
  <c r="C572" i="1"/>
  <c r="I341" i="9"/>
  <c r="C647" i="1"/>
  <c r="C532" i="1"/>
  <c r="G532" i="1" s="1"/>
  <c r="D181" i="9"/>
  <c r="C704" i="1"/>
  <c r="F309" i="9"/>
  <c r="C562" i="1"/>
  <c r="C623" i="1"/>
  <c r="D273" i="9"/>
  <c r="D49" i="9"/>
  <c r="D305" i="9"/>
  <c r="E209" i="9"/>
  <c r="C177" i="9"/>
  <c r="G17" i="9"/>
  <c r="I273" i="9"/>
  <c r="D27" i="7"/>
  <c r="B448" i="1"/>
  <c r="F544" i="1"/>
  <c r="H536" i="1"/>
  <c r="F536" i="1"/>
  <c r="F528" i="1"/>
  <c r="F520" i="1"/>
  <c r="D341" i="1"/>
  <c r="C481" i="1" s="1"/>
  <c r="C50" i="8"/>
  <c r="D309" i="9"/>
  <c r="C627" i="1"/>
  <c r="C560" i="1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G149" i="9"/>
  <c r="C520" i="1"/>
  <c r="G520" i="1" s="1"/>
  <c r="C692" i="1"/>
  <c r="F117" i="9"/>
  <c r="C616" i="1"/>
  <c r="C543" i="1"/>
  <c r="H213" i="9"/>
  <c r="C309" i="9"/>
  <c r="C126" i="8"/>
  <c r="D391" i="1"/>
  <c r="F32" i="6"/>
  <c r="C478" i="1"/>
  <c r="C536" i="1"/>
  <c r="G536" i="1" s="1"/>
  <c r="H181" i="9"/>
  <c r="C708" i="1"/>
  <c r="C102" i="8"/>
  <c r="C482" i="1"/>
  <c r="C687" i="1"/>
  <c r="C515" i="1"/>
  <c r="G515" i="1" s="1"/>
  <c r="H85" i="9"/>
  <c r="F498" i="1"/>
  <c r="H21" i="9"/>
  <c r="H241" i="9"/>
  <c r="I145" i="9"/>
  <c r="G209" i="9"/>
  <c r="G337" i="9"/>
  <c r="D177" i="9"/>
  <c r="C476" i="1"/>
  <c r="F16" i="6"/>
  <c r="C672" i="1"/>
  <c r="C500" i="1"/>
  <c r="G500" i="1" s="1"/>
  <c r="G21" i="9"/>
  <c r="C563" i="1"/>
  <c r="G309" i="9"/>
  <c r="C626" i="1"/>
  <c r="C642" i="1"/>
  <c r="D341" i="9"/>
  <c r="C567" i="1"/>
  <c r="I245" i="9"/>
  <c r="C629" i="1"/>
  <c r="C551" i="1"/>
  <c r="G341" i="9"/>
  <c r="C570" i="1"/>
  <c r="C645" i="1"/>
  <c r="F516" i="1"/>
  <c r="F305" i="9"/>
  <c r="C622" i="1"/>
  <c r="C373" i="9"/>
  <c r="C573" i="1"/>
  <c r="C181" i="9"/>
  <c r="C703" i="1"/>
  <c r="C531" i="1"/>
  <c r="G531" i="1" s="1"/>
  <c r="F540" i="1"/>
  <c r="H540" i="1"/>
  <c r="F532" i="1"/>
  <c r="H532" i="1"/>
  <c r="F524" i="1"/>
  <c r="F550" i="1"/>
  <c r="G305" i="9"/>
  <c r="F113" i="9"/>
  <c r="F49" i="9"/>
  <c r="C369" i="9"/>
  <c r="F17" i="9"/>
  <c r="G241" i="9"/>
  <c r="I213" i="9"/>
  <c r="C625" i="1"/>
  <c r="C544" i="1"/>
  <c r="G544" i="1" s="1"/>
  <c r="C506" i="1"/>
  <c r="G506" i="1" s="1"/>
  <c r="F53" i="9"/>
  <c r="C678" i="1"/>
  <c r="C680" i="1" l="1"/>
  <c r="C508" i="1"/>
  <c r="G508" i="1" s="1"/>
  <c r="C516" i="1"/>
  <c r="G516" i="1" s="1"/>
  <c r="I85" i="9"/>
  <c r="C503" i="1"/>
  <c r="G503" i="1" s="1"/>
  <c r="C675" i="1"/>
  <c r="E245" i="9"/>
  <c r="C673" i="1"/>
  <c r="C569" i="1"/>
  <c r="C643" i="1"/>
  <c r="C619" i="1"/>
  <c r="C504" i="1"/>
  <c r="G504" i="1" s="1"/>
  <c r="I81" i="9"/>
  <c r="C529" i="1"/>
  <c r="G529" i="1" s="1"/>
  <c r="H149" i="9"/>
  <c r="C568" i="1"/>
  <c r="C539" i="1"/>
  <c r="G539" i="1" s="1"/>
  <c r="C305" i="9"/>
  <c r="C676" i="1"/>
  <c r="F337" i="9"/>
  <c r="D213" i="9"/>
  <c r="C574" i="1"/>
  <c r="F341" i="9"/>
  <c r="E305" i="9"/>
  <c r="H145" i="9"/>
  <c r="C621" i="1"/>
  <c r="C17" i="9"/>
  <c r="D17" i="9"/>
  <c r="C632" i="1"/>
  <c r="C688" i="1"/>
  <c r="C528" i="1"/>
  <c r="G528" i="1" s="1"/>
  <c r="C273" i="9"/>
  <c r="G145" i="9"/>
  <c r="C668" i="1"/>
  <c r="C507" i="1"/>
  <c r="G507" i="1" s="1"/>
  <c r="C277" i="9"/>
  <c r="C513" i="1"/>
  <c r="G513" i="1" s="1"/>
  <c r="C514" i="1"/>
  <c r="G514" i="1" s="1"/>
  <c r="AH71" i="1"/>
  <c r="H53" i="9"/>
  <c r="G53" i="9"/>
  <c r="G81" i="9"/>
  <c r="E241" i="9"/>
  <c r="C686" i="1"/>
  <c r="C618" i="1"/>
  <c r="G49" i="9"/>
  <c r="AV71" i="1"/>
  <c r="F209" i="9"/>
  <c r="I71" i="1"/>
  <c r="H49" i="9"/>
  <c r="G177" i="9"/>
  <c r="AP71" i="1"/>
  <c r="BU71" i="1"/>
  <c r="L71" i="1"/>
  <c r="E49" i="9"/>
  <c r="H337" i="9"/>
  <c r="E177" i="9"/>
  <c r="F273" i="9"/>
  <c r="AR71" i="1"/>
  <c r="I177" i="9"/>
  <c r="H273" i="9"/>
  <c r="BS71" i="1"/>
  <c r="H305" i="9"/>
  <c r="R71" i="1"/>
  <c r="D81" i="9"/>
  <c r="F277" i="9"/>
  <c r="C620" i="1"/>
  <c r="H277" i="9"/>
  <c r="C555" i="1"/>
  <c r="H550" i="1"/>
  <c r="AF71" i="1"/>
  <c r="C557" i="1"/>
  <c r="C53" i="9"/>
  <c r="CE52" i="1"/>
  <c r="E71" i="1"/>
  <c r="E17" i="9"/>
  <c r="I113" i="9"/>
  <c r="AD71" i="1"/>
  <c r="G113" i="9"/>
  <c r="AB71" i="1"/>
  <c r="C705" i="1"/>
  <c r="C533" i="1"/>
  <c r="G533" i="1" s="1"/>
  <c r="CE67" i="1"/>
  <c r="CE71" i="1" s="1"/>
  <c r="I373" i="9" s="1"/>
  <c r="C526" i="1"/>
  <c r="G526" i="1" s="1"/>
  <c r="C698" i="1"/>
  <c r="I364" i="9"/>
  <c r="C646" i="1"/>
  <c r="C428" i="1"/>
  <c r="H341" i="9"/>
  <c r="C669" i="1"/>
  <c r="C497" i="1"/>
  <c r="G497" i="1" s="1"/>
  <c r="G517" i="1"/>
  <c r="H517" i="1" s="1"/>
  <c r="C640" i="1"/>
  <c r="C565" i="1"/>
  <c r="I309" i="9"/>
  <c r="C524" i="1"/>
  <c r="C696" i="1"/>
  <c r="C149" i="9"/>
  <c r="F181" i="9"/>
  <c r="C534" i="1"/>
  <c r="G534" i="1" s="1"/>
  <c r="C706" i="1"/>
  <c r="D615" i="1"/>
  <c r="C710" i="1"/>
  <c r="C213" i="9"/>
  <c r="C538" i="1"/>
  <c r="G538" i="1" s="1"/>
  <c r="H516" i="1"/>
  <c r="H544" i="1"/>
  <c r="H520" i="1"/>
  <c r="F522" i="1"/>
  <c r="H522" i="1" s="1"/>
  <c r="F510" i="1"/>
  <c r="H510" i="1" s="1"/>
  <c r="F513" i="1"/>
  <c r="H513" i="1"/>
  <c r="C142" i="8"/>
  <c r="D393" i="1"/>
  <c r="F538" i="1"/>
  <c r="H538" i="1"/>
  <c r="F496" i="1"/>
  <c r="H496" i="1" s="1"/>
  <c r="F534" i="1"/>
  <c r="H534" i="1"/>
  <c r="H502" i="1"/>
  <c r="F502" i="1"/>
  <c r="H504" i="1"/>
  <c r="F504" i="1"/>
  <c r="F530" i="1"/>
  <c r="H530" i="1" s="1"/>
  <c r="F512" i="1"/>
  <c r="H512" i="1"/>
  <c r="F526" i="1"/>
  <c r="F503" i="1"/>
  <c r="H503" i="1" s="1"/>
  <c r="F508" i="1"/>
  <c r="H508" i="1" s="1"/>
  <c r="F514" i="1"/>
  <c r="H514" i="1" s="1"/>
  <c r="H507" i="1"/>
  <c r="F507" i="1"/>
  <c r="F518" i="1"/>
  <c r="H518" i="1" s="1"/>
  <c r="H546" i="1"/>
  <c r="F546" i="1"/>
  <c r="F506" i="1"/>
  <c r="H506" i="1"/>
  <c r="H500" i="1"/>
  <c r="F500" i="1"/>
  <c r="F509" i="1"/>
  <c r="H509" i="1" s="1"/>
  <c r="H528" i="1" l="1"/>
  <c r="C699" i="1"/>
  <c r="F149" i="9"/>
  <c r="C527" i="1"/>
  <c r="G527" i="1" s="1"/>
  <c r="H526" i="1"/>
  <c r="C677" i="1"/>
  <c r="C505" i="1"/>
  <c r="G505" i="1" s="1"/>
  <c r="E53" i="9"/>
  <c r="C502" i="1"/>
  <c r="G502" i="1" s="1"/>
  <c r="C674" i="1"/>
  <c r="I21" i="9"/>
  <c r="C641" i="1"/>
  <c r="C341" i="9"/>
  <c r="C566" i="1"/>
  <c r="C535" i="1"/>
  <c r="G535" i="1" s="1"/>
  <c r="C707" i="1"/>
  <c r="G181" i="9"/>
  <c r="C541" i="1"/>
  <c r="F213" i="9"/>
  <c r="C713" i="1"/>
  <c r="C683" i="1"/>
  <c r="C511" i="1"/>
  <c r="G511" i="1" s="1"/>
  <c r="H511" i="1" s="1"/>
  <c r="D85" i="9"/>
  <c r="C564" i="1"/>
  <c r="H309" i="9"/>
  <c r="C639" i="1"/>
  <c r="C709" i="1"/>
  <c r="C537" i="1"/>
  <c r="G537" i="1" s="1"/>
  <c r="I181" i="9"/>
  <c r="C697" i="1"/>
  <c r="C525" i="1"/>
  <c r="G525" i="1" s="1"/>
  <c r="D149" i="9"/>
  <c r="C433" i="1"/>
  <c r="C441" i="1" s="1"/>
  <c r="I369" i="9"/>
  <c r="G117" i="9"/>
  <c r="C521" i="1"/>
  <c r="G521" i="1" s="1"/>
  <c r="C693" i="1"/>
  <c r="C523" i="1"/>
  <c r="G523" i="1" s="1"/>
  <c r="C695" i="1"/>
  <c r="I117" i="9"/>
  <c r="E21" i="9"/>
  <c r="C670" i="1"/>
  <c r="C498" i="1"/>
  <c r="C716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4" i="1"/>
  <c r="D645" i="1"/>
  <c r="D704" i="1"/>
  <c r="D639" i="1"/>
  <c r="D628" i="1"/>
  <c r="D705" i="1"/>
  <c r="D699" i="1"/>
  <c r="D675" i="1"/>
  <c r="D630" i="1"/>
  <c r="D706" i="1"/>
  <c r="D676" i="1"/>
  <c r="D684" i="1"/>
  <c r="D617" i="1"/>
  <c r="D697" i="1"/>
  <c r="D685" i="1"/>
  <c r="D690" i="1"/>
  <c r="D707" i="1"/>
  <c r="D637" i="1"/>
  <c r="D694" i="1"/>
  <c r="D647" i="1"/>
  <c r="D635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92" i="1"/>
  <c r="D622" i="1"/>
  <c r="D700" i="1"/>
  <c r="D623" i="1"/>
  <c r="D686" i="1"/>
  <c r="D711" i="1"/>
  <c r="D631" i="1"/>
  <c r="D682" i="1"/>
  <c r="D632" i="1"/>
  <c r="D642" i="1"/>
  <c r="D674" i="1"/>
  <c r="D716" i="1"/>
  <c r="D709" i="1"/>
  <c r="D636" i="1"/>
  <c r="D702" i="1"/>
  <c r="D713" i="1"/>
  <c r="D698" i="1"/>
  <c r="D616" i="1"/>
  <c r="G524" i="1"/>
  <c r="H524" i="1" s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 s="1"/>
  <c r="F523" i="1"/>
  <c r="H523" i="1"/>
  <c r="F537" i="1"/>
  <c r="H537" i="1"/>
  <c r="F531" i="1"/>
  <c r="H531" i="1"/>
  <c r="H521" i="1" l="1"/>
  <c r="C648" i="1"/>
  <c r="M716" i="1" s="1"/>
  <c r="C715" i="1"/>
  <c r="G498" i="1"/>
  <c r="H498" i="1" s="1"/>
  <c r="E612" i="1"/>
  <c r="D715" i="1"/>
  <c r="E623" i="1"/>
  <c r="E639" i="1" l="1"/>
  <c r="E708" i="1"/>
  <c r="E644" i="1"/>
  <c r="E690" i="1"/>
  <c r="E625" i="1"/>
  <c r="E682" i="1"/>
  <c r="E672" i="1"/>
  <c r="E634" i="1"/>
  <c r="E689" i="1"/>
  <c r="E685" i="1"/>
  <c r="E699" i="1"/>
  <c r="E674" i="1"/>
  <c r="E676" i="1"/>
  <c r="E638" i="1"/>
  <c r="E637" i="1"/>
  <c r="E706" i="1"/>
  <c r="E700" i="1"/>
  <c r="E704" i="1"/>
  <c r="E697" i="1"/>
  <c r="E631" i="1"/>
  <c r="E645" i="1"/>
  <c r="E678" i="1"/>
  <c r="E630" i="1"/>
  <c r="E701" i="1"/>
  <c r="E711" i="1"/>
  <c r="E642" i="1"/>
  <c r="E643" i="1"/>
  <c r="E624" i="1"/>
  <c r="F624" i="1" s="1"/>
  <c r="F687" i="1" s="1"/>
  <c r="E627" i="1"/>
  <c r="E712" i="1"/>
  <c r="E640" i="1"/>
  <c r="E707" i="1"/>
  <c r="E635" i="1"/>
  <c r="E646" i="1"/>
  <c r="E684" i="1"/>
  <c r="E710" i="1"/>
  <c r="E641" i="1"/>
  <c r="E626" i="1"/>
  <c r="E696" i="1"/>
  <c r="E713" i="1"/>
  <c r="E647" i="1"/>
  <c r="E705" i="1"/>
  <c r="E681" i="1"/>
  <c r="E671" i="1"/>
  <c r="E683" i="1"/>
  <c r="E688" i="1"/>
  <c r="E686" i="1"/>
  <c r="E675" i="1"/>
  <c r="E669" i="1"/>
  <c r="E698" i="1"/>
  <c r="E691" i="1"/>
  <c r="E687" i="1"/>
  <c r="E702" i="1"/>
  <c r="E693" i="1"/>
  <c r="E680" i="1"/>
  <c r="E673" i="1"/>
  <c r="E632" i="1"/>
  <c r="E679" i="1"/>
  <c r="E677" i="1"/>
  <c r="E628" i="1"/>
  <c r="E633" i="1"/>
  <c r="E629" i="1"/>
  <c r="E709" i="1"/>
  <c r="E694" i="1"/>
  <c r="E716" i="1"/>
  <c r="E695" i="1"/>
  <c r="E636" i="1"/>
  <c r="E703" i="1"/>
  <c r="E668" i="1"/>
  <c r="E692" i="1"/>
  <c r="E670" i="1"/>
  <c r="F644" i="1"/>
  <c r="F709" i="1" l="1"/>
  <c r="F670" i="1"/>
  <c r="F641" i="1"/>
  <c r="F677" i="1"/>
  <c r="F707" i="1"/>
  <c r="F691" i="1"/>
  <c r="F675" i="1"/>
  <c r="F637" i="1"/>
  <c r="F638" i="1"/>
  <c r="F703" i="1"/>
  <c r="F705" i="1"/>
  <c r="F643" i="1"/>
  <c r="F699" i="1"/>
  <c r="F704" i="1"/>
  <c r="F642" i="1"/>
  <c r="F679" i="1"/>
  <c r="F640" i="1"/>
  <c r="F671" i="1"/>
  <c r="F700" i="1"/>
  <c r="F674" i="1"/>
  <c r="F710" i="1"/>
  <c r="F669" i="1"/>
  <c r="F634" i="1"/>
  <c r="F645" i="1"/>
  <c r="F631" i="1"/>
  <c r="F701" i="1"/>
  <c r="F690" i="1"/>
  <c r="F668" i="1"/>
  <c r="F711" i="1"/>
  <c r="F627" i="1"/>
  <c r="F680" i="1"/>
  <c r="F626" i="1"/>
  <c r="F633" i="1"/>
  <c r="F706" i="1"/>
  <c r="F684" i="1"/>
  <c r="F682" i="1"/>
  <c r="F683" i="1"/>
  <c r="F639" i="1"/>
  <c r="F681" i="1"/>
  <c r="F646" i="1"/>
  <c r="F693" i="1"/>
  <c r="F695" i="1"/>
  <c r="F685" i="1"/>
  <c r="F676" i="1"/>
  <c r="F692" i="1"/>
  <c r="F678" i="1"/>
  <c r="F702" i="1"/>
  <c r="F629" i="1"/>
  <c r="F713" i="1"/>
  <c r="F689" i="1"/>
  <c r="F635" i="1"/>
  <c r="F708" i="1"/>
  <c r="F630" i="1"/>
  <c r="F688" i="1"/>
  <c r="F673" i="1"/>
  <c r="F696" i="1"/>
  <c r="F672" i="1"/>
  <c r="F712" i="1"/>
  <c r="F697" i="1"/>
  <c r="F632" i="1"/>
  <c r="F625" i="1"/>
  <c r="G625" i="1" s="1"/>
  <c r="F647" i="1"/>
  <c r="F698" i="1"/>
  <c r="F636" i="1"/>
  <c r="F694" i="1"/>
  <c r="F716" i="1"/>
  <c r="F628" i="1"/>
  <c r="F686" i="1"/>
  <c r="E715" i="1"/>
  <c r="F715" i="1" l="1"/>
  <c r="G707" i="1"/>
  <c r="G709" i="1"/>
  <c r="G687" i="1"/>
  <c r="G682" i="1"/>
  <c r="G672" i="1"/>
  <c r="G680" i="1"/>
  <c r="G698" i="1"/>
  <c r="G703" i="1"/>
  <c r="G676" i="1"/>
  <c r="G639" i="1"/>
  <c r="G700" i="1"/>
  <c r="G694" i="1"/>
  <c r="G679" i="1"/>
  <c r="G670" i="1"/>
  <c r="G631" i="1"/>
  <c r="G701" i="1"/>
  <c r="G647" i="1"/>
  <c r="G637" i="1"/>
  <c r="G685" i="1"/>
  <c r="G633" i="1"/>
  <c r="G699" i="1"/>
  <c r="G632" i="1"/>
  <c r="G629" i="1"/>
  <c r="G693" i="1"/>
  <c r="G692" i="1"/>
  <c r="G668" i="1"/>
  <c r="G678" i="1"/>
  <c r="G643" i="1"/>
  <c r="G688" i="1"/>
  <c r="G690" i="1"/>
  <c r="G710" i="1"/>
  <c r="G636" i="1"/>
  <c r="G706" i="1"/>
  <c r="G712" i="1"/>
  <c r="G713" i="1"/>
  <c r="G634" i="1"/>
  <c r="G628" i="1"/>
  <c r="G705" i="1"/>
  <c r="G681" i="1"/>
  <c r="G630" i="1"/>
  <c r="G677" i="1"/>
  <c r="G684" i="1"/>
  <c r="G635" i="1"/>
  <c r="G641" i="1"/>
  <c r="G644" i="1"/>
  <c r="G702" i="1"/>
  <c r="G645" i="1"/>
  <c r="G626" i="1"/>
  <c r="G686" i="1"/>
  <c r="G627" i="1"/>
  <c r="G697" i="1"/>
  <c r="G646" i="1"/>
  <c r="G711" i="1"/>
  <c r="G696" i="1"/>
  <c r="G671" i="1"/>
  <c r="G642" i="1"/>
  <c r="G673" i="1"/>
  <c r="G683" i="1"/>
  <c r="G704" i="1"/>
  <c r="G716" i="1"/>
  <c r="G708" i="1"/>
  <c r="G638" i="1"/>
  <c r="G669" i="1"/>
  <c r="G640" i="1"/>
  <c r="G689" i="1"/>
  <c r="G674" i="1"/>
  <c r="G691" i="1"/>
  <c r="G675" i="1"/>
  <c r="G695" i="1"/>
  <c r="G715" i="1" l="1"/>
  <c r="H628" i="1"/>
  <c r="H672" i="1" l="1"/>
  <c r="H699" i="1"/>
  <c r="H702" i="1"/>
  <c r="H644" i="1"/>
  <c r="H690" i="1"/>
  <c r="H673" i="1"/>
  <c r="H686" i="1"/>
  <c r="H676" i="1"/>
  <c r="H674" i="1"/>
  <c r="H695" i="1"/>
  <c r="H713" i="1"/>
  <c r="H645" i="1"/>
  <c r="H670" i="1"/>
  <c r="H681" i="1"/>
  <c r="H693" i="1"/>
  <c r="H716" i="1"/>
  <c r="H700" i="1"/>
  <c r="H683" i="1"/>
  <c r="H680" i="1"/>
  <c r="H647" i="1"/>
  <c r="H638" i="1"/>
  <c r="H639" i="1"/>
  <c r="H687" i="1"/>
  <c r="H641" i="1"/>
  <c r="H678" i="1"/>
  <c r="H671" i="1"/>
  <c r="H643" i="1"/>
  <c r="H701" i="1"/>
  <c r="H705" i="1"/>
  <c r="H704" i="1"/>
  <c r="H708" i="1"/>
  <c r="H692" i="1"/>
  <c r="H640" i="1"/>
  <c r="H677" i="1"/>
  <c r="H633" i="1"/>
  <c r="H675" i="1"/>
  <c r="H682" i="1"/>
  <c r="H703" i="1"/>
  <c r="H688" i="1"/>
  <c r="H631" i="1"/>
  <c r="H629" i="1"/>
  <c r="I629" i="1" s="1"/>
  <c r="H635" i="1"/>
  <c r="H679" i="1"/>
  <c r="H646" i="1"/>
  <c r="H707" i="1"/>
  <c r="H689" i="1"/>
  <c r="H711" i="1"/>
  <c r="H684" i="1"/>
  <c r="H685" i="1"/>
  <c r="H696" i="1"/>
  <c r="H632" i="1"/>
  <c r="H630" i="1"/>
  <c r="H698" i="1"/>
  <c r="H706" i="1"/>
  <c r="H710" i="1"/>
  <c r="H668" i="1"/>
  <c r="H697" i="1"/>
  <c r="H712" i="1"/>
  <c r="H691" i="1"/>
  <c r="H637" i="1"/>
  <c r="H669" i="1"/>
  <c r="H636" i="1"/>
  <c r="H634" i="1"/>
  <c r="H694" i="1"/>
  <c r="H709" i="1"/>
  <c r="H642" i="1"/>
  <c r="I669" i="1" l="1"/>
  <c r="I639" i="1"/>
  <c r="I716" i="1"/>
  <c r="I699" i="1"/>
  <c r="I703" i="1"/>
  <c r="I692" i="1"/>
  <c r="I697" i="1"/>
  <c r="I698" i="1"/>
  <c r="I710" i="1"/>
  <c r="I711" i="1"/>
  <c r="I638" i="1"/>
  <c r="I670" i="1"/>
  <c r="I709" i="1"/>
  <c r="I642" i="1"/>
  <c r="I644" i="1"/>
  <c r="I631" i="1"/>
  <c r="I674" i="1"/>
  <c r="I671" i="1"/>
  <c r="I683" i="1"/>
  <c r="I688" i="1"/>
  <c r="I687" i="1"/>
  <c r="I693" i="1"/>
  <c r="I712" i="1"/>
  <c r="I679" i="1"/>
  <c r="I678" i="1"/>
  <c r="I630" i="1"/>
  <c r="I696" i="1"/>
  <c r="I676" i="1"/>
  <c r="I646" i="1"/>
  <c r="I686" i="1"/>
  <c r="I689" i="1"/>
  <c r="I706" i="1"/>
  <c r="I641" i="1"/>
  <c r="I673" i="1"/>
  <c r="I704" i="1"/>
  <c r="I701" i="1"/>
  <c r="I643" i="1"/>
  <c r="I636" i="1"/>
  <c r="I700" i="1"/>
  <c r="I668" i="1"/>
  <c r="I637" i="1"/>
  <c r="I702" i="1"/>
  <c r="I680" i="1"/>
  <c r="I640" i="1"/>
  <c r="I635" i="1"/>
  <c r="I705" i="1"/>
  <c r="I672" i="1"/>
  <c r="I634" i="1"/>
  <c r="I713" i="1"/>
  <c r="I685" i="1"/>
  <c r="I647" i="1"/>
  <c r="I708" i="1"/>
  <c r="I632" i="1"/>
  <c r="I633" i="1"/>
  <c r="I677" i="1"/>
  <c r="I691" i="1"/>
  <c r="I682" i="1"/>
  <c r="I681" i="1"/>
  <c r="I690" i="1"/>
  <c r="I707" i="1"/>
  <c r="I684" i="1"/>
  <c r="I645" i="1"/>
  <c r="I675" i="1"/>
  <c r="I694" i="1"/>
  <c r="I695" i="1"/>
  <c r="H715" i="1"/>
  <c r="I715" i="1" l="1"/>
  <c r="J630" i="1"/>
  <c r="J712" i="1" l="1"/>
  <c r="J688" i="1"/>
  <c r="J671" i="1"/>
  <c r="J641" i="1"/>
  <c r="J711" i="1"/>
  <c r="J636" i="1"/>
  <c r="J647" i="1"/>
  <c r="J674" i="1"/>
  <c r="J698" i="1"/>
  <c r="J706" i="1"/>
  <c r="J691" i="1"/>
  <c r="J644" i="1"/>
  <c r="J685" i="1"/>
  <c r="J708" i="1"/>
  <c r="J702" i="1"/>
  <c r="J679" i="1"/>
  <c r="J676" i="1"/>
  <c r="J694" i="1"/>
  <c r="J638" i="1"/>
  <c r="J643" i="1"/>
  <c r="J681" i="1"/>
  <c r="J707" i="1"/>
  <c r="J634" i="1"/>
  <c r="J690" i="1"/>
  <c r="J700" i="1"/>
  <c r="J645" i="1"/>
  <c r="J632" i="1"/>
  <c r="J696" i="1"/>
  <c r="J695" i="1"/>
  <c r="J687" i="1"/>
  <c r="J683" i="1"/>
  <c r="J670" i="1"/>
  <c r="J639" i="1"/>
  <c r="J677" i="1"/>
  <c r="J633" i="1"/>
  <c r="J680" i="1"/>
  <c r="J689" i="1"/>
  <c r="J686" i="1"/>
  <c r="J631" i="1"/>
  <c r="J635" i="1"/>
  <c r="J673" i="1"/>
  <c r="J710" i="1"/>
  <c r="J669" i="1"/>
  <c r="J637" i="1"/>
  <c r="J693" i="1"/>
  <c r="J692" i="1"/>
  <c r="J642" i="1"/>
  <c r="J716" i="1"/>
  <c r="J709" i="1"/>
  <c r="J701" i="1"/>
  <c r="J678" i="1"/>
  <c r="J705" i="1"/>
  <c r="J684" i="1"/>
  <c r="J713" i="1"/>
  <c r="J703" i="1"/>
  <c r="J640" i="1"/>
  <c r="J704" i="1"/>
  <c r="J699" i="1"/>
  <c r="J682" i="1"/>
  <c r="J646" i="1"/>
  <c r="J675" i="1"/>
  <c r="J697" i="1"/>
  <c r="J672" i="1"/>
  <c r="J668" i="1"/>
  <c r="K644" i="1" l="1"/>
  <c r="L647" i="1"/>
  <c r="J715" i="1"/>
  <c r="L711" i="1" l="1"/>
  <c r="L709" i="1"/>
  <c r="L674" i="1"/>
  <c r="L689" i="1"/>
  <c r="L706" i="1"/>
  <c r="L691" i="1"/>
  <c r="L705" i="1"/>
  <c r="L687" i="1"/>
  <c r="L694" i="1"/>
  <c r="L675" i="1"/>
  <c r="L685" i="1"/>
  <c r="L683" i="1"/>
  <c r="L686" i="1"/>
  <c r="L668" i="1"/>
  <c r="L708" i="1"/>
  <c r="L697" i="1"/>
  <c r="L682" i="1"/>
  <c r="L712" i="1"/>
  <c r="L677" i="1"/>
  <c r="L680" i="1"/>
  <c r="L679" i="1"/>
  <c r="L698" i="1"/>
  <c r="L713" i="1"/>
  <c r="L710" i="1"/>
  <c r="L696" i="1"/>
  <c r="L690" i="1"/>
  <c r="L695" i="1"/>
  <c r="L671" i="1"/>
  <c r="L699" i="1"/>
  <c r="L702" i="1"/>
  <c r="L684" i="1"/>
  <c r="L693" i="1"/>
  <c r="L676" i="1"/>
  <c r="L700" i="1"/>
  <c r="L670" i="1"/>
  <c r="L681" i="1"/>
  <c r="L703" i="1"/>
  <c r="L716" i="1"/>
  <c r="L707" i="1"/>
  <c r="L678" i="1"/>
  <c r="L688" i="1"/>
  <c r="L673" i="1"/>
  <c r="L669" i="1"/>
  <c r="L692" i="1"/>
  <c r="L701" i="1"/>
  <c r="L672" i="1"/>
  <c r="L704" i="1"/>
  <c r="K669" i="1"/>
  <c r="K701" i="1"/>
  <c r="K707" i="1"/>
  <c r="K668" i="1"/>
  <c r="K673" i="1"/>
  <c r="K716" i="1"/>
  <c r="K710" i="1"/>
  <c r="K671" i="1"/>
  <c r="K711" i="1"/>
  <c r="K691" i="1"/>
  <c r="K685" i="1"/>
  <c r="K699" i="1"/>
  <c r="K693" i="1"/>
  <c r="K706" i="1"/>
  <c r="M706" i="1" s="1"/>
  <c r="K692" i="1"/>
  <c r="K690" i="1"/>
  <c r="K709" i="1"/>
  <c r="K676" i="1"/>
  <c r="K674" i="1"/>
  <c r="K672" i="1"/>
  <c r="K713" i="1"/>
  <c r="K687" i="1"/>
  <c r="K680" i="1"/>
  <c r="K694" i="1"/>
  <c r="K696" i="1"/>
  <c r="K704" i="1"/>
  <c r="K681" i="1"/>
  <c r="K675" i="1"/>
  <c r="K686" i="1"/>
  <c r="K712" i="1"/>
  <c r="K695" i="1"/>
  <c r="K702" i="1"/>
  <c r="K700" i="1"/>
  <c r="K689" i="1"/>
  <c r="K677" i="1"/>
  <c r="K670" i="1"/>
  <c r="K698" i="1"/>
  <c r="K688" i="1"/>
  <c r="M688" i="1" s="1"/>
  <c r="K684" i="1"/>
  <c r="K683" i="1"/>
  <c r="K703" i="1"/>
  <c r="K682" i="1"/>
  <c r="M682" i="1" s="1"/>
  <c r="K708" i="1"/>
  <c r="K705" i="1"/>
  <c r="K697" i="1"/>
  <c r="K678" i="1"/>
  <c r="K679" i="1"/>
  <c r="M693" i="1" l="1"/>
  <c r="M705" i="1"/>
  <c r="M697" i="1"/>
  <c r="M702" i="1"/>
  <c r="M675" i="1"/>
  <c r="C55" i="9" s="1"/>
  <c r="M690" i="1"/>
  <c r="D119" i="9" s="1"/>
  <c r="M670" i="1"/>
  <c r="E23" i="9" s="1"/>
  <c r="M701" i="1"/>
  <c r="H151" i="9" s="1"/>
  <c r="M698" i="1"/>
  <c r="E151" i="9" s="1"/>
  <c r="M700" i="1"/>
  <c r="G151" i="9" s="1"/>
  <c r="M709" i="1"/>
  <c r="I183" i="9" s="1"/>
  <c r="M712" i="1"/>
  <c r="E215" i="9" s="1"/>
  <c r="M691" i="1"/>
  <c r="M678" i="1"/>
  <c r="F55" i="9" s="1"/>
  <c r="M687" i="1"/>
  <c r="H87" i="9" s="1"/>
  <c r="M708" i="1"/>
  <c r="H183" i="9" s="1"/>
  <c r="M684" i="1"/>
  <c r="E87" i="9" s="1"/>
  <c r="M677" i="1"/>
  <c r="E55" i="9" s="1"/>
  <c r="M695" i="1"/>
  <c r="M674" i="1"/>
  <c r="I23" i="9" s="1"/>
  <c r="M685" i="1"/>
  <c r="F87" i="9" s="1"/>
  <c r="M704" i="1"/>
  <c r="D183" i="9" s="1"/>
  <c r="M669" i="1"/>
  <c r="M703" i="1"/>
  <c r="M711" i="1"/>
  <c r="D215" i="9" s="1"/>
  <c r="M699" i="1"/>
  <c r="M671" i="1"/>
  <c r="M696" i="1"/>
  <c r="M679" i="1"/>
  <c r="M681" i="1"/>
  <c r="M680" i="1"/>
  <c r="H55" i="9" s="1"/>
  <c r="M692" i="1"/>
  <c r="F119" i="9" s="1"/>
  <c r="M710" i="1"/>
  <c r="C215" i="9" s="1"/>
  <c r="M707" i="1"/>
  <c r="G119" i="9"/>
  <c r="M683" i="1"/>
  <c r="M689" i="1"/>
  <c r="D151" i="9"/>
  <c r="E183" i="9"/>
  <c r="I151" i="9"/>
  <c r="K715" i="1"/>
  <c r="M668" i="1"/>
  <c r="M713" i="1"/>
  <c r="M672" i="1"/>
  <c r="M673" i="1"/>
  <c r="L715" i="1"/>
  <c r="C87" i="9"/>
  <c r="I87" i="9"/>
  <c r="F183" i="9"/>
  <c r="M676" i="1"/>
  <c r="M686" i="1"/>
  <c r="M694" i="1"/>
  <c r="I119" i="9" l="1"/>
  <c r="E119" i="9"/>
  <c r="F23" i="9"/>
  <c r="G55" i="9"/>
  <c r="F151" i="9"/>
  <c r="G183" i="9"/>
  <c r="I55" i="9"/>
  <c r="D23" i="9"/>
  <c r="C183" i="9"/>
  <c r="C151" i="9"/>
  <c r="G87" i="9"/>
  <c r="G23" i="9"/>
  <c r="C23" i="9"/>
  <c r="M715" i="1"/>
  <c r="D55" i="9"/>
  <c r="C119" i="9"/>
  <c r="H119" i="9"/>
  <c r="H23" i="9"/>
  <c r="F215" i="9"/>
  <c r="D87" i="9"/>
</calcChain>
</file>

<file path=xl/sharedStrings.xml><?xml version="1.0" encoding="utf-8"?>
<sst xmlns="http://schemas.openxmlformats.org/spreadsheetml/2006/main" count="4672" uniqueCount="1280">
  <si>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</si>
  <si>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</si>
  <si>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</si>
  <si>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</si>
  <si>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</si>
  <si>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</si>
  <si>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</si>
  <si>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</si>
  <si>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</si>
  <si>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</si>
  <si>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</si>
  <si>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</si>
  <si>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</si>
  <si>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</si>
  <si>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</si>
  <si>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</si>
  <si>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</si>
  <si>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</si>
  <si>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</si>
  <si>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</si>
  <si>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</si>
  <si>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</si>
  <si>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</si>
  <si>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</si>
  <si>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</si>
  <si>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</si>
  <si>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</si>
  <si>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</si>
  <si>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</si>
  <si>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</si>
  <si>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</si>
  <si>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</si>
  <si>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</si>
  <si>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</si>
  <si>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</si>
  <si>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</si>
  <si>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</si>
  <si>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</si>
  <si>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</si>
  <si>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</si>
  <si>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</si>
  <si>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</si>
  <si>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</si>
  <si>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</si>
  <si>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</si>
  <si>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</si>
  <si>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</si>
  <si>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</si>
  <si>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</si>
  <si>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</si>
  <si>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</si>
  <si>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</si>
  <si>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</si>
  <si>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</si>
  <si>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</si>
  <si>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</si>
  <si>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</si>
  <si>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</si>
  <si>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</si>
  <si>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</si>
  <si>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</si>
  <si>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</si>
  <si>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</si>
  <si>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</si>
  <si>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</si>
  <si>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</si>
  <si>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</si>
  <si>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</si>
  <si>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</si>
  <si>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</si>
  <si>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</si>
  <si>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</si>
  <si>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</si>
  <si>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</si>
  <si>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</si>
  <si>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</si>
  <si>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</si>
  <si>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</si>
  <si>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</si>
  <si>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</si>
  <si>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</si>
  <si>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</si>
  <si>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</si>
  <si>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</si>
  <si>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</si>
  <si>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</si>
  <si>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</si>
  <si>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</si>
  <si>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</si>
  <si>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</si>
  <si>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</si>
  <si>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</si>
  <si>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</si>
  <si>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</si>
  <si>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</si>
  <si>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</si>
  <si>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</si>
  <si>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</si>
  <si>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</si>
  <si>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</si>
  <si>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</si>
  <si>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</si>
  <si>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</si>
  <si>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</si>
  <si>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</si>
  <si>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</si>
  <si>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</si>
  <si>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</si>
  <si>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</si>
  <si>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</si>
  <si>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</si>
  <si>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</si>
  <si>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</si>
  <si>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</si>
  <si>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</si>
  <si>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</si>
  <si>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</si>
  <si>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</si>
  <si>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</si>
  <si>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</si>
  <si>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</si>
  <si>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</si>
  <si>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</si>
  <si>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</si>
  <si>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</si>
  <si>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</si>
  <si>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</si>
  <si>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</si>
  <si>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</si>
  <si>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</si>
  <si>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</si>
  <si>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</si>
  <si>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</si>
  <si>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</si>
  <si>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</si>
  <si>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</si>
  <si>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</si>
  <si>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</si>
  <si>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</si>
  <si>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</si>
  <si>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</si>
  <si>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</si>
  <si>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</si>
  <si>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</si>
  <si>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</si>
  <si>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</si>
  <si>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</si>
  <si>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</si>
  <si>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</si>
  <si>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</si>
  <si>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</si>
  <si>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</si>
  <si>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</si>
  <si>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</si>
  <si>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</si>
  <si>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</si>
  <si>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</si>
  <si>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</si>
  <si>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</si>
  <si>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</si>
  <si>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</si>
  <si>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</si>
  <si>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</si>
  <si>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</si>
  <si>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</si>
  <si>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</si>
  <si>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</si>
  <si>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</si>
  <si>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</si>
  <si>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</si>
  <si>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</si>
  <si>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</si>
  <si>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</si>
  <si>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</si>
  <si>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</si>
  <si>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</si>
  <si>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</si>
  <si>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</si>
  <si>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</si>
  <si>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</si>
  <si>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</si>
  <si>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</si>
  <si>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</si>
  <si>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</si>
  <si>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</si>
  <si>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</si>
  <si>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</si>
  <si>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</si>
  <si>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</si>
  <si>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</si>
  <si>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</si>
  <si>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</si>
  <si>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</si>
  <si>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</si>
  <si>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</si>
  <si>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</si>
  <si>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</si>
  <si>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</si>
  <si>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</si>
  <si>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</si>
  <si>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</si>
  <si>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</si>
  <si>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</si>
  <si>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</si>
  <si>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</si>
  <si>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</si>
  <si>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</si>
  <si>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</si>
  <si>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</si>
  <si>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</si>
  <si>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</si>
  <si>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</si>
  <si>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</si>
  <si>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</si>
  <si>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</si>
  <si>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</si>
  <si>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</si>
  <si>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</si>
  <si>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</si>
  <si>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</si>
  <si>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</si>
  <si>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</si>
  <si>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</si>
  <si>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</si>
  <si>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</si>
  <si>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</si>
  <si>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</si>
  <si>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</si>
  <si>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</si>
  <si>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</si>
  <si>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</si>
  <si>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</si>
  <si>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</si>
  <si>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</si>
  <si>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</si>
  <si>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</si>
  <si>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</si>
  <si>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</si>
  <si>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</si>
  <si>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</si>
  <si>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</si>
  <si>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</si>
  <si>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</si>
  <si>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</si>
  <si>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</si>
  <si>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</si>
  <si>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</si>
  <si>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</si>
  <si>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</si>
  <si>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</si>
  <si>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</si>
  <si>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</si>
  <si>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</si>
  <si>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</si>
  <si>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</si>
  <si>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</si>
  <si>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</si>
  <si>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</si>
  <si>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</si>
  <si>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</si>
  <si>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</si>
  <si>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</si>
  <si>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</si>
  <si>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</si>
  <si>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</si>
  <si>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</si>
  <si>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</si>
  <si>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</si>
  <si>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</si>
  <si>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</si>
  <si>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</si>
  <si>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</si>
  <si>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</si>
  <si>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</si>
  <si>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</si>
  <si>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</si>
  <si>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</si>
  <si>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</si>
  <si>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</si>
  <si>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</si>
  <si>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</si>
  <si>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</si>
  <si>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</si>
  <si>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</si>
  <si>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</si>
  <si>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</si>
  <si>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</si>
  <si>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</si>
  <si>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</si>
  <si>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</si>
  <si>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</si>
  <si>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</si>
  <si>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</si>
  <si>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</si>
  <si>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</si>
  <si>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</si>
  <si>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</si>
  <si>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</si>
  <si>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</si>
  <si>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</si>
  <si>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</si>
  <si>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</si>
  <si>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</si>
  <si>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</si>
  <si>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</si>
  <si>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</si>
  <si>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</si>
  <si>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</si>
  <si>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</si>
  <si>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</si>
  <si>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</si>
  <si>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</si>
  <si>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</si>
  <si>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</si>
  <si>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</si>
  <si>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</si>
  <si>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</si>
  <si>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</si>
  <si>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</si>
  <si>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</si>
  <si>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</si>
  <si>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</si>
  <si>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</si>
  <si>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</si>
  <si>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</si>
  <si>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</si>
  <si>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</si>
  <si>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</si>
  <si>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</si>
  <si>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</si>
  <si>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</si>
  <si>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</si>
  <si>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</si>
  <si>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</si>
  <si>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</si>
  <si>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</si>
  <si>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</si>
  <si>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</si>
  <si>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</si>
  <si>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</si>
  <si>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</si>
  <si>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</si>
  <si>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</si>
  <si>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</si>
  <si>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</si>
  <si>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</si>
  <si>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</si>
  <si>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</si>
  <si>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</si>
  <si>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</si>
  <si>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</si>
  <si>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</si>
  <si>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</si>
  <si>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</si>
  <si>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</si>
  <si>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</si>
  <si>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</si>
  <si>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</si>
  <si>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</si>
  <si>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</si>
  <si>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</si>
  <si>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</si>
  <si>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</si>
  <si>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</si>
  <si>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</si>
  <si>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</si>
  <si>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</si>
  <si>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</si>
  <si>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</si>
  <si>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</si>
  <si>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</si>
  <si>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</si>
  <si>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</si>
  <si>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</si>
  <si>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</si>
  <si>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</si>
  <si>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</si>
  <si>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</si>
  <si>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</si>
  <si>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</si>
  <si>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</si>
  <si>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</si>
  <si>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</si>
  <si>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</si>
  <si>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</si>
  <si>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</si>
  <si>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</si>
  <si>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</si>
  <si>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</si>
  <si>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</si>
  <si>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</si>
  <si>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</si>
  <si>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</si>
  <si>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</si>
  <si>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</si>
  <si>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</si>
  <si>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</si>
  <si>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</si>
  <si>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</si>
  <si>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</si>
  <si>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</si>
  <si>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</si>
  <si>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</si>
  <si>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</si>
  <si>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</si>
  <si>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</si>
  <si>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</si>
  <si>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</si>
  <si>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</si>
  <si>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</si>
  <si>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</si>
  <si>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</si>
  <si>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</si>
  <si>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</si>
  <si>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</si>
  <si>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</si>
  <si>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</si>
  <si>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</si>
  <si>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</si>
  <si>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</si>
  <si>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</si>
  <si>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</si>
  <si>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</si>
  <si>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</si>
  <si>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</si>
  <si>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</si>
  <si>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</si>
  <si>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</si>
  <si>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</si>
  <si>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</si>
  <si>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</si>
  <si>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</si>
  <si>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</si>
  <si>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</si>
  <si>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</si>
  <si>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</si>
  <si>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</si>
  <si>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</si>
  <si>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</si>
  <si>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</si>
  <si>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</si>
  <si>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</si>
  <si>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</si>
  <si>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</si>
  <si>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</si>
  <si>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</si>
  <si>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</si>
  <si>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</si>
  <si>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</si>
  <si>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</si>
  <si>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</si>
  <si>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</si>
  <si>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</si>
  <si>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</si>
  <si>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</si>
  <si>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</si>
  <si>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</si>
  <si>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</si>
  <si>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</si>
  <si>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</si>
  <si>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</si>
  <si>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</si>
  <si>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</si>
  <si>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</si>
  <si>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</si>
  <si>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</si>
  <si>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</si>
  <si>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</si>
  <si>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</si>
  <si>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</si>
  <si>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</si>
  <si>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</si>
  <si>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</si>
  <si>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</si>
  <si>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</si>
  <si>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</si>
  <si>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</si>
  <si>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</si>
  <si>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</si>
  <si>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</si>
  <si>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</si>
  <si>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</si>
  <si>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</si>
  <si>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</si>
  <si>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</si>
  <si>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</si>
  <si>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</si>
  <si>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</si>
  <si>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</si>
  <si>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</si>
  <si>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</si>
  <si>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</si>
  <si>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</si>
  <si>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</si>
  <si>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</si>
  <si>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</si>
  <si>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</si>
  <si>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</si>
  <si>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</si>
  <si>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</si>
  <si>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</si>
  <si>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</si>
  <si>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</si>
  <si>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</si>
  <si>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</si>
  <si>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</si>
  <si>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</si>
  <si>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</si>
  <si>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</si>
  <si>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</si>
  <si>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</si>
  <si>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</si>
  <si>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</si>
  <si>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</si>
  <si>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</si>
  <si>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</si>
  <si>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</si>
  <si>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</si>
  <si>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</si>
  <si>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</si>
  <si>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</si>
  <si>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</si>
  <si>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</si>
  <si>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</si>
  <si>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</si>
  <si>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</si>
  <si>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</si>
  <si>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</si>
  <si>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</si>
  <si>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</si>
  <si>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</si>
  <si>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</si>
  <si>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</si>
  <si>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</si>
  <si>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</si>
  <si>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</si>
  <si>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</si>
  <si>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</si>
  <si>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</si>
  <si>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</si>
  <si>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</si>
  <si>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</si>
  <si>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</si>
  <si>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</si>
  <si>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</si>
  <si>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</si>
  <si>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</si>
  <si>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</si>
  <si>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</si>
  <si>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</si>
  <si>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</si>
  <si>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</si>
  <si>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</si>
  <si>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</si>
  <si>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</si>
  <si>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</si>
  <si>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</si>
  <si>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</si>
  <si>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</si>
  <si>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</si>
  <si>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</si>
  <si>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</si>
  <si>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</si>
  <si>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</si>
  <si>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</si>
  <si>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</si>
  <si>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</si>
  <si>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</si>
  <si>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</si>
  <si>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</si>
  <si>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</si>
  <si>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</si>
  <si>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</si>
  <si>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</si>
  <si>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</si>
  <si>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</si>
  <si>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</si>
  <si>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</si>
  <si>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</si>
  <si>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</si>
  <si>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</si>
  <si>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</si>
  <si>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</si>
  <si>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</si>
  <si>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</si>
  <si>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</si>
  <si>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</si>
  <si>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</si>
  <si>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</si>
  <si>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</si>
  <si>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</si>
  <si>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</si>
  <si>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</si>
  <si>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</si>
  <si>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</si>
  <si>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</si>
  <si>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</si>
  <si>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</si>
  <si>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</si>
  <si>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</si>
  <si>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</si>
  <si>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</si>
  <si>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</si>
  <si>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</si>
  <si>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</si>
  <si>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</si>
  <si>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</si>
  <si>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</si>
  <si>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</si>
  <si>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</si>
  <si>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</si>
  <si>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</si>
  <si>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</si>
  <si>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</si>
  <si>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</si>
  <si>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</si>
  <si>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</si>
  <si>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</si>
  <si>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</si>
  <si>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</si>
  <si>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</si>
  <si>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</si>
  <si>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</si>
  <si>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</si>
  <si>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</si>
  <si>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</si>
  <si>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</si>
  <si>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</si>
  <si>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</si>
  <si>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</si>
  <si>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</si>
  <si>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</si>
  <si>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</si>
  <si>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</si>
  <si>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</si>
  <si>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</si>
  <si>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</si>
  <si>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</si>
  <si>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</si>
  <si>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</si>
  <si>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</si>
  <si>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</si>
  <si>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</si>
  <si>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</si>
  <si>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</si>
  <si>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</si>
  <si>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</si>
  <si>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</si>
  <si>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</si>
  <si>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</si>
  <si>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</si>
  <si>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</si>
  <si>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</si>
  <si>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</si>
  <si>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</si>
  <si>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</si>
  <si>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</si>
  <si>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</si>
  <si>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</si>
  <si>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</si>
  <si>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</si>
  <si>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</si>
  <si>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</si>
  <si>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</si>
  <si>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</si>
  <si>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</si>
  <si>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</si>
  <si>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</si>
  <si>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</si>
  <si>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</si>
  <si>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</si>
  <si>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</si>
  <si>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</si>
  <si>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</si>
  <si>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</si>
  <si>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</si>
  <si>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</si>
  <si>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</si>
  <si>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</si>
  <si>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</si>
  <si>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</si>
  <si>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</si>
  <si>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</si>
  <si>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</si>
  <si>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</si>
  <si>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</si>
  <si>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</si>
  <si>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</si>
  <si>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</si>
  <si>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</si>
  <si>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</si>
  <si>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</si>
  <si>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</si>
  <si>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</si>
  <si>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</si>
  <si>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</si>
  <si>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</si>
  <si>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</si>
  <si>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</si>
  <si>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</si>
  <si>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</si>
  <si>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</si>
  <si>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</si>
  <si>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</si>
  <si>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</si>
  <si>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</si>
  <si>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</si>
  <si>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</si>
  <si>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</si>
  <si>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</si>
  <si>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</si>
  <si>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</si>
  <si>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</si>
  <si>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</si>
  <si>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</si>
  <si>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</si>
  <si>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</si>
  <si>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</si>
  <si>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</si>
  <si>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</si>
  <si>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</si>
  <si>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</si>
  <si>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</si>
  <si>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</si>
  <si>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</si>
  <si>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</si>
  <si>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</si>
  <si>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</si>
  <si>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</si>
  <si>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</si>
  <si>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</si>
  <si>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</si>
  <si>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</si>
  <si>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</si>
  <si>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</si>
  <si>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</si>
  <si>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</si>
  <si>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</si>
  <si>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</si>
  <si>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</si>
  <si>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</si>
  <si>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</si>
  <si>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</si>
  <si>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</si>
  <si>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</si>
  <si>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</si>
  <si>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</si>
  <si>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</si>
  <si>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</si>
  <si>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</si>
  <si>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</si>
  <si>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</si>
  <si>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</si>
  <si>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</si>
  <si>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</si>
  <si>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</si>
  <si>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</si>
  <si>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</si>
  <si>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</si>
  <si>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</si>
  <si>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</si>
  <si>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</si>
  <si>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</si>
  <si>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</si>
  <si>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</si>
  <si>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</si>
  <si>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</si>
  <si>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</si>
  <si>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</si>
  <si>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</si>
  <si>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</si>
  <si>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</si>
  <si>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</si>
  <si>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</si>
  <si>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</si>
  <si>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</si>
  <si>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</si>
  <si>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</si>
  <si>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</si>
  <si>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</si>
  <si>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</si>
  <si>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</si>
  <si>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</si>
  <si>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</si>
  <si>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</si>
  <si>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</si>
  <si>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</si>
  <si>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</si>
  <si>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</si>
  <si>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</si>
  <si>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</si>
  <si>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</si>
  <si>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</si>
  <si>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</si>
  <si>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</si>
  <si>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</si>
  <si>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</si>
  <si>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</si>
  <si>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</si>
  <si>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</si>
  <si>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</si>
  <si>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</si>
  <si>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</si>
  <si>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</si>
  <si>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</si>
  <si>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</si>
  <si>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</si>
  <si>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</si>
  <si>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</si>
  <si>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</si>
  <si>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</si>
  <si>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</si>
  <si>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</si>
  <si>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</si>
  <si>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</si>
  <si>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</si>
  <si>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</si>
  <si>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</si>
  <si>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</si>
  <si>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</si>
  <si>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</si>
  <si>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</si>
  <si>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</si>
  <si>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</si>
  <si>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</si>
  <si>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</si>
  <si>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</si>
  <si>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</si>
  <si>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</si>
  <si>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</si>
  <si>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</si>
  <si>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</si>
  <si>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</si>
  <si>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</si>
  <si>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</si>
  <si>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</si>
  <si>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</si>
  <si>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</si>
  <si>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</si>
  <si>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</si>
  <si>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</si>
  <si>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</si>
  <si>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</si>
  <si>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</si>
  <si>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</si>
  <si>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</si>
  <si>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</si>
  <si>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</si>
  <si>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</si>
  <si>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</si>
  <si>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</si>
  <si>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</si>
  <si>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</si>
  <si>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</si>
  <si>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</si>
  <si>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</si>
  <si>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</si>
  <si>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</si>
  <si>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</si>
  <si>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</si>
  <si>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</si>
  <si>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</si>
  <si>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</si>
  <si>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</si>
  <si>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</si>
  <si>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</si>
  <si>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</si>
  <si>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</si>
  <si>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</si>
  <si>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</si>
  <si>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</si>
  <si>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</si>
  <si>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</si>
  <si>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</si>
  <si>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</si>
  <si>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</si>
  <si>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</si>
  <si>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</si>
  <si>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</si>
  <si>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</si>
  <si>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</si>
  <si>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</si>
  <si>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</si>
  <si>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</si>
  <si>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</si>
  <si>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</si>
  <si>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</si>
  <si>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</si>
  <si>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</si>
  <si>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</si>
  <si>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</si>
  <si>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</si>
  <si>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</si>
  <si>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</si>
  <si>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</si>
  <si>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</si>
  <si>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</si>
  <si>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</si>
  <si>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</si>
  <si>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</si>
  <si>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</si>
  <si>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</si>
  <si>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</si>
  <si>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</si>
  <si>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</si>
  <si>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</si>
  <si>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</si>
  <si>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</si>
  <si>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</si>
  <si>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</si>
  <si>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</si>
  <si>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</si>
  <si>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</si>
  <si>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</si>
  <si>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</si>
  <si>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</si>
  <si>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</si>
  <si>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</si>
  <si>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</si>
  <si>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</si>
  <si>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</si>
  <si>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</si>
  <si>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</si>
  <si>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</si>
  <si>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</si>
  <si>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</si>
  <si>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</si>
  <si>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</si>
  <si>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</si>
  <si>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</si>
  <si>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</si>
  <si>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</si>
  <si>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</si>
  <si>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</si>
  <si>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</si>
  <si>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</si>
  <si>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</si>
  <si>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</si>
  <si>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</si>
  <si>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</si>
  <si>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</si>
  <si>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</si>
  <si>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</si>
  <si>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</si>
  <si>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</si>
  <si>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</si>
  <si>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</si>
  <si>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</si>
  <si>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</si>
  <si>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</si>
  <si>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</si>
  <si>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</si>
  <si>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</si>
  <si>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</si>
  <si>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</si>
  <si>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</si>
  <si>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</si>
  <si>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</si>
  <si>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</si>
  <si>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</si>
  <si>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</si>
  <si>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</si>
  <si>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</si>
  <si>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</si>
  <si>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</si>
  <si>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</si>
  <si>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</si>
  <si>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</si>
  <si>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</si>
  <si>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</si>
  <si>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</si>
  <si>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</si>
  <si>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</si>
  <si>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</si>
  <si>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</si>
  <si>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</si>
  <si>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</si>
  <si>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</si>
  <si>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</si>
  <si>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</si>
  <si>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</si>
  <si>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</si>
  <si>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</si>
  <si>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</si>
  <si>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</si>
  <si>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</si>
  <si>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</si>
  <si>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</si>
  <si>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</si>
  <si>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</si>
  <si>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</si>
  <si>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</si>
  <si>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</si>
  <si>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</si>
  <si>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</si>
  <si>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</si>
  <si>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</si>
  <si>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</si>
  <si>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</si>
  <si>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</si>
  <si>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</si>
  <si>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</si>
  <si>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</si>
  <si>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</si>
  <si>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</si>
  <si>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</si>
  <si>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</si>
  <si>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</si>
  <si>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</si>
  <si>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</si>
  <si>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</si>
  <si>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</si>
  <si>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</si>
  <si>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</si>
  <si>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</si>
  <si>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</si>
  <si>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</si>
  <si>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</si>
  <si>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</si>
  <si>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</si>
  <si>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</si>
  <si>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</si>
  <si>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</si>
  <si>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</si>
  <si>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</si>
  <si>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</si>
  <si>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</si>
  <si>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</si>
  <si>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</si>
  <si>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</si>
  <si>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</si>
  <si>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</si>
  <si>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</si>
  <si>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</si>
  <si>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</si>
  <si>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</si>
  <si>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</si>
  <si>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</si>
  <si>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</si>
  <si>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</si>
  <si>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</si>
  <si>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</si>
  <si>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</si>
  <si>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</si>
  <si>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</si>
  <si>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</si>
  <si>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</si>
  <si>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</si>
  <si>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</si>
  <si>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</si>
  <si>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</si>
  <si>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</si>
  <si>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</si>
  <si>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</si>
  <si>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</si>
  <si>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</si>
  <si>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</si>
  <si>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</si>
  <si>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</si>
  <si>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</si>
  <si>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</si>
  <si>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</si>
  <si>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</si>
  <si>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</si>
  <si>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</si>
  <si>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</si>
  <si>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</si>
  <si>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</si>
  <si>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</si>
  <si>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</si>
  <si>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</si>
  <si>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</si>
  <si>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</si>
  <si>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</si>
  <si>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</si>
  <si>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</si>
  <si>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</si>
  <si>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</si>
  <si>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</si>
  <si>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</si>
  <si>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</si>
  <si>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</si>
  <si>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</si>
  <si>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</si>
  <si>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</si>
  <si>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</si>
  <si>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</si>
  <si>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</si>
  <si>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</si>
  <si>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</si>
  <si>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</si>
  <si>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</si>
  <si>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</si>
  <si>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</si>
  <si>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</si>
  <si>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</si>
  <si>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</si>
  <si>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</si>
  <si>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</si>
  <si>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</si>
  <si>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</si>
  <si>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</si>
  <si>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</si>
  <si>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</si>
  <si>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</si>
  <si>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</si>
  <si>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</si>
  <si>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</si>
  <si>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</si>
  <si>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</si>
  <si>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</si>
  <si>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</si>
  <si>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</si>
  <si>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</si>
  <si>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</si>
  <si>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</si>
  <si>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</si>
  <si>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</si>
  <si>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</si>
  <si>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</si>
  <si>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</si>
  <si>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</si>
  <si>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</si>
  <si>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</si>
  <si>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</si>
  <si>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</si>
  <si>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</si>
  <si>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</si>
  <si>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</si>
  <si>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</si>
  <si>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</si>
  <si>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</si>
  <si>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</si>
  <si>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</si>
  <si>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</si>
  <si>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</si>
  <si>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</si>
  <si>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</si>
  <si>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</si>
  <si>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</si>
  <si>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</si>
  <si>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</si>
  <si>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</si>
  <si>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</si>
  <si>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</si>
  <si>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</si>
  <si>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</si>
  <si>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</si>
  <si>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</si>
  <si>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</si>
  <si>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</si>
  <si>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</si>
  <si>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</si>
  <si>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</si>
  <si>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</si>
  <si>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</si>
  <si>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</si>
  <si>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</si>
  <si>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</si>
  <si>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</si>
  <si>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</si>
  <si>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</si>
  <si>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</si>
  <si>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</si>
  <si>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</si>
  <si>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</si>
  <si>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</si>
  <si>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</si>
  <si>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</si>
  <si>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</si>
  <si>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</si>
  <si>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</si>
  <si>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</si>
  <si>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</si>
  <si>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</si>
  <si>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</si>
  <si>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</si>
  <si>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</si>
  <si>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</si>
  <si>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</si>
  <si>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</si>
  <si>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</si>
  <si>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</si>
  <si>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</si>
  <si>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</si>
  <si>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</si>
  <si>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</si>
  <si>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</si>
  <si>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</si>
  <si>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</si>
  <si>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</si>
  <si>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</si>
  <si>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</si>
  <si>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</si>
  <si>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</si>
  <si>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</si>
  <si>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</si>
  <si>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</si>
  <si>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</si>
  <si>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</si>
  <si>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</si>
  <si>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</si>
  <si>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</si>
  <si>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</si>
  <si>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</si>
  <si>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</si>
  <si>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</si>
  <si>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</si>
  <si>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</si>
  <si>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</si>
  <si>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</si>
  <si>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</si>
  <si>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</si>
  <si>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</si>
  <si>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</si>
  <si>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</si>
  <si>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</si>
  <si>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</si>
  <si>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</si>
  <si>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</si>
  <si>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</si>
  <si>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</si>
  <si>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</si>
  <si>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</si>
  <si>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</si>
  <si>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</si>
  <si>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</si>
  <si>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</si>
  <si>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</si>
  <si>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</si>
  <si>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</si>
  <si>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</si>
  <si>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</si>
  <si>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</si>
  <si>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</si>
  <si>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</si>
  <si>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</si>
  <si>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</si>
  <si>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</si>
  <si>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</si>
  <si>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</si>
  <si>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</si>
  <si>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</si>
  <si>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</si>
  <si>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</si>
  <si>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</si>
  <si>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</si>
  <si>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</si>
  <si>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</si>
  <si>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</si>
  <si>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</si>
  <si>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</si>
  <si>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</si>
  <si>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</si>
  <si>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</si>
  <si>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</si>
  <si>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</si>
  <si>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</si>
  <si>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</si>
  <si>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</si>
  <si>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</si>
  <si>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</si>
  <si>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</si>
  <si>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</si>
  <si>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</si>
  <si>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</si>
  <si>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12/31/2018</t>
  </si>
  <si>
    <t>2016</t>
  </si>
  <si>
    <t>197</t>
  </si>
  <si>
    <t>Capital Medical Center</t>
  </si>
  <si>
    <t>3900 Capital Mall Drive SW</t>
  </si>
  <si>
    <t>Olympia, WA 98502</t>
  </si>
  <si>
    <t>Thurston</t>
  </si>
  <si>
    <t>Mark Turner</t>
  </si>
  <si>
    <t>Jennifer Weldon</t>
  </si>
  <si>
    <t>Colleen Gillespie</t>
  </si>
  <si>
    <t>360-956-2597</t>
  </si>
  <si>
    <t>360-956-3540</t>
  </si>
  <si>
    <t>Hiring of NNPs to support nursery call. Previously a pro fee to pediatricians.</t>
  </si>
  <si>
    <t>Count last year included patient and non-patient meals.  This year only patient meals are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</si>
</sst>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2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8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0" fontId="7" fillId="0" borderId="0"/>
    <xf numFmtId="37" fontId="16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37" fontId="16" fillId="0" borderId="0"/>
    <xf numFmtId="0" fontId="1" fillId="0" borderId="0"/>
    <xf numFmtId="37" fontId="16" fillId="0" borderId="0"/>
    <xf numFmtId="43" fontId="3" fillId="0" borderId="0" applyFont="0" applyFill="0" applyBorder="0" applyAlignment="0" applyProtection="0"/>
    <xf numFmtId="37" fontId="8" fillId="0" borderId="0"/>
  </cellStyleXfs>
  <cellXfs count="292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5" fillId="8" borderId="0" xfId="0" quotePrefix="1" applyFont="1" applyFill="1" applyAlignment="1" applyProtection="1">
      <alignment horizontal="left"/>
    </xf>
    <xf numFmtId="37" fontId="11" fillId="8" borderId="1" xfId="0" quotePrefix="1" applyNumberFormat="1" applyFont="1" applyFill="1" applyBorder="1" applyProtection="1">
      <protection locked="0"/>
    </xf>
    <xf numFmtId="37" fontId="11" fillId="8" borderId="1" xfId="1" quotePrefix="1" applyNumberFormat="1" applyFont="1" applyFill="1" applyBorder="1" applyProtection="1">
      <protection locked="0"/>
    </xf>
    <xf numFmtId="37" fontId="5" fillId="8" borderId="0" xfId="0" quotePrefix="1" applyNumberFormat="1" applyFont="1" applyFill="1" applyAlignment="1" applyProtection="1">
      <alignment horizontal="fill"/>
    </xf>
    <xf numFmtId="37" fontId="5" fillId="8" borderId="0" xfId="0" applyNumberFormat="1" applyFont="1" applyFill="1" applyProtection="1"/>
    <xf numFmtId="37" fontId="11" fillId="3" borderId="0" xfId="0" applyFont="1" applyFill="1" applyAlignment="1" applyProtection="1">
      <alignment horizontal="center" vertical="center"/>
    </xf>
  </cellXfs>
  <cellStyles count="32">
    <cellStyle name="Comma" xfId="1" builtinId="3"/>
    <cellStyle name="Comma 10" xfId="30"/>
    <cellStyle name="Comma 2" xfId="26"/>
    <cellStyle name="Hyperlink" xfId="2" builtinId="8"/>
    <cellStyle name="Normal" xfId="0" builtinId="0"/>
    <cellStyle name="Normal 10" xfId="28"/>
    <cellStyle name="Normal 10 2" xfId="25"/>
    <cellStyle name="Normal 10 2 3" xfId="4"/>
    <cellStyle name="Normal 11" xfId="16"/>
    <cellStyle name="Normal 158" xfId="15"/>
    <cellStyle name="Normal 163" xfId="21"/>
    <cellStyle name="Normal 168" xfId="13"/>
    <cellStyle name="Normal 17" xfId="31"/>
    <cellStyle name="Normal 170" xfId="14"/>
    <cellStyle name="Normal 175" xfId="6"/>
    <cellStyle name="Normal 2" xfId="23"/>
    <cellStyle name="Normal 2 3 2" xfId="27"/>
    <cellStyle name="Normal 213" xfId="20"/>
    <cellStyle name="Normal 220" xfId="7"/>
    <cellStyle name="Normal 240" xfId="8"/>
    <cellStyle name="Normal 27" xfId="29"/>
    <cellStyle name="Normal 277" xfId="9"/>
    <cellStyle name="Normal 288" xfId="10"/>
    <cellStyle name="Normal 326" xfId="11"/>
    <cellStyle name="Normal 346" xfId="12"/>
    <cellStyle name="Normal 4" xfId="24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6247413</v>
      </c>
      <c r="C47" s="184">
        <f>356689+13194</f>
        <v>369883</v>
      </c>
      <c r="D47" s="184"/>
      <c r="E47" s="184">
        <v>276096</v>
      </c>
      <c r="F47" s="184"/>
      <c r="G47" s="184"/>
      <c r="H47" s="184"/>
      <c r="I47" s="184"/>
      <c r="J47" s="184">
        <v>17962</v>
      </c>
      <c r="K47" s="184"/>
      <c r="L47" s="184"/>
      <c r="M47" s="184"/>
      <c r="N47" s="184">
        <v>22351</v>
      </c>
      <c r="O47" s="184">
        <v>165598</v>
      </c>
      <c r="P47" s="184">
        <v>169390</v>
      </c>
      <c r="Q47" s="184">
        <v>68074</v>
      </c>
      <c r="R47" s="184">
        <v>11811</v>
      </c>
      <c r="S47" s="184">
        <v>23191</v>
      </c>
      <c r="T47" s="184"/>
      <c r="U47" s="184">
        <v>106267</v>
      </c>
      <c r="V47" s="184"/>
      <c r="W47" s="184">
        <v>12144</v>
      </c>
      <c r="X47" s="184">
        <f>13527+23214</f>
        <v>36741</v>
      </c>
      <c r="Y47" s="184">
        <f>16952+65753+33737+12078+75388+4319</f>
        <v>208227</v>
      </c>
      <c r="Z47" s="184">
        <v>35661</v>
      </c>
      <c r="AA47" s="184">
        <v>12674</v>
      </c>
      <c r="AB47" s="184">
        <f>86889+8271</f>
        <v>95160</v>
      </c>
      <c r="AC47" s="184">
        <f>16234+47700</f>
        <v>63934</v>
      </c>
      <c r="AD47" s="184"/>
      <c r="AE47" s="184">
        <v>50999</v>
      </c>
      <c r="AF47" s="184"/>
      <c r="AG47" s="184">
        <v>186451</v>
      </c>
      <c r="AH47" s="184"/>
      <c r="AI47" s="184">
        <f>120905+23064</f>
        <v>143969</v>
      </c>
      <c r="AJ47" s="184"/>
      <c r="AK47" s="184">
        <v>7424</v>
      </c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f>17375+61+10072</f>
        <v>27508</v>
      </c>
      <c r="AW47" s="184"/>
      <c r="AX47" s="184"/>
      <c r="AY47" s="184">
        <v>62216</v>
      </c>
      <c r="AZ47" s="184"/>
      <c r="BA47" s="184"/>
      <c r="BB47" s="184">
        <f>8044+44279</f>
        <v>52323</v>
      </c>
      <c r="BC47" s="184"/>
      <c r="BD47" s="184">
        <v>24816</v>
      </c>
      <c r="BE47" s="184">
        <f>34687+16591</f>
        <v>51278</v>
      </c>
      <c r="BF47" s="184">
        <v>43051</v>
      </c>
      <c r="BG47" s="184">
        <v>6177</v>
      </c>
      <c r="BH47" s="184">
        <v>29554</v>
      </c>
      <c r="BI47" s="184"/>
      <c r="BJ47" s="184">
        <v>23173</v>
      </c>
      <c r="BK47" s="184"/>
      <c r="BL47" s="184">
        <f>55708+9728</f>
        <v>65436</v>
      </c>
      <c r="BM47" s="184"/>
      <c r="BN47" s="184">
        <f>46770+5480+359</f>
        <v>52609</v>
      </c>
      <c r="BO47" s="184"/>
      <c r="BP47" s="184">
        <v>3333</v>
      </c>
      <c r="BQ47" s="184"/>
      <c r="BR47" s="184">
        <f>17150+4742+3554752</f>
        <v>3576644</v>
      </c>
      <c r="BS47" s="184"/>
      <c r="BT47" s="184"/>
      <c r="BU47" s="184"/>
      <c r="BV47" s="184">
        <v>44776</v>
      </c>
      <c r="BW47" s="184">
        <v>7853</v>
      </c>
      <c r="BX47" s="184">
        <v>20859</v>
      </c>
      <c r="BY47" s="184">
        <v>58331</v>
      </c>
      <c r="BZ47" s="184"/>
      <c r="CA47" s="184">
        <v>13467</v>
      </c>
      <c r="CB47" s="184"/>
      <c r="CC47" s="184"/>
      <c r="CD47" s="195"/>
      <c r="CE47" s="195">
        <f>SUM(C47:CC47)</f>
        <v>6247411</v>
      </c>
    </row>
    <row r="48" spans="1:83" ht="12.6" customHeight="1" x14ac:dyDescent="0.25">
      <c r="A48" s="175" t="s">
        <v>205</v>
      </c>
      <c r="B48" s="183">
        <v>0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6247413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0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9443867</v>
      </c>
      <c r="C52" s="195">
        <f>ROUND((B52/(CE76+CF76)*C76),0)</f>
        <v>511294</v>
      </c>
      <c r="D52" s="195">
        <f>ROUND((B52/(CE76+CF76)*D76),0)</f>
        <v>0</v>
      </c>
      <c r="E52" s="195">
        <f>ROUND((B52/(CE76+CF76)*E76),0)</f>
        <v>726339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43337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1370927</v>
      </c>
      <c r="P52" s="195">
        <f>ROUND((B52/(CE76+CF76)*P76),0)</f>
        <v>137305</v>
      </c>
      <c r="Q52" s="195">
        <f>ROUND((B52/(CE76+CF76)*Q76),0)</f>
        <v>174565</v>
      </c>
      <c r="R52" s="195">
        <f>ROUND((B52/(CE76+CF76)*R76),0)</f>
        <v>20848</v>
      </c>
      <c r="S52" s="195">
        <f>ROUND((B52/(CE76+CF76)*S76),0)</f>
        <v>175476</v>
      </c>
      <c r="T52" s="195">
        <f>ROUND((B52/(CE76+CF76)*T76),0)</f>
        <v>0</v>
      </c>
      <c r="U52" s="195">
        <f>ROUND((B52/(CE76+CF76)*U76),0)</f>
        <v>166784</v>
      </c>
      <c r="V52" s="195">
        <f>ROUND((B52/(CE76+CF76)*V76),0)</f>
        <v>0</v>
      </c>
      <c r="W52" s="195">
        <f>ROUND((B52/(CE76+CF76)*W76),0)</f>
        <v>53609</v>
      </c>
      <c r="X52" s="195">
        <f>ROUND((B52/(CE76+CF76)*X76),0)</f>
        <v>363717</v>
      </c>
      <c r="Y52" s="195">
        <f>ROUND((B52/(CE76+CF76)*Y76),0)</f>
        <v>854649</v>
      </c>
      <c r="Z52" s="195">
        <f>ROUND((B52/(CE76+CF76)*Z76),0)</f>
        <v>305974</v>
      </c>
      <c r="AA52" s="195">
        <f>ROUND((B52/(CE76+CF76)*AA76),0)</f>
        <v>22124</v>
      </c>
      <c r="AB52" s="195">
        <f>ROUND((B52/(CE76+CF76)*AB76),0)</f>
        <v>76463</v>
      </c>
      <c r="AC52" s="195">
        <f>ROUND((B52/(CE76+CF76)*AC76),0)</f>
        <v>257410</v>
      </c>
      <c r="AD52" s="195">
        <f>ROUND((B52/(CE76+CF76)*AD76),0)</f>
        <v>0</v>
      </c>
      <c r="AE52" s="195">
        <f>ROUND((B52/(CE76+CF76)*AE76),0)</f>
        <v>256073</v>
      </c>
      <c r="AF52" s="195">
        <f>ROUND((B52/(CE76+CF76)*AF76),0)</f>
        <v>0</v>
      </c>
      <c r="AG52" s="195">
        <f>ROUND((B52/(CE76+CF76)*AG76),0)</f>
        <v>258200</v>
      </c>
      <c r="AH52" s="195">
        <f>ROUND((B52/(CE76+CF76)*AH76),0)</f>
        <v>0</v>
      </c>
      <c r="AI52" s="195">
        <f>ROUND((B52/(CE76+CF76)*AI76),0)</f>
        <v>302631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333022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44978</v>
      </c>
      <c r="BC52" s="195">
        <f>ROUND((B52/(CE76+CF76)*BC76),0)</f>
        <v>0</v>
      </c>
      <c r="BD52" s="195">
        <f>ROUND((B52/(CE76+CF76)*BD76),0)</f>
        <v>155905</v>
      </c>
      <c r="BE52" s="195">
        <f>ROUND((B52/(CE76+CF76)*BE76),0)</f>
        <v>1643411</v>
      </c>
      <c r="BF52" s="195">
        <f>ROUND((B52/(CE76+CF76)*BF76),0)</f>
        <v>139129</v>
      </c>
      <c r="BG52" s="195">
        <f>ROUND((B52/(CE76+CF76)*BG76),0)</f>
        <v>20483</v>
      </c>
      <c r="BH52" s="195">
        <f>ROUND((B52/(CE76+CF76)*BH76),0)</f>
        <v>45708</v>
      </c>
      <c r="BI52" s="195">
        <f>ROUND((B52/(CE76+CF76)*BI76),0)</f>
        <v>0</v>
      </c>
      <c r="BJ52" s="195">
        <f>ROUND((B52/(CE76+CF76)*BJ76),0)</f>
        <v>99378</v>
      </c>
      <c r="BK52" s="195">
        <f>ROUND((B52/(CE76+CF76)*BK76),0)</f>
        <v>0</v>
      </c>
      <c r="BL52" s="195">
        <f>ROUND((B52/(CE76+CF76)*BL76),0)</f>
        <v>109468</v>
      </c>
      <c r="BM52" s="195">
        <f>ROUND((B52/(CE76+CF76)*BM76),0)</f>
        <v>0</v>
      </c>
      <c r="BN52" s="195">
        <f>ROUND((B52/(CE76+CF76)*BN76),0)</f>
        <v>235528</v>
      </c>
      <c r="BO52" s="195">
        <f>ROUND((B52/(CE76+CF76)*BO76),0)</f>
        <v>0</v>
      </c>
      <c r="BP52" s="195">
        <f>ROUND((B52/(CE76+CF76)*BP76),0)</f>
        <v>44310</v>
      </c>
      <c r="BQ52" s="195">
        <f>ROUND((B52/(CE76+CF76)*BQ76),0)</f>
        <v>0</v>
      </c>
      <c r="BR52" s="195">
        <f>ROUND((B52/(CE76+CF76)*BR76),0)</f>
        <v>61572</v>
      </c>
      <c r="BS52" s="195">
        <f>ROUND((B52/(CE76+CF76)*BS76),0)</f>
        <v>17384</v>
      </c>
      <c r="BT52" s="195">
        <f>ROUND((B52/(CE76+CF76)*BT76),0)</f>
        <v>0</v>
      </c>
      <c r="BU52" s="195">
        <f>ROUND((B52/(CE76+CF76)*BU76),0)</f>
        <v>203922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5045</v>
      </c>
      <c r="BY52" s="195">
        <f>ROUND((B52/(CE76+CF76)*BY76),0)</f>
        <v>70810</v>
      </c>
      <c r="BZ52" s="195">
        <f>ROUND((B52/(CE76+CF76)*BZ76),0)</f>
        <v>0</v>
      </c>
      <c r="CA52" s="195">
        <f>ROUND((B52/(CE76+CF76)*CA76),0)</f>
        <v>136090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9443868</v>
      </c>
    </row>
    <row r="53" spans="1:84" ht="12.6" customHeight="1" x14ac:dyDescent="0.25">
      <c r="A53" s="175" t="s">
        <v>206</v>
      </c>
      <c r="B53" s="195">
        <f>B51+B52</f>
        <v>9443867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6656</v>
      </c>
      <c r="D59" s="184"/>
      <c r="E59" s="184">
        <v>8085</v>
      </c>
      <c r="F59" s="184"/>
      <c r="G59" s="184"/>
      <c r="H59" s="184"/>
      <c r="I59" s="184"/>
      <c r="J59" s="184">
        <v>985</v>
      </c>
      <c r="K59" s="184"/>
      <c r="L59" s="184"/>
      <c r="M59" s="184"/>
      <c r="N59" s="184"/>
      <c r="O59" s="184">
        <v>1288</v>
      </c>
      <c r="P59" s="185">
        <v>478339</v>
      </c>
      <c r="Q59" s="185">
        <v>354162</v>
      </c>
      <c r="R59" s="185">
        <v>531120</v>
      </c>
      <c r="S59" s="248"/>
      <c r="T59" s="248"/>
      <c r="U59" s="224">
        <f>246452+9000+2315</f>
        <v>257767</v>
      </c>
      <c r="V59" s="185"/>
      <c r="W59" s="185">
        <v>791</v>
      </c>
      <c r="X59" s="185">
        <f>6836+10157</f>
        <v>16993</v>
      </c>
      <c r="Y59" s="185">
        <f>5823+13763+3533+1139+1349+797+4076</f>
        <v>30480</v>
      </c>
      <c r="Z59" s="185">
        <v>13549</v>
      </c>
      <c r="AA59" s="185">
        <v>2549</v>
      </c>
      <c r="AB59" s="248"/>
      <c r="AC59" s="185">
        <f>1954+17538</f>
        <v>19492</v>
      </c>
      <c r="AD59" s="185"/>
      <c r="AE59" s="185">
        <v>29730</v>
      </c>
      <c r="AF59" s="185"/>
      <c r="AG59" s="185">
        <v>19607</v>
      </c>
      <c r="AH59" s="185"/>
      <c r="AI59" s="185">
        <f>646+8419</f>
        <v>9065</v>
      </c>
      <c r="AJ59" s="185"/>
      <c r="AK59" s="185">
        <v>4992</v>
      </c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49136</v>
      </c>
      <c r="AZ59" s="185"/>
      <c r="BA59" s="248"/>
      <c r="BB59" s="248"/>
      <c r="BC59" s="248"/>
      <c r="BD59" s="248"/>
      <c r="BE59" s="185">
        <v>155374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f>52.74+4.39</f>
        <v>57.13</v>
      </c>
      <c r="D60" s="187"/>
      <c r="E60" s="187">
        <v>46.07</v>
      </c>
      <c r="F60" s="223"/>
      <c r="G60" s="187"/>
      <c r="H60" s="187"/>
      <c r="I60" s="187"/>
      <c r="J60" s="223">
        <v>1.61</v>
      </c>
      <c r="K60" s="187"/>
      <c r="L60" s="187"/>
      <c r="M60" s="187"/>
      <c r="N60" s="187">
        <v>3.29</v>
      </c>
      <c r="O60" s="187">
        <v>21.76</v>
      </c>
      <c r="P60" s="221">
        <v>30.67</v>
      </c>
      <c r="Q60" s="221">
        <v>7.14</v>
      </c>
      <c r="R60" s="221">
        <v>1.89</v>
      </c>
      <c r="S60" s="221">
        <v>8.77</v>
      </c>
      <c r="T60" s="221"/>
      <c r="U60" s="221">
        <v>20.079999999999998</v>
      </c>
      <c r="V60" s="221"/>
      <c r="W60" s="221">
        <v>1.38</v>
      </c>
      <c r="X60" s="221">
        <f>1.93+3.49</f>
        <v>5.42</v>
      </c>
      <c r="Y60" s="221">
        <f>3.12+3.89+9.24+1.44+10.06+0.87-0.01</f>
        <v>28.61</v>
      </c>
      <c r="Z60" s="221">
        <v>5.15</v>
      </c>
      <c r="AA60" s="221">
        <v>1.24</v>
      </c>
      <c r="AB60" s="221">
        <f>11.46+0.96</f>
        <v>12.420000000000002</v>
      </c>
      <c r="AC60" s="221">
        <f>1.77+7.93</f>
        <v>9.6999999999999993</v>
      </c>
      <c r="AD60" s="221"/>
      <c r="AE60" s="221">
        <v>9.2799999999999994</v>
      </c>
      <c r="AF60" s="221"/>
      <c r="AG60" s="221">
        <v>24.87</v>
      </c>
      <c r="AH60" s="221"/>
      <c r="AI60" s="221">
        <f>19.96+2.62</f>
        <v>22.580000000000002</v>
      </c>
      <c r="AJ60" s="221"/>
      <c r="AK60" s="221">
        <v>1.02</v>
      </c>
      <c r="AL60" s="221">
        <v>0.51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f>1.69+3.36+0.01+0.1-0.08</f>
        <v>5.0799999999999992</v>
      </c>
      <c r="AW60" s="221"/>
      <c r="AX60" s="221"/>
      <c r="AY60" s="221">
        <v>16.89</v>
      </c>
      <c r="AZ60" s="221"/>
      <c r="BA60" s="221"/>
      <c r="BB60" s="221">
        <f>1.04+6.27</f>
        <v>7.31</v>
      </c>
      <c r="BC60" s="221"/>
      <c r="BD60" s="221">
        <v>5.72</v>
      </c>
      <c r="BE60" s="221">
        <f>6.22+0.1</f>
        <v>6.3199999999999994</v>
      </c>
      <c r="BF60" s="221">
        <v>15.06</v>
      </c>
      <c r="BG60" s="221">
        <v>2.63</v>
      </c>
      <c r="BH60" s="221">
        <v>4.91</v>
      </c>
      <c r="BI60" s="221"/>
      <c r="BJ60" s="221">
        <v>4.5199999999999996</v>
      </c>
      <c r="BK60" s="221"/>
      <c r="BL60" s="221">
        <f>17.15+2.8</f>
        <v>19.95</v>
      </c>
      <c r="BM60" s="221"/>
      <c r="BN60" s="221">
        <f>7.27+0.65</f>
        <v>7.92</v>
      </c>
      <c r="BO60" s="221"/>
      <c r="BP60" s="221">
        <v>0.69</v>
      </c>
      <c r="BQ60" s="221"/>
      <c r="BR60" s="221">
        <f>3.24+0.7</f>
        <v>3.9400000000000004</v>
      </c>
      <c r="BS60" s="221"/>
      <c r="BT60" s="221"/>
      <c r="BU60" s="221"/>
      <c r="BV60" s="221">
        <v>11.31</v>
      </c>
      <c r="BW60" s="221">
        <v>1.3</v>
      </c>
      <c r="BX60" s="221">
        <v>2.86</v>
      </c>
      <c r="BY60" s="221">
        <v>6.97</v>
      </c>
      <c r="BZ60" s="221"/>
      <c r="CA60" s="221">
        <v>1.65</v>
      </c>
      <c r="CB60" s="221"/>
      <c r="CC60" s="221"/>
      <c r="CD60" s="249" t="s">
        <v>221</v>
      </c>
      <c r="CE60" s="251">
        <f t="shared" ref="CE60:CE70" si="0">SUM(C60:CD60)</f>
        <v>445.61999999999995</v>
      </c>
    </row>
    <row r="61" spans="1:84" ht="12.6" customHeight="1" x14ac:dyDescent="0.25">
      <c r="A61" s="171" t="s">
        <v>235</v>
      </c>
      <c r="B61" s="175"/>
      <c r="C61" s="184">
        <f>4790043+25524+178736</f>
        <v>4994303</v>
      </c>
      <c r="D61" s="184"/>
      <c r="E61" s="184">
        <f>3826853+223028</f>
        <v>4049881</v>
      </c>
      <c r="F61" s="185"/>
      <c r="G61" s="184"/>
      <c r="H61" s="184"/>
      <c r="I61" s="185"/>
      <c r="J61" s="185">
        <f>230917</f>
        <v>230917</v>
      </c>
      <c r="K61" s="185"/>
      <c r="L61" s="185"/>
      <c r="M61" s="184"/>
      <c r="N61" s="184">
        <v>302443</v>
      </c>
      <c r="O61" s="184">
        <f>2247222+175171</f>
        <v>2422393</v>
      </c>
      <c r="P61" s="185">
        <f>2326936+129125</f>
        <v>2456061</v>
      </c>
      <c r="Q61" s="185">
        <v>909066</v>
      </c>
      <c r="R61" s="185">
        <v>164118</v>
      </c>
      <c r="S61" s="185">
        <f>320991+266602</f>
        <v>587593</v>
      </c>
      <c r="T61" s="185"/>
      <c r="U61" s="185">
        <v>1437833</v>
      </c>
      <c r="V61" s="185"/>
      <c r="W61" s="185">
        <v>163239</v>
      </c>
      <c r="X61" s="185">
        <f>182345+320046</f>
        <v>502391</v>
      </c>
      <c r="Y61" s="185">
        <f>226999+113+883197+465095+169189+1021925+63349+56231</f>
        <v>2886098</v>
      </c>
      <c r="Z61" s="185">
        <v>488312</v>
      </c>
      <c r="AA61" s="185">
        <v>169980</v>
      </c>
      <c r="AB61" s="185">
        <f>1171627-1870+110744</f>
        <v>1280501</v>
      </c>
      <c r="AC61" s="185">
        <f>214828+640907+16740</f>
        <v>872475</v>
      </c>
      <c r="AD61" s="185"/>
      <c r="AE61" s="185">
        <f>690528+22547</f>
        <v>713075</v>
      </c>
      <c r="AF61" s="185"/>
      <c r="AG61" s="185">
        <f>2516641+11206</f>
        <v>2527847</v>
      </c>
      <c r="AH61" s="185"/>
      <c r="AI61" s="185">
        <f>1635491+9559+313404</f>
        <v>1958454</v>
      </c>
      <c r="AJ61" s="185"/>
      <c r="AK61" s="185">
        <v>100292</v>
      </c>
      <c r="AL61" s="185">
        <v>63885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227911+800+137829</f>
        <v>366540</v>
      </c>
      <c r="AW61" s="185"/>
      <c r="AX61" s="185"/>
      <c r="AY61" s="185">
        <f>847623+6730</f>
        <v>854353</v>
      </c>
      <c r="AZ61" s="185"/>
      <c r="BA61" s="185"/>
      <c r="BB61" s="185">
        <f>111709+11225+599522+19456</f>
        <v>741912</v>
      </c>
      <c r="BC61" s="185"/>
      <c r="BD61" s="185">
        <v>338198</v>
      </c>
      <c r="BE61" s="185">
        <f>512106+231148</f>
        <v>743254</v>
      </c>
      <c r="BF61" s="185">
        <f>573158</f>
        <v>573158</v>
      </c>
      <c r="BG61" s="185">
        <v>88249</v>
      </c>
      <c r="BH61" s="185">
        <v>394795</v>
      </c>
      <c r="BI61" s="185"/>
      <c r="BJ61" s="185">
        <f>341608+4516</f>
        <v>346124</v>
      </c>
      <c r="BK61" s="185"/>
      <c r="BL61" s="185">
        <f>750735+131445</f>
        <v>882180</v>
      </c>
      <c r="BM61" s="185"/>
      <c r="BN61" s="185">
        <f>1917670+4344+69784</f>
        <v>1991798</v>
      </c>
      <c r="BO61" s="185"/>
      <c r="BP61" s="185">
        <v>37743</v>
      </c>
      <c r="BQ61" s="185"/>
      <c r="BR61" s="185">
        <f>238449+29520+66086</f>
        <v>334055</v>
      </c>
      <c r="BS61" s="185"/>
      <c r="BT61" s="185"/>
      <c r="BU61" s="185"/>
      <c r="BV61" s="185">
        <f>612895+7577</f>
        <v>620472</v>
      </c>
      <c r="BW61" s="185">
        <v>103200</v>
      </c>
      <c r="BX61" s="185">
        <v>276686</v>
      </c>
      <c r="BY61" s="185">
        <f>764806+6268</f>
        <v>771074</v>
      </c>
      <c r="BZ61" s="185"/>
      <c r="CA61" s="185">
        <v>181706</v>
      </c>
      <c r="CB61" s="185"/>
      <c r="CC61" s="185"/>
      <c r="CD61" s="249" t="s">
        <v>221</v>
      </c>
      <c r="CE61" s="195">
        <f t="shared" si="0"/>
        <v>38926654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369883</v>
      </c>
      <c r="D62" s="195">
        <f t="shared" si="1"/>
        <v>0</v>
      </c>
      <c r="E62" s="195">
        <f t="shared" si="1"/>
        <v>276096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17962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22351</v>
      </c>
      <c r="O62" s="195">
        <f t="shared" si="1"/>
        <v>165598</v>
      </c>
      <c r="P62" s="195">
        <f t="shared" si="1"/>
        <v>169390</v>
      </c>
      <c r="Q62" s="195">
        <f t="shared" si="1"/>
        <v>68074</v>
      </c>
      <c r="R62" s="195">
        <f t="shared" si="1"/>
        <v>11811</v>
      </c>
      <c r="S62" s="195">
        <f t="shared" si="1"/>
        <v>23191</v>
      </c>
      <c r="T62" s="195">
        <f t="shared" si="1"/>
        <v>0</v>
      </c>
      <c r="U62" s="195">
        <f t="shared" si="1"/>
        <v>106267</v>
      </c>
      <c r="V62" s="195">
        <f t="shared" si="1"/>
        <v>0</v>
      </c>
      <c r="W62" s="195">
        <f t="shared" si="1"/>
        <v>12144</v>
      </c>
      <c r="X62" s="195">
        <f t="shared" si="1"/>
        <v>36741</v>
      </c>
      <c r="Y62" s="195">
        <f t="shared" si="1"/>
        <v>208227</v>
      </c>
      <c r="Z62" s="195">
        <f t="shared" si="1"/>
        <v>35661</v>
      </c>
      <c r="AA62" s="195">
        <f t="shared" si="1"/>
        <v>12674</v>
      </c>
      <c r="AB62" s="195">
        <f t="shared" si="1"/>
        <v>95160</v>
      </c>
      <c r="AC62" s="195">
        <f t="shared" si="1"/>
        <v>63934</v>
      </c>
      <c r="AD62" s="195">
        <f t="shared" si="1"/>
        <v>0</v>
      </c>
      <c r="AE62" s="195">
        <f t="shared" si="1"/>
        <v>50999</v>
      </c>
      <c r="AF62" s="195">
        <f t="shared" si="1"/>
        <v>0</v>
      </c>
      <c r="AG62" s="195">
        <f t="shared" si="1"/>
        <v>186451</v>
      </c>
      <c r="AH62" s="195">
        <f t="shared" si="1"/>
        <v>0</v>
      </c>
      <c r="AI62" s="195">
        <f t="shared" si="1"/>
        <v>143969</v>
      </c>
      <c r="AJ62" s="195">
        <f t="shared" si="1"/>
        <v>0</v>
      </c>
      <c r="AK62" s="195">
        <f t="shared" si="1"/>
        <v>7424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27508</v>
      </c>
      <c r="AW62" s="195">
        <f t="shared" si="1"/>
        <v>0</v>
      </c>
      <c r="AX62" s="195">
        <f t="shared" si="1"/>
        <v>0</v>
      </c>
      <c r="AY62" s="195">
        <f>ROUND(AY47+AY48,0)</f>
        <v>62216</v>
      </c>
      <c r="AZ62" s="195">
        <f>ROUND(AZ47+AZ48,0)</f>
        <v>0</v>
      </c>
      <c r="BA62" s="195">
        <f>ROUND(BA47+BA48,0)</f>
        <v>0</v>
      </c>
      <c r="BB62" s="195">
        <f t="shared" si="1"/>
        <v>52323</v>
      </c>
      <c r="BC62" s="195">
        <f t="shared" si="1"/>
        <v>0</v>
      </c>
      <c r="BD62" s="195">
        <f t="shared" si="1"/>
        <v>24816</v>
      </c>
      <c r="BE62" s="195">
        <f t="shared" si="1"/>
        <v>51278</v>
      </c>
      <c r="BF62" s="195">
        <f t="shared" si="1"/>
        <v>43051</v>
      </c>
      <c r="BG62" s="195">
        <f t="shared" si="1"/>
        <v>6177</v>
      </c>
      <c r="BH62" s="195">
        <f t="shared" si="1"/>
        <v>29554</v>
      </c>
      <c r="BI62" s="195">
        <f t="shared" si="1"/>
        <v>0</v>
      </c>
      <c r="BJ62" s="195">
        <f t="shared" si="1"/>
        <v>23173</v>
      </c>
      <c r="BK62" s="195">
        <f t="shared" si="1"/>
        <v>0</v>
      </c>
      <c r="BL62" s="195">
        <f t="shared" si="1"/>
        <v>65436</v>
      </c>
      <c r="BM62" s="195">
        <f t="shared" si="1"/>
        <v>0</v>
      </c>
      <c r="BN62" s="195">
        <f t="shared" si="1"/>
        <v>52609</v>
      </c>
      <c r="BO62" s="195">
        <f t="shared" ref="BO62:CC62" si="2">ROUND(BO47+BO48,0)</f>
        <v>0</v>
      </c>
      <c r="BP62" s="195">
        <f t="shared" si="2"/>
        <v>3333</v>
      </c>
      <c r="BQ62" s="195">
        <f t="shared" si="2"/>
        <v>0</v>
      </c>
      <c r="BR62" s="195">
        <f t="shared" si="2"/>
        <v>3576644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44776</v>
      </c>
      <c r="BW62" s="195">
        <f t="shared" si="2"/>
        <v>7853</v>
      </c>
      <c r="BX62" s="195">
        <f t="shared" si="2"/>
        <v>20859</v>
      </c>
      <c r="BY62" s="195">
        <f t="shared" si="2"/>
        <v>58331</v>
      </c>
      <c r="BZ62" s="195">
        <f t="shared" si="2"/>
        <v>0</v>
      </c>
      <c r="CA62" s="195">
        <f t="shared" si="2"/>
        <v>13467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6247411</v>
      </c>
      <c r="CF62" s="252"/>
    </row>
    <row r="63" spans="1:84" ht="12.6" customHeight="1" x14ac:dyDescent="0.25">
      <c r="A63" s="171" t="s">
        <v>236</v>
      </c>
      <c r="B63" s="175"/>
      <c r="C63" s="184">
        <v>542963</v>
      </c>
      <c r="D63" s="184"/>
      <c r="E63" s="184"/>
      <c r="F63" s="185"/>
      <c r="G63" s="184"/>
      <c r="H63" s="184"/>
      <c r="I63" s="185"/>
      <c r="J63" s="185">
        <v>18000</v>
      </c>
      <c r="K63" s="185"/>
      <c r="L63" s="185"/>
      <c r="M63" s="184"/>
      <c r="N63" s="184"/>
      <c r="O63" s="184">
        <v>88320</v>
      </c>
      <c r="P63" s="185">
        <v>362137</v>
      </c>
      <c r="Q63" s="185"/>
      <c r="R63" s="185">
        <v>600000</v>
      </c>
      <c r="S63" s="185"/>
      <c r="T63" s="185"/>
      <c r="U63" s="185">
        <v>27577</v>
      </c>
      <c r="V63" s="185"/>
      <c r="W63" s="185"/>
      <c r="X63" s="185"/>
      <c r="Y63" s="185">
        <f>13000+11163+2400</f>
        <v>26563</v>
      </c>
      <c r="Z63" s="185"/>
      <c r="AA63" s="185"/>
      <c r="AB63" s="185"/>
      <c r="AC63" s="185">
        <f>9000+36981</f>
        <v>45981</v>
      </c>
      <c r="AD63" s="185"/>
      <c r="AE63" s="185"/>
      <c r="AF63" s="185"/>
      <c r="AG63" s="185">
        <v>345205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f>675+2083611</f>
        <v>2084286</v>
      </c>
      <c r="AW63" s="185"/>
      <c r="AX63" s="185"/>
      <c r="AY63" s="185"/>
      <c r="AZ63" s="185"/>
      <c r="BA63" s="185"/>
      <c r="BB63" s="185">
        <v>57498</v>
      </c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>
        <v>34300</v>
      </c>
      <c r="BY63" s="185"/>
      <c r="BZ63" s="185"/>
      <c r="CA63" s="185"/>
      <c r="CB63" s="185"/>
      <c r="CC63" s="185"/>
      <c r="CD63" s="249" t="s">
        <v>221</v>
      </c>
      <c r="CE63" s="195">
        <f t="shared" si="0"/>
        <v>4232830</v>
      </c>
      <c r="CF63" s="252"/>
    </row>
    <row r="64" spans="1:84" ht="12.6" customHeight="1" x14ac:dyDescent="0.25">
      <c r="A64" s="171" t="s">
        <v>237</v>
      </c>
      <c r="B64" s="175"/>
      <c r="C64" s="184">
        <f>228056+5267</f>
        <v>233323</v>
      </c>
      <c r="D64" s="184"/>
      <c r="E64" s="185">
        <v>187820</v>
      </c>
      <c r="F64" s="185"/>
      <c r="G64" s="184"/>
      <c r="H64" s="184"/>
      <c r="I64" s="185"/>
      <c r="J64" s="185">
        <v>5821</v>
      </c>
      <c r="K64" s="185"/>
      <c r="L64" s="185"/>
      <c r="M64" s="184"/>
      <c r="N64" s="184">
        <v>395</v>
      </c>
      <c r="O64" s="184">
        <v>150643</v>
      </c>
      <c r="P64" s="185">
        <v>651025</v>
      </c>
      <c r="Q64" s="185">
        <v>35783</v>
      </c>
      <c r="R64" s="185">
        <v>178552</v>
      </c>
      <c r="S64" s="185">
        <v>142280</v>
      </c>
      <c r="T64" s="185"/>
      <c r="U64" s="185">
        <f>578585+426625</f>
        <v>1005210</v>
      </c>
      <c r="V64" s="185"/>
      <c r="W64" s="185">
        <v>5087</v>
      </c>
      <c r="X64" s="185">
        <f>23827+17365</f>
        <v>41192</v>
      </c>
      <c r="Y64" s="185">
        <f>11236-28517+9463+1065+102160+117883</f>
        <v>213290</v>
      </c>
      <c r="Z64" s="185">
        <v>20679</v>
      </c>
      <c r="AA64" s="185">
        <v>-3695</v>
      </c>
      <c r="AB64" s="185">
        <f>2608688+1855</f>
        <v>2610543</v>
      </c>
      <c r="AC64" s="185">
        <f>4582+62466</f>
        <v>67048</v>
      </c>
      <c r="AD64" s="185"/>
      <c r="AE64" s="185">
        <v>13141</v>
      </c>
      <c r="AF64" s="185"/>
      <c r="AG64" s="185">
        <v>123243</v>
      </c>
      <c r="AH64" s="185"/>
      <c r="AI64" s="185">
        <f>216109+31543</f>
        <v>247652</v>
      </c>
      <c r="AJ64" s="185"/>
      <c r="AK64" s="185">
        <v>2164</v>
      </c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112872+81-7876+2763</f>
        <v>107840</v>
      </c>
      <c r="AW64" s="185"/>
      <c r="AX64" s="185"/>
      <c r="AY64" s="185">
        <v>588474</v>
      </c>
      <c r="AZ64" s="185"/>
      <c r="BA64" s="185"/>
      <c r="BB64" s="185">
        <f>1121+2967</f>
        <v>4088</v>
      </c>
      <c r="BC64" s="185"/>
      <c r="BD64" s="185">
        <f>10999957+4333738</f>
        <v>15333695</v>
      </c>
      <c r="BE64" s="185">
        <f>-2437+2997</f>
        <v>560</v>
      </c>
      <c r="BF64" s="185">
        <v>86553</v>
      </c>
      <c r="BG64" s="185">
        <v>215</v>
      </c>
      <c r="BH64" s="185">
        <v>48704</v>
      </c>
      <c r="BI64" s="185"/>
      <c r="BJ64" s="185">
        <v>3829</v>
      </c>
      <c r="BK64" s="185">
        <v>519</v>
      </c>
      <c r="BL64" s="185">
        <v>53256</v>
      </c>
      <c r="BM64" s="185"/>
      <c r="BN64" s="185">
        <f>15165+720+2+296</f>
        <v>16183</v>
      </c>
      <c r="BO64" s="185"/>
      <c r="BP64" s="185">
        <v>16717</v>
      </c>
      <c r="BQ64" s="185"/>
      <c r="BR64" s="185">
        <f>9798</f>
        <v>9798</v>
      </c>
      <c r="BS64" s="185"/>
      <c r="BT64" s="185"/>
      <c r="BU64" s="185"/>
      <c r="BV64" s="185">
        <f>24772</f>
        <v>24772</v>
      </c>
      <c r="BW64" s="185">
        <v>2608</v>
      </c>
      <c r="BX64" s="185">
        <v>3025</v>
      </c>
      <c r="BY64" s="185">
        <v>779</v>
      </c>
      <c r="BZ64" s="185"/>
      <c r="CA64" s="185">
        <v>861</v>
      </c>
      <c r="CB64" s="185"/>
      <c r="CC64" s="185"/>
      <c r="CD64" s="249" t="s">
        <v>221</v>
      </c>
      <c r="CE64" s="195">
        <f t="shared" si="0"/>
        <v>22233672</v>
      </c>
      <c r="CF64" s="252"/>
    </row>
    <row r="65" spans="1:84" ht="12.6" customHeight="1" x14ac:dyDescent="0.25">
      <c r="A65" s="171" t="s">
        <v>238</v>
      </c>
      <c r="B65" s="175"/>
      <c r="C65" s="184">
        <v>176</v>
      </c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>
        <v>87</v>
      </c>
      <c r="P65" s="185">
        <v>2692</v>
      </c>
      <c r="Q65" s="185"/>
      <c r="R65" s="185"/>
      <c r="S65" s="185"/>
      <c r="T65" s="185"/>
      <c r="U65" s="185">
        <v>174</v>
      </c>
      <c r="V65" s="185"/>
      <c r="W65" s="185"/>
      <c r="X65" s="185">
        <f>4145</f>
        <v>4145</v>
      </c>
      <c r="Y65" s="185">
        <f>2264+30+1609+87+1336</f>
        <v>5326</v>
      </c>
      <c r="Z65" s="185">
        <v>174</v>
      </c>
      <c r="AA65" s="185">
        <v>56</v>
      </c>
      <c r="AB65" s="185">
        <v>88</v>
      </c>
      <c r="AC65" s="185"/>
      <c r="AD65" s="185"/>
      <c r="AE65" s="185">
        <v>5473</v>
      </c>
      <c r="AF65" s="185"/>
      <c r="AG65" s="185">
        <v>177</v>
      </c>
      <c r="AH65" s="185"/>
      <c r="AI65" s="185">
        <f>610+2204</f>
        <v>2814</v>
      </c>
      <c r="AJ65" s="185"/>
      <c r="AK65" s="185">
        <v>583</v>
      </c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576</v>
      </c>
      <c r="AW65" s="185"/>
      <c r="AX65" s="185"/>
      <c r="AY65" s="185">
        <v>87</v>
      </c>
      <c r="AZ65" s="185"/>
      <c r="BA65" s="185"/>
      <c r="BB65" s="185">
        <v>6448</v>
      </c>
      <c r="BC65" s="185"/>
      <c r="BD65" s="185"/>
      <c r="BE65" s="185">
        <f>1057240+2638</f>
        <v>1059878</v>
      </c>
      <c r="BF65" s="185">
        <v>1332</v>
      </c>
      <c r="BG65" s="185"/>
      <c r="BH65" s="185">
        <v>82605</v>
      </c>
      <c r="BI65" s="185"/>
      <c r="BJ65" s="185"/>
      <c r="BK65" s="185"/>
      <c r="BL65" s="185">
        <v>633</v>
      </c>
      <c r="BM65" s="185"/>
      <c r="BN65" s="185">
        <f>124+70</f>
        <v>194</v>
      </c>
      <c r="BO65" s="185"/>
      <c r="BP65" s="185"/>
      <c r="BQ65" s="185"/>
      <c r="BR65" s="185"/>
      <c r="BS65" s="185"/>
      <c r="BT65" s="185"/>
      <c r="BU65" s="185"/>
      <c r="BV65" s="185">
        <v>134</v>
      </c>
      <c r="BW65" s="185"/>
      <c r="BX65" s="185">
        <v>124</v>
      </c>
      <c r="BY65" s="185">
        <v>600</v>
      </c>
      <c r="BZ65" s="185"/>
      <c r="CA65" s="185">
        <v>88</v>
      </c>
      <c r="CB65" s="185"/>
      <c r="CC65" s="185"/>
      <c r="CD65" s="249" t="s">
        <v>221</v>
      </c>
      <c r="CE65" s="195">
        <f t="shared" si="0"/>
        <v>1174664</v>
      </c>
      <c r="CF65" s="252"/>
    </row>
    <row r="66" spans="1:84" ht="12.6" customHeight="1" x14ac:dyDescent="0.25">
      <c r="A66" s="171" t="s">
        <v>239</v>
      </c>
      <c r="B66" s="175"/>
      <c r="C66" s="184">
        <v>340</v>
      </c>
      <c r="D66" s="184"/>
      <c r="E66" s="184">
        <v>6128</v>
      </c>
      <c r="F66" s="184"/>
      <c r="G66" s="184"/>
      <c r="H66" s="184"/>
      <c r="I66" s="184"/>
      <c r="J66" s="184">
        <v>57448</v>
      </c>
      <c r="K66" s="185"/>
      <c r="L66" s="185"/>
      <c r="M66" s="184"/>
      <c r="N66" s="184"/>
      <c r="O66" s="185">
        <f>1855</f>
        <v>1855</v>
      </c>
      <c r="P66" s="185">
        <v>693317</v>
      </c>
      <c r="Q66" s="185"/>
      <c r="R66" s="185">
        <v>10000</v>
      </c>
      <c r="S66" s="184">
        <v>19902</v>
      </c>
      <c r="T66" s="184"/>
      <c r="U66" s="185">
        <f>4918+330672+5928</f>
        <v>341518</v>
      </c>
      <c r="V66" s="185"/>
      <c r="W66" s="185"/>
      <c r="X66" s="185">
        <f>1508+73784</f>
        <v>75292</v>
      </c>
      <c r="Y66" s="185">
        <f>347-86-112+2840+368918+1780</f>
        <v>373687</v>
      </c>
      <c r="Z66" s="185">
        <v>429668</v>
      </c>
      <c r="AA66" s="185">
        <v>23</v>
      </c>
      <c r="AB66" s="185">
        <f>39995+103</f>
        <v>40098</v>
      </c>
      <c r="AC66" s="185">
        <f>10+2142</f>
        <v>2152</v>
      </c>
      <c r="AD66" s="185"/>
      <c r="AE66" s="185">
        <v>14760</v>
      </c>
      <c r="AF66" s="185"/>
      <c r="AG66" s="185">
        <v>26490</v>
      </c>
      <c r="AH66" s="185"/>
      <c r="AI66" s="185">
        <v>637</v>
      </c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690607</v>
      </c>
      <c r="AW66" s="185"/>
      <c r="AX66" s="185"/>
      <c r="AY66" s="185">
        <v>4427</v>
      </c>
      <c r="AZ66" s="185"/>
      <c r="BA66" s="185"/>
      <c r="BB66" s="185">
        <v>29100</v>
      </c>
      <c r="BC66" s="185"/>
      <c r="BD66" s="185">
        <v>26995</v>
      </c>
      <c r="BE66" s="185">
        <v>99109</v>
      </c>
      <c r="BF66" s="185">
        <f>183812+353753</f>
        <v>537565</v>
      </c>
      <c r="BG66" s="185"/>
      <c r="BH66" s="185">
        <v>1599425</v>
      </c>
      <c r="BI66" s="185"/>
      <c r="BJ66" s="185"/>
      <c r="BK66" s="185">
        <v>2225284</v>
      </c>
      <c r="BL66" s="185">
        <v>70210</v>
      </c>
      <c r="BM66" s="185"/>
      <c r="BN66" s="185">
        <f>262403+10872+749956</f>
        <v>1023231</v>
      </c>
      <c r="BO66" s="185"/>
      <c r="BP66" s="185">
        <v>10557</v>
      </c>
      <c r="BQ66" s="185"/>
      <c r="BR66" s="185">
        <v>81750</v>
      </c>
      <c r="BS66" s="185"/>
      <c r="BT66" s="185"/>
      <c r="BU66" s="185"/>
      <c r="BV66" s="185">
        <f>34715+294984</f>
        <v>329699</v>
      </c>
      <c r="BW66" s="185">
        <v>-5575</v>
      </c>
      <c r="BX66" s="185">
        <v>230503</v>
      </c>
      <c r="BY66" s="185">
        <v>283</v>
      </c>
      <c r="BZ66" s="185"/>
      <c r="CA66" s="185"/>
      <c r="CB66" s="185"/>
      <c r="CC66" s="185"/>
      <c r="CD66" s="249" t="s">
        <v>221</v>
      </c>
      <c r="CE66" s="195">
        <f t="shared" si="0"/>
        <v>9046485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511294</v>
      </c>
      <c r="D67" s="195">
        <f>ROUND(D51+D52,0)</f>
        <v>0</v>
      </c>
      <c r="E67" s="195">
        <f t="shared" ref="E67:BP67" si="3">ROUND(E51+E52,0)</f>
        <v>726339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43337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1370927</v>
      </c>
      <c r="P67" s="195">
        <f t="shared" si="3"/>
        <v>137305</v>
      </c>
      <c r="Q67" s="195">
        <f t="shared" si="3"/>
        <v>174565</v>
      </c>
      <c r="R67" s="195">
        <f t="shared" si="3"/>
        <v>20848</v>
      </c>
      <c r="S67" s="195">
        <f t="shared" si="3"/>
        <v>175476</v>
      </c>
      <c r="T67" s="195">
        <f t="shared" si="3"/>
        <v>0</v>
      </c>
      <c r="U67" s="195">
        <f t="shared" si="3"/>
        <v>166784</v>
      </c>
      <c r="V67" s="195">
        <f t="shared" si="3"/>
        <v>0</v>
      </c>
      <c r="W67" s="195">
        <f t="shared" si="3"/>
        <v>53609</v>
      </c>
      <c r="X67" s="195">
        <f t="shared" si="3"/>
        <v>363717</v>
      </c>
      <c r="Y67" s="195">
        <f t="shared" si="3"/>
        <v>854649</v>
      </c>
      <c r="Z67" s="195">
        <f t="shared" si="3"/>
        <v>305974</v>
      </c>
      <c r="AA67" s="195">
        <f t="shared" si="3"/>
        <v>22124</v>
      </c>
      <c r="AB67" s="195">
        <f t="shared" si="3"/>
        <v>76463</v>
      </c>
      <c r="AC67" s="195">
        <f t="shared" si="3"/>
        <v>257410</v>
      </c>
      <c r="AD67" s="195">
        <f t="shared" si="3"/>
        <v>0</v>
      </c>
      <c r="AE67" s="195">
        <f t="shared" si="3"/>
        <v>256073</v>
      </c>
      <c r="AF67" s="195">
        <f t="shared" si="3"/>
        <v>0</v>
      </c>
      <c r="AG67" s="195">
        <f t="shared" si="3"/>
        <v>258200</v>
      </c>
      <c r="AH67" s="195">
        <f t="shared" si="3"/>
        <v>0</v>
      </c>
      <c r="AI67" s="195">
        <f t="shared" si="3"/>
        <v>302631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333022</v>
      </c>
      <c r="AZ67" s="195">
        <f>ROUND(AZ51+AZ52,0)</f>
        <v>0</v>
      </c>
      <c r="BA67" s="195">
        <f>ROUND(BA51+BA52,0)</f>
        <v>0</v>
      </c>
      <c r="BB67" s="195">
        <f t="shared" si="3"/>
        <v>44978</v>
      </c>
      <c r="BC67" s="195">
        <f t="shared" si="3"/>
        <v>0</v>
      </c>
      <c r="BD67" s="195">
        <f t="shared" si="3"/>
        <v>155905</v>
      </c>
      <c r="BE67" s="195">
        <f t="shared" si="3"/>
        <v>1643411</v>
      </c>
      <c r="BF67" s="195">
        <f t="shared" si="3"/>
        <v>139129</v>
      </c>
      <c r="BG67" s="195">
        <f t="shared" si="3"/>
        <v>20483</v>
      </c>
      <c r="BH67" s="195">
        <f t="shared" si="3"/>
        <v>45708</v>
      </c>
      <c r="BI67" s="195">
        <f t="shared" si="3"/>
        <v>0</v>
      </c>
      <c r="BJ67" s="195">
        <f t="shared" si="3"/>
        <v>99378</v>
      </c>
      <c r="BK67" s="195">
        <f t="shared" si="3"/>
        <v>0</v>
      </c>
      <c r="BL67" s="195">
        <f t="shared" si="3"/>
        <v>109468</v>
      </c>
      <c r="BM67" s="195">
        <f t="shared" si="3"/>
        <v>0</v>
      </c>
      <c r="BN67" s="195">
        <f t="shared" si="3"/>
        <v>235528</v>
      </c>
      <c r="BO67" s="195">
        <f t="shared" si="3"/>
        <v>0</v>
      </c>
      <c r="BP67" s="195">
        <f t="shared" si="3"/>
        <v>44310</v>
      </c>
      <c r="BQ67" s="195">
        <f t="shared" ref="BQ67:CC67" si="4">ROUND(BQ51+BQ52,0)</f>
        <v>0</v>
      </c>
      <c r="BR67" s="195">
        <f t="shared" si="4"/>
        <v>61572</v>
      </c>
      <c r="BS67" s="195">
        <f t="shared" si="4"/>
        <v>17384</v>
      </c>
      <c r="BT67" s="195">
        <f t="shared" si="4"/>
        <v>0</v>
      </c>
      <c r="BU67" s="195">
        <f t="shared" si="4"/>
        <v>203922</v>
      </c>
      <c r="BV67" s="195">
        <f t="shared" si="4"/>
        <v>0</v>
      </c>
      <c r="BW67" s="195">
        <f t="shared" si="4"/>
        <v>0</v>
      </c>
      <c r="BX67" s="195">
        <f t="shared" si="4"/>
        <v>5045</v>
      </c>
      <c r="BY67" s="195">
        <f t="shared" si="4"/>
        <v>70810</v>
      </c>
      <c r="BZ67" s="195">
        <f t="shared" si="4"/>
        <v>0</v>
      </c>
      <c r="CA67" s="195">
        <f t="shared" si="4"/>
        <v>136090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9443868</v>
      </c>
      <c r="CF67" s="252"/>
    </row>
    <row r="68" spans="1:84" ht="12.6" customHeight="1" x14ac:dyDescent="0.25">
      <c r="A68" s="171" t="s">
        <v>240</v>
      </c>
      <c r="B68" s="175"/>
      <c r="C68" s="184">
        <v>13571</v>
      </c>
      <c r="D68" s="184"/>
      <c r="E68" s="184">
        <v>27941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1399</v>
      </c>
      <c r="P68" s="185">
        <v>450918</v>
      </c>
      <c r="Q68" s="185"/>
      <c r="R68" s="185">
        <v>5976</v>
      </c>
      <c r="S68" s="185">
        <v>2287</v>
      </c>
      <c r="T68" s="185"/>
      <c r="U68" s="185">
        <v>194603</v>
      </c>
      <c r="V68" s="185"/>
      <c r="W68" s="185"/>
      <c r="X68" s="185">
        <f>4727+601481</f>
        <v>606208</v>
      </c>
      <c r="Y68" s="185">
        <f>2203+43+292+2591</f>
        <v>5129</v>
      </c>
      <c r="Z68" s="185">
        <v>1082</v>
      </c>
      <c r="AA68" s="185"/>
      <c r="AB68" s="185">
        <v>242086</v>
      </c>
      <c r="AC68" s="185">
        <v>39416</v>
      </c>
      <c r="AD68" s="185"/>
      <c r="AE68" s="185">
        <v>91447</v>
      </c>
      <c r="AF68" s="185"/>
      <c r="AG68" s="185">
        <v>6447</v>
      </c>
      <c r="AH68" s="185"/>
      <c r="AI68" s="185">
        <v>2</v>
      </c>
      <c r="AJ68" s="185"/>
      <c r="AK68" s="185">
        <v>4</v>
      </c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9530</v>
      </c>
      <c r="AW68" s="185"/>
      <c r="AX68" s="185"/>
      <c r="AY68" s="185"/>
      <c r="AZ68" s="185"/>
      <c r="BA68" s="185"/>
      <c r="BB68" s="185">
        <v>114</v>
      </c>
      <c r="BC68" s="185"/>
      <c r="BD68" s="185">
        <v>2737</v>
      </c>
      <c r="BE68" s="185">
        <v>1757</v>
      </c>
      <c r="BF68" s="185"/>
      <c r="BG68" s="185"/>
      <c r="BH68" s="185"/>
      <c r="BI68" s="185"/>
      <c r="BJ68" s="185">
        <v>562</v>
      </c>
      <c r="BK68" s="185"/>
      <c r="BL68" s="185">
        <v>2</v>
      </c>
      <c r="BM68" s="185"/>
      <c r="BN68" s="185">
        <f>63+89317</f>
        <v>89380</v>
      </c>
      <c r="BO68" s="185"/>
      <c r="BP68" s="185"/>
      <c r="BQ68" s="185"/>
      <c r="BR68" s="185">
        <v>39</v>
      </c>
      <c r="BS68" s="185"/>
      <c r="BT68" s="185"/>
      <c r="BU68" s="185"/>
      <c r="BV68" s="185">
        <v>66470</v>
      </c>
      <c r="BW68" s="185">
        <v>865</v>
      </c>
      <c r="BX68" s="185"/>
      <c r="BY68" s="185">
        <v>297</v>
      </c>
      <c r="BZ68" s="185"/>
      <c r="CA68" s="185"/>
      <c r="CB68" s="185"/>
      <c r="CC68" s="185"/>
      <c r="CD68" s="249" t="s">
        <v>221</v>
      </c>
      <c r="CE68" s="195">
        <f t="shared" si="0"/>
        <v>1860269</v>
      </c>
      <c r="CF68" s="252"/>
    </row>
    <row r="69" spans="1:84" ht="12.6" customHeight="1" x14ac:dyDescent="0.25">
      <c r="A69" s="171" t="s">
        <v>241</v>
      </c>
      <c r="B69" s="175"/>
      <c r="C69" s="184">
        <f>23023+994+1747+78+4591</f>
        <v>30433</v>
      </c>
      <c r="D69" s="184"/>
      <c r="E69" s="185">
        <f>12210+2067+12884+640+5159</f>
        <v>32960</v>
      </c>
      <c r="F69" s="185"/>
      <c r="G69" s="184"/>
      <c r="H69" s="184"/>
      <c r="I69" s="185"/>
      <c r="J69" s="185">
        <f>618+150</f>
        <v>768</v>
      </c>
      <c r="K69" s="185"/>
      <c r="L69" s="185"/>
      <c r="M69" s="184"/>
      <c r="N69" s="184">
        <v>4560</v>
      </c>
      <c r="O69" s="184">
        <f>71766+1008+741+135+463+83</f>
        <v>74196</v>
      </c>
      <c r="P69" s="185">
        <f>464145+7856-796+4179-6585</f>
        <v>468799</v>
      </c>
      <c r="Q69" s="185">
        <f>5883+1</f>
        <v>5884</v>
      </c>
      <c r="R69" s="224">
        <f>1782+471</f>
        <v>2253</v>
      </c>
      <c r="S69" s="185">
        <f>60295+793</f>
        <v>61088</v>
      </c>
      <c r="T69" s="184"/>
      <c r="U69" s="185">
        <f>107216+38172+211+599+8818+360+4515</f>
        <v>159891</v>
      </c>
      <c r="V69" s="185"/>
      <c r="W69" s="184">
        <f>98589+20+2367</f>
        <v>100976</v>
      </c>
      <c r="X69" s="185">
        <f>94474+92+2617+196513+1583+344</f>
        <v>295623</v>
      </c>
      <c r="Y69" s="185">
        <f>41633+3670+242745+414+1269+15498+18792+1491+3500+8275+101086+241+1266+68886+19</f>
        <v>508785</v>
      </c>
      <c r="Z69" s="185">
        <f>267455+283+2754+10755+5415</f>
        <v>286662</v>
      </c>
      <c r="AA69" s="185">
        <f>22696+18989</f>
        <v>41685</v>
      </c>
      <c r="AB69" s="185">
        <f>45661+10999+1170+20644+1551</f>
        <v>80025</v>
      </c>
      <c r="AC69" s="185">
        <f>1363+23+304+15866+1427+113</f>
        <v>19096</v>
      </c>
      <c r="AD69" s="185"/>
      <c r="AE69" s="185">
        <f>4645+1352+7423+2535</f>
        <v>15955</v>
      </c>
      <c r="AF69" s="185"/>
      <c r="AG69" s="185">
        <f>16149-350+2512+731+5504+15834</f>
        <v>40380</v>
      </c>
      <c r="AH69" s="185"/>
      <c r="AI69" s="185">
        <f>8095+339+65+97+185+13248</f>
        <v>22029</v>
      </c>
      <c r="AJ69" s="185"/>
      <c r="AK69" s="185">
        <f>211+500</f>
        <v>711</v>
      </c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f>3772+2330+1703</f>
        <v>7805</v>
      </c>
      <c r="AW69" s="185"/>
      <c r="AX69" s="185"/>
      <c r="AY69" s="185">
        <f>22227+66+110+3136</f>
        <v>25539</v>
      </c>
      <c r="AZ69" s="185"/>
      <c r="BA69" s="185"/>
      <c r="BB69" s="185">
        <f>7004+165+1827+129+2207+73+16679-768+32834</f>
        <v>60150</v>
      </c>
      <c r="BC69" s="185"/>
      <c r="BD69" s="185">
        <f>3840+5862+84598+2179+592+9456+7+164</f>
        <v>106698</v>
      </c>
      <c r="BE69" s="185">
        <f>315433+1459+1216+500+8654+280+50</f>
        <v>327592</v>
      </c>
      <c r="BF69" s="185">
        <f>1168+107+152</f>
        <v>1427</v>
      </c>
      <c r="BG69" s="185"/>
      <c r="BH69" s="224">
        <f>106775+285+700+21284+62983</f>
        <v>192027</v>
      </c>
      <c r="BI69" s="185"/>
      <c r="BJ69" s="185">
        <f>113+44+1166-506</f>
        <v>817</v>
      </c>
      <c r="BK69" s="185">
        <v>63</v>
      </c>
      <c r="BL69" s="185">
        <f>44+1252+14713+199</f>
        <v>16208</v>
      </c>
      <c r="BM69" s="185"/>
      <c r="BN69" s="185">
        <f>255+1242067+771184+8037+5156+87326+147047+951578+41937+228-70+5913+2500+560694</f>
        <v>3823852</v>
      </c>
      <c r="BO69" s="185"/>
      <c r="BP69" s="185">
        <f>101223+28+2835+13023+31453</f>
        <v>148562</v>
      </c>
      <c r="BQ69" s="185"/>
      <c r="BR69" s="185">
        <f>379+148+256+17686+281239</f>
        <v>299708</v>
      </c>
      <c r="BS69" s="185"/>
      <c r="BT69" s="185"/>
      <c r="BU69" s="185"/>
      <c r="BV69" s="185">
        <f>138+85+546+708+3115</f>
        <v>4592</v>
      </c>
      <c r="BW69" s="185">
        <f>4+40+121+272+6191</f>
        <v>6628</v>
      </c>
      <c r="BX69" s="185">
        <f>367+5108+23141+6824</f>
        <v>35440</v>
      </c>
      <c r="BY69" s="185">
        <v>62</v>
      </c>
      <c r="BZ69" s="185"/>
      <c r="CA69" s="185">
        <f>4398+7139</f>
        <v>11537</v>
      </c>
      <c r="CB69" s="185"/>
      <c r="CC69" s="185"/>
      <c r="CD69" s="188">
        <f>4837163-278942+12434440</f>
        <v>16992661</v>
      </c>
      <c r="CE69" s="195">
        <f t="shared" si="0"/>
        <v>24314127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301063</v>
      </c>
      <c r="CE70" s="195">
        <f t="shared" si="0"/>
        <v>301063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6696286</v>
      </c>
      <c r="D71" s="195">
        <f t="shared" ref="D71:AI71" si="5">SUM(D61:D69)-D70</f>
        <v>0</v>
      </c>
      <c r="E71" s="195">
        <f t="shared" si="5"/>
        <v>5307165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374253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329749</v>
      </c>
      <c r="O71" s="195">
        <f t="shared" si="5"/>
        <v>4275418</v>
      </c>
      <c r="P71" s="195">
        <f t="shared" si="5"/>
        <v>5391644</v>
      </c>
      <c r="Q71" s="195">
        <f t="shared" si="5"/>
        <v>1193372</v>
      </c>
      <c r="R71" s="195">
        <f t="shared" si="5"/>
        <v>993558</v>
      </c>
      <c r="S71" s="195">
        <f t="shared" si="5"/>
        <v>1011817</v>
      </c>
      <c r="T71" s="195">
        <f t="shared" si="5"/>
        <v>0</v>
      </c>
      <c r="U71" s="195">
        <f t="shared" si="5"/>
        <v>3439857</v>
      </c>
      <c r="V71" s="195">
        <f t="shared" si="5"/>
        <v>0</v>
      </c>
      <c r="W71" s="195">
        <f t="shared" si="5"/>
        <v>335055</v>
      </c>
      <c r="X71" s="195">
        <f t="shared" si="5"/>
        <v>1925309</v>
      </c>
      <c r="Y71" s="195">
        <f t="shared" si="5"/>
        <v>5081754</v>
      </c>
      <c r="Z71" s="195">
        <f t="shared" si="5"/>
        <v>1568212</v>
      </c>
      <c r="AA71" s="195">
        <f t="shared" si="5"/>
        <v>242847</v>
      </c>
      <c r="AB71" s="195">
        <f t="shared" si="5"/>
        <v>4424964</v>
      </c>
      <c r="AC71" s="195">
        <f t="shared" si="5"/>
        <v>1367512</v>
      </c>
      <c r="AD71" s="195">
        <f t="shared" si="5"/>
        <v>0</v>
      </c>
      <c r="AE71" s="195">
        <f t="shared" si="5"/>
        <v>1160923</v>
      </c>
      <c r="AF71" s="195">
        <f t="shared" si="5"/>
        <v>0</v>
      </c>
      <c r="AG71" s="195">
        <f t="shared" si="5"/>
        <v>3514440</v>
      </c>
      <c r="AH71" s="195">
        <f t="shared" si="5"/>
        <v>0</v>
      </c>
      <c r="AI71" s="195">
        <f t="shared" si="5"/>
        <v>2678188</v>
      </c>
      <c r="AJ71" s="195">
        <f t="shared" ref="AJ71:BO71" si="6">SUM(AJ61:AJ69)-AJ70</f>
        <v>0</v>
      </c>
      <c r="AK71" s="195">
        <f t="shared" si="6"/>
        <v>111178</v>
      </c>
      <c r="AL71" s="195">
        <f t="shared" si="6"/>
        <v>63885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3294692</v>
      </c>
      <c r="AW71" s="195">
        <f t="shared" si="6"/>
        <v>0</v>
      </c>
      <c r="AX71" s="195">
        <f t="shared" si="6"/>
        <v>0</v>
      </c>
      <c r="AY71" s="195">
        <f t="shared" si="6"/>
        <v>1868118</v>
      </c>
      <c r="AZ71" s="195">
        <f t="shared" si="6"/>
        <v>0</v>
      </c>
      <c r="BA71" s="195">
        <f t="shared" si="6"/>
        <v>0</v>
      </c>
      <c r="BB71" s="195">
        <f t="shared" si="6"/>
        <v>996611</v>
      </c>
      <c r="BC71" s="195">
        <f t="shared" si="6"/>
        <v>0</v>
      </c>
      <c r="BD71" s="195">
        <f t="shared" si="6"/>
        <v>15989044</v>
      </c>
      <c r="BE71" s="195">
        <f t="shared" si="6"/>
        <v>3926839</v>
      </c>
      <c r="BF71" s="195">
        <f t="shared" si="6"/>
        <v>1382215</v>
      </c>
      <c r="BG71" s="195">
        <f t="shared" si="6"/>
        <v>115124</v>
      </c>
      <c r="BH71" s="195">
        <f t="shared" si="6"/>
        <v>2392818</v>
      </c>
      <c r="BI71" s="195">
        <f t="shared" si="6"/>
        <v>0</v>
      </c>
      <c r="BJ71" s="195">
        <f t="shared" si="6"/>
        <v>473883</v>
      </c>
      <c r="BK71" s="195">
        <f t="shared" si="6"/>
        <v>2225866</v>
      </c>
      <c r="BL71" s="195">
        <f t="shared" si="6"/>
        <v>1197393</v>
      </c>
      <c r="BM71" s="195">
        <f t="shared" si="6"/>
        <v>0</v>
      </c>
      <c r="BN71" s="195">
        <f t="shared" si="6"/>
        <v>7232775</v>
      </c>
      <c r="BO71" s="195">
        <f t="shared" si="6"/>
        <v>0</v>
      </c>
      <c r="BP71" s="195">
        <f t="shared" ref="BP71:CC71" si="7">SUM(BP61:BP69)-BP70</f>
        <v>261222</v>
      </c>
      <c r="BQ71" s="195">
        <f t="shared" si="7"/>
        <v>0</v>
      </c>
      <c r="BR71" s="195">
        <f t="shared" si="7"/>
        <v>4363566</v>
      </c>
      <c r="BS71" s="195">
        <f t="shared" si="7"/>
        <v>17384</v>
      </c>
      <c r="BT71" s="195">
        <f t="shared" si="7"/>
        <v>0</v>
      </c>
      <c r="BU71" s="195">
        <f t="shared" si="7"/>
        <v>203922</v>
      </c>
      <c r="BV71" s="195">
        <f t="shared" si="7"/>
        <v>1090915</v>
      </c>
      <c r="BW71" s="195">
        <f t="shared" si="7"/>
        <v>115579</v>
      </c>
      <c r="BX71" s="195">
        <f t="shared" si="7"/>
        <v>605982</v>
      </c>
      <c r="BY71" s="195">
        <f t="shared" si="7"/>
        <v>902236</v>
      </c>
      <c r="BZ71" s="195">
        <f t="shared" si="7"/>
        <v>0</v>
      </c>
      <c r="CA71" s="195">
        <f t="shared" si="7"/>
        <v>343749</v>
      </c>
      <c r="CB71" s="195">
        <f t="shared" si="7"/>
        <v>0</v>
      </c>
      <c r="CC71" s="195">
        <f t="shared" si="7"/>
        <v>0</v>
      </c>
      <c r="CD71" s="245">
        <f>CD69-CD70</f>
        <v>16691598</v>
      </c>
      <c r="CE71" s="195">
        <f>SUM(CE61:CE69)-CE70</f>
        <v>117178917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f>32583890+439758</f>
        <v>33023648</v>
      </c>
      <c r="D73" s="184"/>
      <c r="E73" s="185">
        <v>18485432</v>
      </c>
      <c r="F73" s="185"/>
      <c r="G73" s="184"/>
      <c r="H73" s="184"/>
      <c r="I73" s="185"/>
      <c r="J73" s="185">
        <v>3140515</v>
      </c>
      <c r="K73" s="185"/>
      <c r="L73" s="185"/>
      <c r="M73" s="184"/>
      <c r="N73" s="184"/>
      <c r="O73" s="184">
        <v>16614812</v>
      </c>
      <c r="P73" s="185">
        <f>49506281+50886165+13312743</f>
        <v>113705189</v>
      </c>
      <c r="Q73" s="185">
        <v>11623694</v>
      </c>
      <c r="R73" s="185">
        <f>8319434</f>
        <v>8319434</v>
      </c>
      <c r="S73" s="185"/>
      <c r="T73" s="185"/>
      <c r="U73" s="185">
        <f>19085642+746658+1833395</f>
        <v>21665695</v>
      </c>
      <c r="V73" s="185"/>
      <c r="W73" s="185">
        <v>2170153</v>
      </c>
      <c r="X73" s="185">
        <f>9773175+89233</f>
        <v>9862408</v>
      </c>
      <c r="Y73" s="185">
        <f>3082449+4091912+570522+6605936+36130+474+2900065</f>
        <v>17287488</v>
      </c>
      <c r="Z73" s="185">
        <v>284025</v>
      </c>
      <c r="AA73" s="185">
        <v>903465</v>
      </c>
      <c r="AB73" s="185">
        <f>13297618+6115+14967</f>
        <v>13318700</v>
      </c>
      <c r="AC73" s="185">
        <v>7138318</v>
      </c>
      <c r="AD73" s="185"/>
      <c r="AE73" s="185">
        <v>2138365</v>
      </c>
      <c r="AF73" s="185"/>
      <c r="AG73" s="185">
        <v>9408065</v>
      </c>
      <c r="AH73" s="185"/>
      <c r="AI73" s="185">
        <f>1168886+39329</f>
        <v>1208215</v>
      </c>
      <c r="AJ73" s="185"/>
      <c r="AK73" s="185">
        <v>427209</v>
      </c>
      <c r="AL73" s="185">
        <v>91832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8498+17841</f>
        <v>26339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290843001</v>
      </c>
      <c r="CF73" s="252"/>
    </row>
    <row r="74" spans="1:84" ht="12.6" customHeight="1" x14ac:dyDescent="0.25">
      <c r="A74" s="171" t="s">
        <v>246</v>
      </c>
      <c r="B74" s="175"/>
      <c r="C74" s="184">
        <v>1798145</v>
      </c>
      <c r="D74" s="184"/>
      <c r="E74" s="185">
        <v>1158432</v>
      </c>
      <c r="F74" s="185"/>
      <c r="G74" s="184"/>
      <c r="H74" s="184"/>
      <c r="I74" s="184"/>
      <c r="J74" s="185">
        <v>5334</v>
      </c>
      <c r="K74" s="185"/>
      <c r="L74" s="185"/>
      <c r="M74" s="184"/>
      <c r="N74" s="184"/>
      <c r="O74" s="184">
        <v>1170184</v>
      </c>
      <c r="P74" s="185">
        <f>43993912+10375009+9320316</f>
        <v>63689237</v>
      </c>
      <c r="Q74" s="185">
        <v>14151010</v>
      </c>
      <c r="R74" s="185">
        <v>8373799</v>
      </c>
      <c r="S74" s="185"/>
      <c r="T74" s="185"/>
      <c r="U74" s="185">
        <f>16228788+1053580+775265</f>
        <v>18057633</v>
      </c>
      <c r="V74" s="185"/>
      <c r="W74" s="185">
        <v>3011446</v>
      </c>
      <c r="X74" s="185">
        <f>25292428+26416350</f>
        <v>51708778</v>
      </c>
      <c r="Y74" s="185">
        <f>4949764+6651553+6001462+1412799+7364718+4743074-474+7788854</f>
        <v>38911750</v>
      </c>
      <c r="Z74" s="185">
        <v>31289081</v>
      </c>
      <c r="AA74" s="185">
        <v>2919384</v>
      </c>
      <c r="AB74" s="185">
        <f>8563789+272+968660</f>
        <v>9532721</v>
      </c>
      <c r="AC74" s="185">
        <f>741465+3551392</f>
        <v>4292857</v>
      </c>
      <c r="AD74" s="185"/>
      <c r="AE74" s="185">
        <v>2895940</v>
      </c>
      <c r="AF74" s="185"/>
      <c r="AG74" s="185">
        <v>38241151</v>
      </c>
      <c r="AH74" s="185"/>
      <c r="AI74" s="185">
        <f>1820118+4793098</f>
        <v>6613216</v>
      </c>
      <c r="AJ74" s="185"/>
      <c r="AK74" s="185">
        <v>543378</v>
      </c>
      <c r="AL74" s="185">
        <v>314637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6851673+19719</f>
        <v>6871392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305549505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34821793</v>
      </c>
      <c r="D75" s="195">
        <f t="shared" si="9"/>
        <v>0</v>
      </c>
      <c r="E75" s="195">
        <f t="shared" si="9"/>
        <v>19643864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3145849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17784996</v>
      </c>
      <c r="P75" s="195">
        <f t="shared" si="9"/>
        <v>177394426</v>
      </c>
      <c r="Q75" s="195">
        <f t="shared" si="9"/>
        <v>25774704</v>
      </c>
      <c r="R75" s="195">
        <f t="shared" si="9"/>
        <v>16693233</v>
      </c>
      <c r="S75" s="195">
        <f t="shared" si="9"/>
        <v>0</v>
      </c>
      <c r="T75" s="195">
        <f t="shared" si="9"/>
        <v>0</v>
      </c>
      <c r="U75" s="195">
        <f t="shared" si="9"/>
        <v>39723328</v>
      </c>
      <c r="V75" s="195">
        <f t="shared" si="9"/>
        <v>0</v>
      </c>
      <c r="W75" s="195">
        <f t="shared" si="9"/>
        <v>5181599</v>
      </c>
      <c r="X75" s="195">
        <f t="shared" si="9"/>
        <v>61571186</v>
      </c>
      <c r="Y75" s="195">
        <f t="shared" si="9"/>
        <v>56199238</v>
      </c>
      <c r="Z75" s="195">
        <f t="shared" si="9"/>
        <v>31573106</v>
      </c>
      <c r="AA75" s="195">
        <f t="shared" si="9"/>
        <v>3822849</v>
      </c>
      <c r="AB75" s="195">
        <f t="shared" si="9"/>
        <v>22851421</v>
      </c>
      <c r="AC75" s="195">
        <f t="shared" si="9"/>
        <v>11431175</v>
      </c>
      <c r="AD75" s="195">
        <f t="shared" si="9"/>
        <v>0</v>
      </c>
      <c r="AE75" s="195">
        <f t="shared" si="9"/>
        <v>5034305</v>
      </c>
      <c r="AF75" s="195">
        <f t="shared" si="9"/>
        <v>0</v>
      </c>
      <c r="AG75" s="195">
        <f t="shared" si="9"/>
        <v>47649216</v>
      </c>
      <c r="AH75" s="195">
        <f t="shared" si="9"/>
        <v>0</v>
      </c>
      <c r="AI75" s="195">
        <f t="shared" si="9"/>
        <v>7821431</v>
      </c>
      <c r="AJ75" s="195">
        <f t="shared" si="9"/>
        <v>0</v>
      </c>
      <c r="AK75" s="195">
        <f t="shared" si="9"/>
        <v>970587</v>
      </c>
      <c r="AL75" s="195">
        <f t="shared" si="9"/>
        <v>406469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6897731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596392506</v>
      </c>
      <c r="CF75" s="252"/>
    </row>
    <row r="76" spans="1:84" ht="12.6" customHeight="1" x14ac:dyDescent="0.25">
      <c r="A76" s="171" t="s">
        <v>248</v>
      </c>
      <c r="B76" s="175"/>
      <c r="C76" s="184">
        <v>8412</v>
      </c>
      <c r="D76" s="184"/>
      <c r="E76" s="185">
        <v>11950</v>
      </c>
      <c r="F76" s="185"/>
      <c r="G76" s="184"/>
      <c r="H76" s="184"/>
      <c r="I76" s="185"/>
      <c r="J76" s="185">
        <v>713</v>
      </c>
      <c r="K76" s="185"/>
      <c r="L76" s="185"/>
      <c r="M76" s="185"/>
      <c r="N76" s="185"/>
      <c r="O76" s="185">
        <v>22555</v>
      </c>
      <c r="P76" s="185">
        <v>2259</v>
      </c>
      <c r="Q76" s="185">
        <v>2872</v>
      </c>
      <c r="R76" s="185">
        <v>343</v>
      </c>
      <c r="S76" s="185">
        <v>2887</v>
      </c>
      <c r="T76" s="185"/>
      <c r="U76" s="185">
        <v>2744</v>
      </c>
      <c r="V76" s="185"/>
      <c r="W76" s="185">
        <v>882</v>
      </c>
      <c r="X76" s="185">
        <v>5984</v>
      </c>
      <c r="Y76" s="185">
        <v>14061</v>
      </c>
      <c r="Z76" s="185">
        <v>5034</v>
      </c>
      <c r="AA76" s="185">
        <v>364</v>
      </c>
      <c r="AB76" s="185">
        <v>1258</v>
      </c>
      <c r="AC76" s="185">
        <v>4235</v>
      </c>
      <c r="AD76" s="185"/>
      <c r="AE76" s="185">
        <v>4213</v>
      </c>
      <c r="AF76" s="185"/>
      <c r="AG76" s="185">
        <v>4248</v>
      </c>
      <c r="AH76" s="185"/>
      <c r="AI76" s="185">
        <v>4979</v>
      </c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5479</v>
      </c>
      <c r="AZ76" s="185"/>
      <c r="BA76" s="185"/>
      <c r="BB76" s="185">
        <v>740</v>
      </c>
      <c r="BC76" s="185"/>
      <c r="BD76" s="185">
        <v>2565</v>
      </c>
      <c r="BE76" s="185">
        <v>27038</v>
      </c>
      <c r="BF76" s="185">
        <v>2289</v>
      </c>
      <c r="BG76" s="185">
        <v>337</v>
      </c>
      <c r="BH76" s="185">
        <v>752</v>
      </c>
      <c r="BI76" s="185"/>
      <c r="BJ76" s="185">
        <v>1635</v>
      </c>
      <c r="BK76" s="185"/>
      <c r="BL76" s="185">
        <v>1801</v>
      </c>
      <c r="BM76" s="185"/>
      <c r="BN76" s="185">
        <v>3875</v>
      </c>
      <c r="BO76" s="185"/>
      <c r="BP76" s="185">
        <v>729</v>
      </c>
      <c r="BQ76" s="185"/>
      <c r="BR76" s="185">
        <v>1013</v>
      </c>
      <c r="BS76" s="185">
        <v>286</v>
      </c>
      <c r="BT76" s="185"/>
      <c r="BU76" s="185">
        <v>3355</v>
      </c>
      <c r="BV76" s="185"/>
      <c r="BW76" s="185"/>
      <c r="BX76" s="185">
        <v>83</v>
      </c>
      <c r="BY76" s="185">
        <v>1165</v>
      </c>
      <c r="BZ76" s="185"/>
      <c r="CA76" s="185">
        <v>2239</v>
      </c>
      <c r="CB76" s="185"/>
      <c r="CC76" s="185"/>
      <c r="CD76" s="249" t="s">
        <v>221</v>
      </c>
      <c r="CE76" s="195">
        <f t="shared" si="8"/>
        <v>155374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18975</v>
      </c>
      <c r="D77" s="184"/>
      <c r="E77" s="184">
        <v>23301</v>
      </c>
      <c r="F77" s="184"/>
      <c r="G77" s="184"/>
      <c r="H77" s="184"/>
      <c r="I77" s="184"/>
      <c r="J77" s="184">
        <v>3003</v>
      </c>
      <c r="K77" s="184"/>
      <c r="L77" s="184"/>
      <c r="M77" s="184"/>
      <c r="N77" s="184"/>
      <c r="O77" s="184">
        <v>3857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49136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1700</v>
      </c>
      <c r="D78" s="184"/>
      <c r="E78" s="184">
        <v>2416</v>
      </c>
      <c r="F78" s="184"/>
      <c r="G78" s="184"/>
      <c r="H78" s="184"/>
      <c r="I78" s="184"/>
      <c r="J78" s="184">
        <v>144</v>
      </c>
      <c r="K78" s="184"/>
      <c r="L78" s="184"/>
      <c r="M78" s="184"/>
      <c r="N78" s="184"/>
      <c r="O78" s="184">
        <v>4559</v>
      </c>
      <c r="P78" s="184">
        <v>457</v>
      </c>
      <c r="Q78" s="184">
        <v>581</v>
      </c>
      <c r="R78" s="184">
        <v>69</v>
      </c>
      <c r="S78" s="184">
        <v>584</v>
      </c>
      <c r="T78" s="184"/>
      <c r="U78" s="184">
        <v>555</v>
      </c>
      <c r="V78" s="184"/>
      <c r="W78" s="184">
        <v>178</v>
      </c>
      <c r="X78" s="184">
        <v>1209</v>
      </c>
      <c r="Y78" s="184">
        <v>2842</v>
      </c>
      <c r="Z78" s="184">
        <v>1018</v>
      </c>
      <c r="AA78" s="184">
        <v>74</v>
      </c>
      <c r="AB78" s="184">
        <v>254</v>
      </c>
      <c r="AC78" s="184">
        <v>856</v>
      </c>
      <c r="AD78" s="184"/>
      <c r="AE78" s="184">
        <v>852</v>
      </c>
      <c r="AF78" s="184"/>
      <c r="AG78" s="184">
        <v>859</v>
      </c>
      <c r="AH78" s="184"/>
      <c r="AI78" s="184">
        <v>1006</v>
      </c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f>1107+519+5466+463+68+330+783+147+205</f>
        <v>9088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v>150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152</v>
      </c>
      <c r="BI78" s="184"/>
      <c r="BJ78" s="249" t="s">
        <v>221</v>
      </c>
      <c r="BK78" s="184"/>
      <c r="BL78" s="184">
        <v>364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58</v>
      </c>
      <c r="BT78" s="184"/>
      <c r="BU78" s="184"/>
      <c r="BV78" s="184">
        <v>678</v>
      </c>
      <c r="BW78" s="184"/>
      <c r="BX78" s="184">
        <v>17</v>
      </c>
      <c r="BY78" s="184">
        <v>235</v>
      </c>
      <c r="BZ78" s="184"/>
      <c r="CA78" s="184">
        <v>452</v>
      </c>
      <c r="CB78" s="184"/>
      <c r="CC78" s="249" t="s">
        <v>221</v>
      </c>
      <c r="CD78" s="249" t="s">
        <v>221</v>
      </c>
      <c r="CE78" s="195">
        <f t="shared" si="8"/>
        <v>31407</v>
      </c>
      <c r="CF78" s="195"/>
    </row>
    <row r="79" spans="1:84" ht="12.6" customHeight="1" x14ac:dyDescent="0.25">
      <c r="A79" s="171" t="s">
        <v>251</v>
      </c>
      <c r="B79" s="175"/>
      <c r="C79" s="225">
        <v>79150</v>
      </c>
      <c r="D79" s="225"/>
      <c r="E79" s="184">
        <f>146151+1</f>
        <v>146152</v>
      </c>
      <c r="F79" s="184"/>
      <c r="G79" s="184"/>
      <c r="H79" s="184"/>
      <c r="I79" s="184"/>
      <c r="J79" s="184">
        <v>522</v>
      </c>
      <c r="K79" s="184"/>
      <c r="L79" s="184"/>
      <c r="M79" s="184"/>
      <c r="N79" s="184"/>
      <c r="O79" s="184">
        <f>6102+58467</f>
        <v>64569</v>
      </c>
      <c r="P79" s="184">
        <v>92375</v>
      </c>
      <c r="Q79" s="184"/>
      <c r="R79" s="184"/>
      <c r="S79" s="184"/>
      <c r="T79" s="184"/>
      <c r="U79" s="184">
        <v>2911</v>
      </c>
      <c r="V79" s="184"/>
      <c r="W79" s="184">
        <v>4763</v>
      </c>
      <c r="X79" s="184">
        <v>7156</v>
      </c>
      <c r="Y79" s="184">
        <f>16299+7511+7010+4156+1535+5433</f>
        <v>41944</v>
      </c>
      <c r="Z79" s="184"/>
      <c r="AA79" s="184">
        <v>1410</v>
      </c>
      <c r="AB79" s="184">
        <v>12920</v>
      </c>
      <c r="AC79" s="184">
        <f>2246+647</f>
        <v>2893</v>
      </c>
      <c r="AD79" s="184"/>
      <c r="AE79" s="184">
        <v>6269</v>
      </c>
      <c r="AF79" s="184"/>
      <c r="AG79" s="184">
        <v>53037</v>
      </c>
      <c r="AH79" s="184"/>
      <c r="AI79" s="184">
        <f>1149+36484+1</f>
        <v>37634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1546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555251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45.72</v>
      </c>
      <c r="D80" s="187"/>
      <c r="E80" s="187">
        <v>39.83</v>
      </c>
      <c r="F80" s="187"/>
      <c r="G80" s="187"/>
      <c r="H80" s="187"/>
      <c r="I80" s="187"/>
      <c r="J80" s="187">
        <v>1.47</v>
      </c>
      <c r="K80" s="187"/>
      <c r="L80" s="187"/>
      <c r="M80" s="187"/>
      <c r="N80" s="187">
        <v>2.71</v>
      </c>
      <c r="O80" s="187">
        <v>17.600000000000001</v>
      </c>
      <c r="P80" s="187">
        <v>26.68</v>
      </c>
      <c r="Q80" s="187">
        <v>5.84</v>
      </c>
      <c r="R80" s="187">
        <v>1.66</v>
      </c>
      <c r="S80" s="187">
        <v>5.29</v>
      </c>
      <c r="T80" s="187">
        <v>0</v>
      </c>
      <c r="U80" s="187">
        <v>18.36</v>
      </c>
      <c r="V80" s="187"/>
      <c r="W80" s="187">
        <v>1.26</v>
      </c>
      <c r="X80" s="187">
        <f>1.93+3.5</f>
        <v>5.43</v>
      </c>
      <c r="Y80" s="187">
        <f>2.76+0.87+7.71+3.51+1.31+8.45</f>
        <v>24.61</v>
      </c>
      <c r="Z80" s="187">
        <v>4.62</v>
      </c>
      <c r="AA80" s="187">
        <v>1.1599999999999999</v>
      </c>
      <c r="AB80" s="187">
        <f>10.35+0.96</f>
        <v>11.309999999999999</v>
      </c>
      <c r="AC80" s="187">
        <f>1.53+6.85</f>
        <v>8.379999999999999</v>
      </c>
      <c r="AD80" s="187"/>
      <c r="AE80" s="187">
        <v>8.1300000000000008</v>
      </c>
      <c r="AF80" s="187"/>
      <c r="AG80" s="187">
        <v>22.28</v>
      </c>
      <c r="AH80" s="187"/>
      <c r="AI80" s="187">
        <f>17.77+2.59</f>
        <v>20.36</v>
      </c>
      <c r="AJ80" s="187"/>
      <c r="AK80" s="187">
        <v>0.95</v>
      </c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f>1.77+4.4+3.11+105.81</f>
        <v>115.09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388.74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>
        <v>0</v>
      </c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>
        <v>0</v>
      </c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0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0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0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>
        <v>0</v>
      </c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>
        <v>1</v>
      </c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0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4781</v>
      </c>
      <c r="D111" s="174">
        <v>15130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593</v>
      </c>
      <c r="D114" s="174">
        <v>923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39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84</v>
      </c>
    </row>
    <row r="128" spans="1:5" ht="12.6" customHeight="1" x14ac:dyDescent="0.25">
      <c r="A128" s="173" t="s">
        <v>292</v>
      </c>
      <c r="B128" s="172" t="s">
        <v>256</v>
      </c>
      <c r="C128" s="189">
        <v>107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1963</v>
      </c>
      <c r="C138" s="189">
        <v>108</v>
      </c>
      <c r="D138" s="174">
        <f>4781-B138-C138</f>
        <v>2710</v>
      </c>
      <c r="E138" s="175">
        <f>SUM(B138:D138)</f>
        <v>4781</v>
      </c>
    </row>
    <row r="139" spans="1:6" ht="12.6" customHeight="1" x14ac:dyDescent="0.25">
      <c r="A139" s="173" t="s">
        <v>215</v>
      </c>
      <c r="B139" s="174">
        <v>6811</v>
      </c>
      <c r="C139" s="189">
        <v>298</v>
      </c>
      <c r="D139" s="174">
        <f>15130-B139-C139</f>
        <v>8021</v>
      </c>
      <c r="E139" s="175">
        <f>SUM(B139:D139)</f>
        <v>15130</v>
      </c>
    </row>
    <row r="140" spans="1:6" ht="12.6" customHeight="1" x14ac:dyDescent="0.25">
      <c r="A140" s="173" t="s">
        <v>298</v>
      </c>
      <c r="B140" s="174">
        <v>23820</v>
      </c>
      <c r="C140" s="174">
        <v>792</v>
      </c>
      <c r="D140" s="174">
        <f>70113-23820-792</f>
        <v>45501</v>
      </c>
      <c r="E140" s="175">
        <f>SUM(B140:D140)</f>
        <v>70113</v>
      </c>
    </row>
    <row r="141" spans="1:6" ht="12.6" customHeight="1" x14ac:dyDescent="0.25">
      <c r="A141" s="173" t="s">
        <v>245</v>
      </c>
      <c r="B141" s="174">
        <v>132106306</v>
      </c>
      <c r="C141" s="189">
        <v>4404698</v>
      </c>
      <c r="D141" s="174">
        <f>290843002-132106306-4404698</f>
        <v>154331998</v>
      </c>
      <c r="E141" s="175">
        <f>SUM(B141:D141)</f>
        <v>290843002</v>
      </c>
      <c r="F141" s="199"/>
    </row>
    <row r="142" spans="1:6" ht="12.6" customHeight="1" x14ac:dyDescent="0.25">
      <c r="A142" s="173" t="s">
        <v>246</v>
      </c>
      <c r="B142" s="174">
        <v>97474297.060000002</v>
      </c>
      <c r="C142" s="189">
        <v>3700648.23</v>
      </c>
      <c r="D142" s="174">
        <f>305549507.45-97474297.06-3700648.23</f>
        <v>204374562.16</v>
      </c>
      <c r="E142" s="175">
        <f>SUM(B142:D142)</f>
        <v>305549507.44999999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74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74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74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74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f>2805573.32-26764.09-111389.43</f>
        <v>2667419.7999999998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26764.09+111389.43</f>
        <v>138153.51999999999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513194.06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122928.04-1340000.31+3924040.6</f>
        <v>2706968.33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117388.16-10905.19</f>
        <v>106482.97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-2637.01+27877.28+50380.44+2.33+52821.46+50+30000-43302.91+3</f>
        <v>115194.59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6247413.2699999996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81323+597979</f>
        <v>679302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1860269-C175</f>
        <v>1180967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1860269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-350+1051640.96</f>
        <v>1051290.96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190425.60000000001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1241716.56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2893875.58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1943287.52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4837163.0999999996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9716684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9716684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3290000</v>
      </c>
      <c r="C195" s="189">
        <v>0</v>
      </c>
      <c r="D195" s="174">
        <v>130000</v>
      </c>
      <c r="E195" s="175">
        <f t="shared" ref="E195:E203" si="10">SUM(B195:C195)-D195</f>
        <v>3160000</v>
      </c>
    </row>
    <row r="196" spans="1:8" ht="12.6" customHeight="1" x14ac:dyDescent="0.25">
      <c r="A196" s="173" t="s">
        <v>333</v>
      </c>
      <c r="B196" s="174">
        <v>779999.66</v>
      </c>
      <c r="C196" s="189">
        <v>0</v>
      </c>
      <c r="D196" s="174">
        <v>70000</v>
      </c>
      <c r="E196" s="175">
        <f t="shared" si="10"/>
        <v>709999.66</v>
      </c>
    </row>
    <row r="197" spans="1:8" ht="12.6" customHeight="1" x14ac:dyDescent="0.25">
      <c r="A197" s="173" t="s">
        <v>334</v>
      </c>
      <c r="B197" s="174">
        <v>38232869</v>
      </c>
      <c r="C197" s="189">
        <f>4070000+4352</f>
        <v>4074352</v>
      </c>
      <c r="D197" s="174">
        <v>3870000</v>
      </c>
      <c r="E197" s="175">
        <f t="shared" si="10"/>
        <v>38437221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713074</v>
      </c>
      <c r="C199" s="189">
        <f>16236934.77+46011.44+1568586.47+86521.02+507255.74+20093.88+27831.54+42902.45+1386919.27+7360.26</f>
        <v>19930416.839999996</v>
      </c>
      <c r="D199" s="174">
        <v>0</v>
      </c>
      <c r="E199" s="175">
        <f t="shared" si="10"/>
        <v>20643490.839999996</v>
      </c>
    </row>
    <row r="200" spans="1:8" ht="12.6" customHeight="1" x14ac:dyDescent="0.25">
      <c r="A200" s="173" t="s">
        <v>337</v>
      </c>
      <c r="B200" s="174">
        <v>8269755</v>
      </c>
      <c r="C200" s="189">
        <f>888002.25+989207.5+38169.13+364531.03+309419.13+3331.15+3522.64-5094.16+60035+74981.91+52776.24+44420.05+22412.97+172328.89+57573.36+4101.98</f>
        <v>3079719.0700000003</v>
      </c>
      <c r="D200" s="174">
        <v>0</v>
      </c>
      <c r="E200" s="175">
        <f t="shared" si="10"/>
        <v>11349474.07</v>
      </c>
    </row>
    <row r="201" spans="1:8" ht="12.6" customHeight="1" x14ac:dyDescent="0.25">
      <c r="A201" s="173" t="s">
        <v>338</v>
      </c>
      <c r="B201" s="174">
        <v>5289952</v>
      </c>
      <c r="C201" s="189">
        <f>255222.77+258745.81+126611.1+6414.1+21507.78+7349.64+88190.69+903.23+38852.51+5809.18+1479.6+22748.28+74788.34+2308.45+538.42+100801.51+3234-49901.5+42538.11+833+-11715.77+45988.78+597.8-3808+16645.36+318.5+39512.03-1381.29+4430.12</f>
        <v>1099562.55</v>
      </c>
      <c r="D201" s="174">
        <v>0</v>
      </c>
      <c r="E201" s="175">
        <f t="shared" si="10"/>
        <v>6389514.5499999998</v>
      </c>
    </row>
    <row r="202" spans="1:8" ht="12.6" customHeight="1" x14ac:dyDescent="0.25">
      <c r="A202" s="173" t="s">
        <v>339</v>
      </c>
      <c r="B202" s="174">
        <v>8591546</v>
      </c>
      <c r="C202" s="189">
        <v>0</v>
      </c>
      <c r="D202" s="174">
        <v>4070000</v>
      </c>
      <c r="E202" s="175">
        <f t="shared" si="10"/>
        <v>4521546</v>
      </c>
    </row>
    <row r="203" spans="1:8" ht="12.6" customHeight="1" x14ac:dyDescent="0.25">
      <c r="A203" s="173" t="s">
        <v>340</v>
      </c>
      <c r="B203" s="174">
        <v>20195036</v>
      </c>
      <c r="C203" s="189">
        <v>-19216602</v>
      </c>
      <c r="D203" s="174">
        <v>0</v>
      </c>
      <c r="E203" s="175">
        <f t="shared" si="10"/>
        <v>978434</v>
      </c>
    </row>
    <row r="204" spans="1:8" ht="12.6" customHeight="1" x14ac:dyDescent="0.25">
      <c r="A204" s="173" t="s">
        <v>203</v>
      </c>
      <c r="B204" s="175">
        <f>SUM(B195:B203)</f>
        <v>85362231.659999996</v>
      </c>
      <c r="C204" s="191">
        <f>SUM(C195:C203)</f>
        <v>8967448.4599999972</v>
      </c>
      <c r="D204" s="175">
        <f>SUM(D195:D203)</f>
        <v>8140000</v>
      </c>
      <c r="E204" s="175">
        <f>SUM(E195:E203)</f>
        <v>86189680.11999999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162499</v>
      </c>
      <c r="C209" s="189">
        <v>88750</v>
      </c>
      <c r="D209" s="174">
        <v>14583.33</v>
      </c>
      <c r="E209" s="175">
        <f t="shared" ref="E209:E216" si="11">SUM(B209:C209)-D209</f>
        <v>236665.67</v>
      </c>
      <c r="H209" s="259"/>
    </row>
    <row r="210" spans="1:8" ht="12.6" customHeight="1" x14ac:dyDescent="0.25">
      <c r="A210" s="173" t="s">
        <v>334</v>
      </c>
      <c r="B210" s="174">
        <v>2680802</v>
      </c>
      <c r="C210" s="189">
        <f>4246227-2535302</f>
        <v>1710925</v>
      </c>
      <c r="D210" s="174">
        <f>-238888.89+384388.87</f>
        <v>145499.97999999998</v>
      </c>
      <c r="E210" s="175">
        <f t="shared" si="11"/>
        <v>4246227.0199999996</v>
      </c>
      <c r="H210" s="259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373749</v>
      </c>
      <c r="C212" s="189">
        <f>1453340-373749</f>
        <v>1079591</v>
      </c>
      <c r="D212" s="174">
        <v>0</v>
      </c>
      <c r="E212" s="175">
        <f t="shared" si="11"/>
        <v>1453340</v>
      </c>
      <c r="H212" s="259"/>
    </row>
    <row r="213" spans="1:8" ht="12.6" customHeight="1" x14ac:dyDescent="0.25">
      <c r="A213" s="173" t="s">
        <v>337</v>
      </c>
      <c r="B213" s="174">
        <v>2743775</v>
      </c>
      <c r="C213" s="189">
        <f>4370968-2675942-10</f>
        <v>1695016</v>
      </c>
      <c r="D213" s="174">
        <v>67833.33</v>
      </c>
      <c r="E213" s="175">
        <f t="shared" si="11"/>
        <v>4370957.67</v>
      </c>
      <c r="H213" s="259"/>
    </row>
    <row r="214" spans="1:8" ht="12.6" customHeight="1" x14ac:dyDescent="0.25">
      <c r="A214" s="173" t="s">
        <v>338</v>
      </c>
      <c r="B214" s="174">
        <v>747124</v>
      </c>
      <c r="C214" s="189">
        <f>1445352-747124</f>
        <v>698228</v>
      </c>
      <c r="D214" s="174">
        <v>0</v>
      </c>
      <c r="E214" s="175">
        <f t="shared" si="11"/>
        <v>1445352</v>
      </c>
      <c r="H214" s="259"/>
    </row>
    <row r="215" spans="1:8" ht="12.6" customHeight="1" x14ac:dyDescent="0.25">
      <c r="A215" s="173" t="s">
        <v>339</v>
      </c>
      <c r="B215" s="174">
        <v>594720</v>
      </c>
      <c r="C215" s="189">
        <f>923974-594720</f>
        <v>329254</v>
      </c>
      <c r="D215" s="174">
        <v>0</v>
      </c>
      <c r="E215" s="175">
        <f t="shared" si="11"/>
        <v>923974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7302669</v>
      </c>
      <c r="C217" s="191">
        <f>SUM(C208:C216)</f>
        <v>5601764</v>
      </c>
      <c r="D217" s="175">
        <f>SUM(D208:D216)</f>
        <v>227916.63999999996</v>
      </c>
      <c r="E217" s="175">
        <f>SUM(E208:E216)</f>
        <v>12676516.359999999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1" t="s">
        <v>1255</v>
      </c>
      <c r="C220" s="291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3347463</v>
      </c>
      <c r="D221" s="172">
        <f>C221</f>
        <v>3347463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192130725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3567370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9262715.5899999999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13254432.49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644152.4-182233.01+1065819.01+8922638-130363+242471754-2</f>
        <v>252791765.40000001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471007008.48000002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f>359032.58+1140778.59+157192.91+278183.42-67390.17+23586</f>
        <v>1891383.33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1510891.46+943234.23+1134.63+225208.02+168941.67-54644+19125.73</f>
        <v>2813891.7399999998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4705275.07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28576.99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28576.99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479088323.54000002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-846664.77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23209456+1</f>
        <v>23209457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5017444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-59000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321761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18930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3966862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658402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22252303.23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3160000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710000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45654890-710000</f>
        <v>44944890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f>20513280+78911+51300+1</f>
        <v>20643492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36396354-20513280-78911-51300</f>
        <v>15752863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978435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86189680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12676536+1</f>
        <v>12676537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73513143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448809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1188383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1637192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97402638.230000004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8269327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3084487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219344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594012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12167170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2547120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2547120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72862172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72862172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72862172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0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9826176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97402638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97402638.230000004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f>55748964+235094038</f>
        <v>290843002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305549507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596392509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3347463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469941191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5771094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28576.99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479088324.99000001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117304184.00999999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301063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301063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117605247.00999999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37832041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6247413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4232829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22233671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1174662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9046487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9443867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1860269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1241717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4837163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9716684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1094616+2470356+3330413+314120+2403672</f>
        <v>9613177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117479980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125267.00999999046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125267.00999999046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603000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728267.00999999046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Capital Medical Center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4781</v>
      </c>
      <c r="C414" s="194">
        <f>E138</f>
        <v>4781</v>
      </c>
      <c r="D414" s="179"/>
    </row>
    <row r="415" spans="1:5" ht="12.6" customHeight="1" x14ac:dyDescent="0.25">
      <c r="A415" s="179" t="s">
        <v>464</v>
      </c>
      <c r="B415" s="179">
        <f>D111</f>
        <v>15130</v>
      </c>
      <c r="C415" s="179">
        <f>E139</f>
        <v>15130</v>
      </c>
      <c r="D415" s="194">
        <f>SUM(C59:H59)+N59</f>
        <v>14741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593</v>
      </c>
    </row>
    <row r="424" spans="1:7" ht="12.6" customHeight="1" x14ac:dyDescent="0.25">
      <c r="A424" s="179" t="s">
        <v>1244</v>
      </c>
      <c r="B424" s="179">
        <f>D114</f>
        <v>923</v>
      </c>
      <c r="D424" s="179">
        <f>J59</f>
        <v>985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37832041</v>
      </c>
      <c r="C427" s="179">
        <f t="shared" ref="C427:C434" si="13">CE61</f>
        <v>38926654</v>
      </c>
      <c r="D427" s="179"/>
    </row>
    <row r="428" spans="1:7" ht="12.6" customHeight="1" x14ac:dyDescent="0.25">
      <c r="A428" s="179" t="s">
        <v>3</v>
      </c>
      <c r="B428" s="179">
        <f t="shared" si="12"/>
        <v>6247413</v>
      </c>
      <c r="C428" s="179">
        <f t="shared" si="13"/>
        <v>6247411</v>
      </c>
      <c r="D428" s="179">
        <f>D173</f>
        <v>6247413.2699999996</v>
      </c>
    </row>
    <row r="429" spans="1:7" ht="12.6" customHeight="1" x14ac:dyDescent="0.25">
      <c r="A429" s="179" t="s">
        <v>236</v>
      </c>
      <c r="B429" s="179">
        <f t="shared" si="12"/>
        <v>4232829</v>
      </c>
      <c r="C429" s="179">
        <f t="shared" si="13"/>
        <v>4232830</v>
      </c>
      <c r="D429" s="179"/>
    </row>
    <row r="430" spans="1:7" ht="12.6" customHeight="1" x14ac:dyDescent="0.25">
      <c r="A430" s="179" t="s">
        <v>237</v>
      </c>
      <c r="B430" s="179">
        <f t="shared" si="12"/>
        <v>22233671</v>
      </c>
      <c r="C430" s="179">
        <f t="shared" si="13"/>
        <v>22233672</v>
      </c>
      <c r="D430" s="179"/>
    </row>
    <row r="431" spans="1:7" ht="12.6" customHeight="1" x14ac:dyDescent="0.25">
      <c r="A431" s="179" t="s">
        <v>444</v>
      </c>
      <c r="B431" s="179">
        <f t="shared" si="12"/>
        <v>1174662</v>
      </c>
      <c r="C431" s="179">
        <f t="shared" si="13"/>
        <v>1174664</v>
      </c>
      <c r="D431" s="179"/>
    </row>
    <row r="432" spans="1:7" ht="12.6" customHeight="1" x14ac:dyDescent="0.25">
      <c r="A432" s="179" t="s">
        <v>445</v>
      </c>
      <c r="B432" s="179">
        <f t="shared" si="12"/>
        <v>9046487</v>
      </c>
      <c r="C432" s="179">
        <f t="shared" si="13"/>
        <v>9046485</v>
      </c>
      <c r="D432" s="179"/>
    </row>
    <row r="433" spans="1:7" ht="12.6" customHeight="1" x14ac:dyDescent="0.25">
      <c r="A433" s="179" t="s">
        <v>6</v>
      </c>
      <c r="B433" s="179">
        <f t="shared" si="12"/>
        <v>9443867</v>
      </c>
      <c r="C433" s="179">
        <f t="shared" si="13"/>
        <v>9443868</v>
      </c>
      <c r="D433" s="179">
        <f>C217</f>
        <v>5601764</v>
      </c>
    </row>
    <row r="434" spans="1:7" ht="12.6" customHeight="1" x14ac:dyDescent="0.25">
      <c r="A434" s="179" t="s">
        <v>474</v>
      </c>
      <c r="B434" s="179">
        <f t="shared" si="12"/>
        <v>1860269</v>
      </c>
      <c r="C434" s="179">
        <f t="shared" si="13"/>
        <v>1860269</v>
      </c>
      <c r="D434" s="179">
        <f>D177</f>
        <v>1860269</v>
      </c>
    </row>
    <row r="435" spans="1:7" ht="12.6" customHeight="1" x14ac:dyDescent="0.25">
      <c r="A435" s="179" t="s">
        <v>447</v>
      </c>
      <c r="B435" s="179">
        <f t="shared" si="12"/>
        <v>1241717</v>
      </c>
      <c r="C435" s="179"/>
      <c r="D435" s="179">
        <f>D181</f>
        <v>1241716.56</v>
      </c>
    </row>
    <row r="436" spans="1:7" ht="12.6" customHeight="1" x14ac:dyDescent="0.25">
      <c r="A436" s="179" t="s">
        <v>475</v>
      </c>
      <c r="B436" s="179">
        <f t="shared" si="12"/>
        <v>4837163</v>
      </c>
      <c r="C436" s="179"/>
      <c r="D436" s="179">
        <f>D186</f>
        <v>4837163.0999999996</v>
      </c>
    </row>
    <row r="437" spans="1:7" ht="12.6" customHeight="1" x14ac:dyDescent="0.25">
      <c r="A437" s="194" t="s">
        <v>449</v>
      </c>
      <c r="B437" s="194">
        <f t="shared" si="12"/>
        <v>9716684</v>
      </c>
      <c r="C437" s="194"/>
      <c r="D437" s="194">
        <f>D190</f>
        <v>9716684</v>
      </c>
    </row>
    <row r="438" spans="1:7" ht="12.6" customHeight="1" x14ac:dyDescent="0.25">
      <c r="A438" s="194" t="s">
        <v>476</v>
      </c>
      <c r="B438" s="194">
        <f>C386+C387+C388</f>
        <v>15795564</v>
      </c>
      <c r="C438" s="194">
        <f>CD69</f>
        <v>16992661</v>
      </c>
      <c r="D438" s="194">
        <f>D181+D186+D190</f>
        <v>15795563.66</v>
      </c>
    </row>
    <row r="439" spans="1:7" ht="12.6" customHeight="1" x14ac:dyDescent="0.25">
      <c r="A439" s="179" t="s">
        <v>451</v>
      </c>
      <c r="B439" s="194">
        <f>C389</f>
        <v>9613177</v>
      </c>
      <c r="C439" s="194">
        <f>SUM(C69:CC69)</f>
        <v>7321466</v>
      </c>
      <c r="D439" s="179"/>
    </row>
    <row r="440" spans="1:7" ht="12.6" customHeight="1" x14ac:dyDescent="0.25">
      <c r="A440" s="179" t="s">
        <v>477</v>
      </c>
      <c r="B440" s="194">
        <f>B438+B439</f>
        <v>25408741</v>
      </c>
      <c r="C440" s="194">
        <f>CE69</f>
        <v>24314127</v>
      </c>
      <c r="D440" s="179"/>
    </row>
    <row r="441" spans="1:7" ht="12.6" customHeight="1" x14ac:dyDescent="0.25">
      <c r="A441" s="179" t="s">
        <v>478</v>
      </c>
      <c r="B441" s="179">
        <f>D390</f>
        <v>117479980</v>
      </c>
      <c r="C441" s="179">
        <f>SUM(C427:C437)+C440</f>
        <v>117479980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3347463</v>
      </c>
      <c r="C444" s="179">
        <f>C363</f>
        <v>3347463</v>
      </c>
      <c r="D444" s="179"/>
    </row>
    <row r="445" spans="1:7" ht="12.6" customHeight="1" x14ac:dyDescent="0.25">
      <c r="A445" s="179" t="s">
        <v>343</v>
      </c>
      <c r="B445" s="179">
        <f>D229</f>
        <v>471007008.48000002</v>
      </c>
      <c r="C445" s="179">
        <f>C364</f>
        <v>469941191</v>
      </c>
      <c r="D445" s="179"/>
    </row>
    <row r="446" spans="1:7" ht="12.6" customHeight="1" x14ac:dyDescent="0.25">
      <c r="A446" s="179" t="s">
        <v>351</v>
      </c>
      <c r="B446" s="179">
        <f>D236</f>
        <v>4705275.07</v>
      </c>
      <c r="C446" s="179">
        <f>C365</f>
        <v>5771094</v>
      </c>
      <c r="D446" s="179"/>
    </row>
    <row r="447" spans="1:7" ht="12.6" customHeight="1" x14ac:dyDescent="0.25">
      <c r="A447" s="179" t="s">
        <v>356</v>
      </c>
      <c r="B447" s="179">
        <f>D240</f>
        <v>28576.99</v>
      </c>
      <c r="C447" s="179">
        <f>C366</f>
        <v>28576.99</v>
      </c>
      <c r="D447" s="179"/>
    </row>
    <row r="448" spans="1:7" ht="12.6" customHeight="1" x14ac:dyDescent="0.25">
      <c r="A448" s="179" t="s">
        <v>358</v>
      </c>
      <c r="B448" s="179">
        <f>D242</f>
        <v>479088323.54000002</v>
      </c>
      <c r="C448" s="179">
        <f>D367</f>
        <v>479088324.99000001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1891383.33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2813891.7399999998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301063</v>
      </c>
      <c r="C458" s="194">
        <f>CE70</f>
        <v>301063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290843002</v>
      </c>
      <c r="C463" s="194">
        <f>CE73</f>
        <v>290843001</v>
      </c>
      <c r="D463" s="194">
        <f>E141+E147+E153</f>
        <v>290843002</v>
      </c>
    </row>
    <row r="464" spans="1:7" ht="12.6" customHeight="1" x14ac:dyDescent="0.25">
      <c r="A464" s="179" t="s">
        <v>246</v>
      </c>
      <c r="B464" s="194">
        <f>C360</f>
        <v>305549507</v>
      </c>
      <c r="C464" s="194">
        <f>CE74</f>
        <v>305549505</v>
      </c>
      <c r="D464" s="194">
        <f>E142+E148+E154</f>
        <v>305549507.44999999</v>
      </c>
    </row>
    <row r="465" spans="1:7" ht="12.6" customHeight="1" x14ac:dyDescent="0.25">
      <c r="A465" s="179" t="s">
        <v>247</v>
      </c>
      <c r="B465" s="194">
        <f>D361</f>
        <v>596392509</v>
      </c>
      <c r="C465" s="194">
        <f>CE75</f>
        <v>596392506</v>
      </c>
      <c r="D465" s="194">
        <f>D463+D464</f>
        <v>596392509.45000005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3160000</v>
      </c>
      <c r="C468" s="179">
        <f>E195</f>
        <v>3160000</v>
      </c>
      <c r="D468" s="179"/>
    </row>
    <row r="469" spans="1:7" ht="12.6" customHeight="1" x14ac:dyDescent="0.25">
      <c r="A469" s="179" t="s">
        <v>333</v>
      </c>
      <c r="B469" s="179">
        <f t="shared" si="14"/>
        <v>710000</v>
      </c>
      <c r="C469" s="179">
        <f>E196</f>
        <v>709999.66</v>
      </c>
      <c r="D469" s="179"/>
    </row>
    <row r="470" spans="1:7" ht="12.6" customHeight="1" x14ac:dyDescent="0.25">
      <c r="A470" s="179" t="s">
        <v>334</v>
      </c>
      <c r="B470" s="179">
        <f t="shared" si="14"/>
        <v>44944890</v>
      </c>
      <c r="C470" s="179">
        <f>E197</f>
        <v>38437221</v>
      </c>
      <c r="D470" s="179"/>
    </row>
    <row r="471" spans="1:7" ht="12.6" customHeight="1" x14ac:dyDescent="0.25">
      <c r="A471" s="179" t="s">
        <v>494</v>
      </c>
      <c r="B471" s="179">
        <f t="shared" si="14"/>
        <v>20643492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20643490.839999996</v>
      </c>
      <c r="D472" s="179"/>
    </row>
    <row r="473" spans="1:7" ht="12.6" customHeight="1" x14ac:dyDescent="0.25">
      <c r="A473" s="179" t="s">
        <v>495</v>
      </c>
      <c r="B473" s="179">
        <f t="shared" si="14"/>
        <v>15752863</v>
      </c>
      <c r="C473" s="179">
        <f>SUM(E200:E201)</f>
        <v>17738988.620000001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4521546</v>
      </c>
      <c r="D474" s="179"/>
    </row>
    <row r="475" spans="1:7" ht="12.6" customHeight="1" x14ac:dyDescent="0.25">
      <c r="A475" s="179" t="s">
        <v>340</v>
      </c>
      <c r="B475" s="179">
        <f t="shared" si="14"/>
        <v>978435</v>
      </c>
      <c r="C475" s="179">
        <f>E203</f>
        <v>978434</v>
      </c>
      <c r="D475" s="179"/>
    </row>
    <row r="476" spans="1:7" ht="12.6" customHeight="1" x14ac:dyDescent="0.25">
      <c r="A476" s="179" t="s">
        <v>203</v>
      </c>
      <c r="B476" s="179">
        <f>D275</f>
        <v>86189680</v>
      </c>
      <c r="C476" s="179">
        <f>E204</f>
        <v>86189680.11999999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12676537</v>
      </c>
      <c r="C478" s="179">
        <f>E217</f>
        <v>12676516.359999999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97402638.230000004</v>
      </c>
    </row>
    <row r="482" spans="1:12" ht="12.6" customHeight="1" x14ac:dyDescent="0.25">
      <c r="A482" s="180" t="s">
        <v>499</v>
      </c>
      <c r="C482" s="180">
        <f>D339</f>
        <v>97402638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197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6168621</v>
      </c>
      <c r="C496" s="240">
        <f>C71</f>
        <v>6696286</v>
      </c>
      <c r="D496" s="240">
        <f>'Prior Year'!C59</f>
        <v>5905</v>
      </c>
      <c r="E496" s="180">
        <f>C59</f>
        <v>6656</v>
      </c>
      <c r="F496" s="263">
        <f t="shared" ref="F496:G511" si="15">IF(B496=0,"",IF(D496=0,"",B496/D496))</f>
        <v>1044.6436917866215</v>
      </c>
      <c r="G496" s="264">
        <f t="shared" si="15"/>
        <v>1006.0525841346154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4686386</v>
      </c>
      <c r="C498" s="240">
        <f>E71</f>
        <v>5307165</v>
      </c>
      <c r="D498" s="240">
        <f>'Prior Year'!E59</f>
        <v>7199</v>
      </c>
      <c r="E498" s="180">
        <f>E59</f>
        <v>8085</v>
      </c>
      <c r="F498" s="263">
        <f t="shared" si="15"/>
        <v>650.97735796638426</v>
      </c>
      <c r="G498" s="263">
        <f t="shared" si="15"/>
        <v>656.42115027829311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231325</v>
      </c>
      <c r="C503" s="240">
        <f>J71</f>
        <v>374253</v>
      </c>
      <c r="D503" s="240">
        <f>'Prior Year'!J59</f>
        <v>1030</v>
      </c>
      <c r="E503" s="180">
        <f>J59</f>
        <v>985</v>
      </c>
      <c r="F503" s="263">
        <f t="shared" si="15"/>
        <v>224.58737864077671</v>
      </c>
      <c r="G503" s="263">
        <f t="shared" si="15"/>
        <v>379.95228426395937</v>
      </c>
      <c r="H503" s="265">
        <f t="shared" si="16"/>
        <v>0.6917793268858885</v>
      </c>
      <c r="I503" s="267" t="s">
        <v>1278</v>
      </c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329749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4123409</v>
      </c>
      <c r="C508" s="240">
        <f>O71</f>
        <v>4275418</v>
      </c>
      <c r="D508" s="240">
        <f>'Prior Year'!O59</f>
        <v>1291</v>
      </c>
      <c r="E508" s="180">
        <f>O59</f>
        <v>1288</v>
      </c>
      <c r="F508" s="263">
        <f t="shared" si="15"/>
        <v>3193.9651432997675</v>
      </c>
      <c r="G508" s="263">
        <f t="shared" si="15"/>
        <v>3319.4239130434785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5809304</v>
      </c>
      <c r="C509" s="240">
        <f>P71</f>
        <v>5391644</v>
      </c>
      <c r="D509" s="240">
        <f>'Prior Year'!P59</f>
        <v>470107</v>
      </c>
      <c r="E509" s="180">
        <f>P59</f>
        <v>478339</v>
      </c>
      <c r="F509" s="263">
        <f t="shared" si="15"/>
        <v>12.357407994350222</v>
      </c>
      <c r="G509" s="263">
        <f t="shared" si="15"/>
        <v>11.271596085621285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1002863</v>
      </c>
      <c r="C510" s="240">
        <f>Q71</f>
        <v>1193372</v>
      </c>
      <c r="D510" s="240">
        <f>'Prior Year'!Q59</f>
        <v>320922</v>
      </c>
      <c r="E510" s="180">
        <f>Q59</f>
        <v>354162</v>
      </c>
      <c r="F510" s="263">
        <f t="shared" si="15"/>
        <v>3.1249431325991988</v>
      </c>
      <c r="G510" s="263">
        <f t="shared" si="15"/>
        <v>3.3695653401550705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904672</v>
      </c>
      <c r="C511" s="240">
        <f>R71</f>
        <v>993558</v>
      </c>
      <c r="D511" s="240">
        <f>'Prior Year'!R59</f>
        <v>491281</v>
      </c>
      <c r="E511" s="180">
        <f>R59</f>
        <v>531120</v>
      </c>
      <c r="F511" s="263">
        <f t="shared" si="15"/>
        <v>1.841455297477411</v>
      </c>
      <c r="G511" s="263">
        <f t="shared" si="15"/>
        <v>1.8706845910528693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1159834</v>
      </c>
      <c r="C512" s="240">
        <f>S71</f>
        <v>1011817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193031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3300570</v>
      </c>
      <c r="C514" s="240">
        <f>U71</f>
        <v>3439857</v>
      </c>
      <c r="D514" s="240">
        <f>'Prior Year'!U59</f>
        <v>240842</v>
      </c>
      <c r="E514" s="180">
        <f>U59</f>
        <v>257767</v>
      </c>
      <c r="F514" s="263">
        <f t="shared" si="17"/>
        <v>13.704295762367028</v>
      </c>
      <c r="G514" s="263">
        <f t="shared" si="17"/>
        <v>13.344830796804866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338764</v>
      </c>
      <c r="C516" s="240">
        <f>W71</f>
        <v>335055</v>
      </c>
      <c r="D516" s="240">
        <f>'Prior Year'!W59</f>
        <v>860</v>
      </c>
      <c r="E516" s="180">
        <f>W59</f>
        <v>791</v>
      </c>
      <c r="F516" s="263">
        <f t="shared" si="17"/>
        <v>393.91162790697672</v>
      </c>
      <c r="G516" s="263">
        <f t="shared" si="17"/>
        <v>423.5840707964602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1844387</v>
      </c>
      <c r="C517" s="240">
        <f>X71</f>
        <v>1925309</v>
      </c>
      <c r="D517" s="240">
        <f>'Prior Year'!X59</f>
        <v>17518</v>
      </c>
      <c r="E517" s="180">
        <f>X59</f>
        <v>16993</v>
      </c>
      <c r="F517" s="263">
        <f t="shared" si="17"/>
        <v>105.28524945770064</v>
      </c>
      <c r="G517" s="263">
        <f t="shared" si="17"/>
        <v>113.30012358029776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4748648</v>
      </c>
      <c r="C518" s="240">
        <f>Y71</f>
        <v>5081754</v>
      </c>
      <c r="D518" s="240">
        <f>'Prior Year'!Y59</f>
        <v>29164</v>
      </c>
      <c r="E518" s="180">
        <f>Y59</f>
        <v>30480</v>
      </c>
      <c r="F518" s="263">
        <f t="shared" si="17"/>
        <v>162.82567549033055</v>
      </c>
      <c r="G518" s="263">
        <f t="shared" si="17"/>
        <v>166.7242125984252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1649625</v>
      </c>
      <c r="C519" s="240">
        <f>Z71</f>
        <v>1568212</v>
      </c>
      <c r="D519" s="240">
        <f>'Prior Year'!Z59</f>
        <v>12993</v>
      </c>
      <c r="E519" s="180">
        <f>Z59</f>
        <v>13549</v>
      </c>
      <c r="F519" s="263">
        <f t="shared" si="17"/>
        <v>126.9625952435927</v>
      </c>
      <c r="G519" s="263">
        <f t="shared" si="17"/>
        <v>115.74374492582479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240387</v>
      </c>
      <c r="C520" s="240">
        <f>AA71</f>
        <v>242847</v>
      </c>
      <c r="D520" s="240">
        <f>'Prior Year'!AA59</f>
        <v>2204</v>
      </c>
      <c r="E520" s="180">
        <f>AA59</f>
        <v>2549</v>
      </c>
      <c r="F520" s="263">
        <f t="shared" si="17"/>
        <v>109.06851179673322</v>
      </c>
      <c r="G520" s="263">
        <f t="shared" si="17"/>
        <v>95.271479011377011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3954929</v>
      </c>
      <c r="C521" s="240">
        <f>AB71</f>
        <v>4424964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1178991.1600000001</v>
      </c>
      <c r="C522" s="240">
        <f>AC71</f>
        <v>1367512</v>
      </c>
      <c r="D522" s="240">
        <f>'Prior Year'!AC59</f>
        <v>15183</v>
      </c>
      <c r="E522" s="180">
        <f>AC59</f>
        <v>19492</v>
      </c>
      <c r="F522" s="263">
        <f t="shared" si="17"/>
        <v>77.65205558848713</v>
      </c>
      <c r="G522" s="263">
        <f t="shared" si="17"/>
        <v>70.157603119228398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1018394</v>
      </c>
      <c r="C524" s="240">
        <f>AE71</f>
        <v>1160923</v>
      </c>
      <c r="D524" s="240">
        <f>'Prior Year'!AE59</f>
        <v>26876</v>
      </c>
      <c r="E524" s="180">
        <f>AE59</f>
        <v>29730</v>
      </c>
      <c r="F524" s="263">
        <f t="shared" si="17"/>
        <v>37.89232028575681</v>
      </c>
      <c r="G524" s="263">
        <f t="shared" si="17"/>
        <v>39.04887319206189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3258609</v>
      </c>
      <c r="C526" s="240">
        <f>AG71</f>
        <v>3514440</v>
      </c>
      <c r="D526" s="240">
        <f>'Prior Year'!AG59</f>
        <v>19802</v>
      </c>
      <c r="E526" s="180">
        <f>AG59</f>
        <v>19607</v>
      </c>
      <c r="F526" s="263">
        <f t="shared" si="17"/>
        <v>164.55958994041006</v>
      </c>
      <c r="G526" s="263">
        <f t="shared" si="17"/>
        <v>179.24414749834244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2334228</v>
      </c>
      <c r="C528" s="240">
        <f>AI71</f>
        <v>2678188</v>
      </c>
      <c r="D528" s="240">
        <f>'Prior Year'!AI59</f>
        <v>7642</v>
      </c>
      <c r="E528" s="180">
        <f>AI59</f>
        <v>9065</v>
      </c>
      <c r="F528" s="263">
        <f t="shared" ref="F528:G540" si="18">IF(B528=0,"",IF(D528=0,"",B528/D528))</f>
        <v>305.44726511384454</v>
      </c>
      <c r="G528" s="263">
        <f t="shared" si="18"/>
        <v>295.44269167126311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119740</v>
      </c>
      <c r="C530" s="240">
        <f>AK71</f>
        <v>111178</v>
      </c>
      <c r="D530" s="240">
        <f>'Prior Year'!AK59</f>
        <v>5292</v>
      </c>
      <c r="E530" s="180">
        <f>AK59</f>
        <v>4992</v>
      </c>
      <c r="F530" s="263">
        <f t="shared" si="18"/>
        <v>22.626606198034768</v>
      </c>
      <c r="G530" s="263">
        <f t="shared" si="18"/>
        <v>22.271233974358974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64554</v>
      </c>
      <c r="C531" s="240">
        <f>AL71</f>
        <v>63885</v>
      </c>
      <c r="D531" s="240">
        <f>'Prior Year'!AL59</f>
        <v>998</v>
      </c>
      <c r="E531" s="180">
        <f>AL59</f>
        <v>0</v>
      </c>
      <c r="F531" s="263">
        <f t="shared" si="18"/>
        <v>64.68336673346694</v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805396</v>
      </c>
      <c r="C541" s="240">
        <f>AV71</f>
        <v>3294692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1828446</v>
      </c>
      <c r="C544" s="240">
        <f>AY71</f>
        <v>1868118</v>
      </c>
      <c r="D544" s="240">
        <f>'Prior Year'!AY59</f>
        <v>178174</v>
      </c>
      <c r="E544" s="180">
        <f>AY59</f>
        <v>49136</v>
      </c>
      <c r="F544" s="263">
        <f t="shared" ref="F544:G550" si="19">IF(B544=0,"",IF(D544=0,"",B544/D544))</f>
        <v>10.262137012134206</v>
      </c>
      <c r="G544" s="263">
        <f t="shared" si="19"/>
        <v>38.019334093129274</v>
      </c>
      <c r="H544" s="265">
        <f t="shared" si="16"/>
        <v>2.7048164576417437</v>
      </c>
      <c r="I544" s="267" t="s">
        <v>1279</v>
      </c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1097153</v>
      </c>
      <c r="C547" s="240">
        <f>BB71</f>
        <v>996611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16159907.549999999</v>
      </c>
      <c r="C549" s="240">
        <f>BD71</f>
        <v>15989044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3744004</v>
      </c>
      <c r="C550" s="240">
        <f>BE71</f>
        <v>3926839</v>
      </c>
      <c r="D550" s="240">
        <f>'Prior Year'!BE59</f>
        <v>155374</v>
      </c>
      <c r="E550" s="180">
        <f>BE59</f>
        <v>155374</v>
      </c>
      <c r="F550" s="263">
        <f t="shared" si="19"/>
        <v>24.096721459188796</v>
      </c>
      <c r="G550" s="263">
        <f t="shared" si="19"/>
        <v>25.273462741514024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1331913</v>
      </c>
      <c r="C551" s="240">
        <f>BF71</f>
        <v>1382215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117219</v>
      </c>
      <c r="C552" s="240">
        <f>BG71</f>
        <v>115124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2145193</v>
      </c>
      <c r="C553" s="240">
        <f>BH71</f>
        <v>2392818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10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434953</v>
      </c>
      <c r="C555" s="240">
        <f>BJ71</f>
        <v>473883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3044945</v>
      </c>
      <c r="C556" s="240">
        <f>BK71</f>
        <v>2225866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151213</v>
      </c>
      <c r="C557" s="240">
        <f>BL71</f>
        <v>1197393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106582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5167647.29</v>
      </c>
      <c r="C559" s="240">
        <f>BN71</f>
        <v>7232775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371598</v>
      </c>
      <c r="C561" s="240">
        <f>BP71</f>
        <v>261222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619889</v>
      </c>
      <c r="C563" s="240">
        <f>BR71</f>
        <v>4363566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16925</v>
      </c>
      <c r="C564" s="240">
        <f>BS71</f>
        <v>17384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203922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1195704</v>
      </c>
      <c r="C567" s="240">
        <f>BV71</f>
        <v>1090915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106330</v>
      </c>
      <c r="C568" s="240">
        <f>BW71</f>
        <v>115579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407348</v>
      </c>
      <c r="C569" s="240">
        <f>BX71</f>
        <v>605982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822172</v>
      </c>
      <c r="C570" s="240">
        <f>BY71</f>
        <v>902236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251742.41</v>
      </c>
      <c r="C572" s="240">
        <f>CA71</f>
        <v>343749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3036592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12650155</v>
      </c>
      <c r="C575" s="240">
        <f>CD71</f>
        <v>16691598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128336</v>
      </c>
      <c r="E612" s="180">
        <f>SUM(C624:D647)+SUM(C668:D713)</f>
        <v>108039414.10871464</v>
      </c>
      <c r="F612" s="180">
        <f>CE64-(AX64+BD64+BE64+BG64+BJ64+BN64+BP64+BQ64+CB64+CC64+CD64)</f>
        <v>6862473</v>
      </c>
      <c r="G612" s="180">
        <f>CE77-(AX77+AY77+BD77+BE77+BG77+BJ77+BN77+BP77+BQ77+CB77+CC77+CD77)</f>
        <v>49136</v>
      </c>
      <c r="H612" s="197">
        <f>CE60-(AX60+AY60+AZ60+BD60+BE60+BG60+BJ60+BN60+BO60+BP60+BQ60+BR60+CB60+CC60+CD60)</f>
        <v>396.98999999999995</v>
      </c>
      <c r="I612" s="180">
        <f>CE78-(AX78+AY78+AZ78+BD78+BE78+BF78+BG78+BJ78+BN78+BO78+BP78+BQ78+BR78+CB78+CC78+CD78)</f>
        <v>31407</v>
      </c>
      <c r="J612" s="180">
        <f>CE79-(AX79+AY79+AZ79+BA79+BD79+BE79+BF79+BG79+BJ79+BN79+BO79+BP79+BQ79+BR79+CB79+CC79+CD79)</f>
        <v>555251</v>
      </c>
      <c r="K612" s="180">
        <f>CE75-(AW75+AX75+AY75+AZ75+BA75+BB75+BC75+BD75+BE75+BF75+BG75+BH75+BI75+BJ75+BK75+BL75+BM75+BN75+BO75+BP75+BQ75+BR75+BS75+BT75+BU75+BV75+BW75+BX75+CB75+CC75+CD75)</f>
        <v>596392506</v>
      </c>
      <c r="L612" s="197">
        <f>CE80-(AW80+AX80+AY80+AZ80+BA80+BB80+BC80+BD80+BE80+BF80+BG80+BH80+BI80+BJ80+BK80+BL80+BM80+BN80+BO80+BP80+BQ80+BR80+BS80+BT80+BU80+BV80+BW80+BX80+BY80+BZ80+CA80+CB80+CC80+CD80)</f>
        <v>388.74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3926839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16691598</v>
      </c>
      <c r="D615" s="266">
        <f>SUM(C614:C615)</f>
        <v>20618437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473883</v>
      </c>
      <c r="D617" s="180">
        <f>(D615/D612)*BJ76</f>
        <v>262678.7845577235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115124</v>
      </c>
      <c r="D618" s="180">
        <f>(D615/D612)*BG76</f>
        <v>54142.354982234137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7232775</v>
      </c>
      <c r="D619" s="180">
        <f>(D615/D612)*BN76</f>
        <v>622556.75239215803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261222</v>
      </c>
      <c r="D621" s="180">
        <f>(D615/D612)*BP76</f>
        <v>117120.99935326019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9139502.8912853766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15989044</v>
      </c>
      <c r="D624" s="180">
        <f>(D615/D612)*BD76</f>
        <v>412092.40513184143</v>
      </c>
      <c r="E624" s="180">
        <f>(E623/E612)*SUM(C624:D624)</f>
        <v>1387440.2673475556</v>
      </c>
      <c r="F624" s="180">
        <f>SUM(C624:E624)</f>
        <v>17788576.672479399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1868118</v>
      </c>
      <c r="D625" s="180">
        <f>(D615/D612)*AY76</f>
        <v>880255.08293074428</v>
      </c>
      <c r="E625" s="180">
        <f>(E623/E612)*SUM(C625:D625)</f>
        <v>232496.29725408071</v>
      </c>
      <c r="F625" s="180">
        <f>(F624/F612)*AY64</f>
        <v>1525414.3613768159</v>
      </c>
      <c r="G625" s="180">
        <f>SUM(C625:F625)</f>
        <v>4506283.741561641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4363566</v>
      </c>
      <c r="D626" s="180">
        <f>(D615/D612)*BR76</f>
        <v>162748.38456084029</v>
      </c>
      <c r="E626" s="180">
        <f>(E623/E612)*SUM(C626:D626)</f>
        <v>382899.73845039163</v>
      </c>
      <c r="F626" s="180">
        <f>(F624/F612)*BR64</f>
        <v>25397.910379677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4934612.0333909085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1382215</v>
      </c>
      <c r="D629" s="180">
        <f>(D615/D612)*BF76</f>
        <v>367750.29838081286</v>
      </c>
      <c r="E629" s="180">
        <f>(E623/E612)*SUM(C629:D629)</f>
        <v>148036.83485460913</v>
      </c>
      <c r="F629" s="180">
        <f>(F624/F612)*BF64</f>
        <v>224358.57696388889</v>
      </c>
      <c r="G629" s="180">
        <f>(G625/G612)*BF77</f>
        <v>0</v>
      </c>
      <c r="H629" s="180">
        <f>(H628/H612)*BF60</f>
        <v>187196.79896941257</v>
      </c>
      <c r="I629" s="180">
        <f>SUM(C629:H629)</f>
        <v>2309557.5091687236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996611</v>
      </c>
      <c r="D632" s="180">
        <f>(D615/D612)*BB76</f>
        <v>118888.25723101858</v>
      </c>
      <c r="E632" s="180">
        <f>(E623/E612)*SUM(C632:D632)</f>
        <v>94364.716532345847</v>
      </c>
      <c r="F632" s="180">
        <f>(F624/F612)*BB64</f>
        <v>10596.719497052416</v>
      </c>
      <c r="G632" s="180">
        <f>(G625/G612)*BB77</f>
        <v>0</v>
      </c>
      <c r="H632" s="180">
        <f>(H628/H612)*BB60</f>
        <v>90863.784891527612</v>
      </c>
      <c r="I632" s="180">
        <f>(I629/I612)*BB78</f>
        <v>11030.459017903922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2225866</v>
      </c>
      <c r="D635" s="180">
        <f>(D615/D612)*BK76</f>
        <v>0</v>
      </c>
      <c r="E635" s="180">
        <f>(E623/E612)*SUM(C635:D635)</f>
        <v>188295.2523432177</v>
      </c>
      <c r="F635" s="180">
        <f>(F624/F612)*BK64</f>
        <v>1345.3271572823396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2392818</v>
      </c>
      <c r="D636" s="180">
        <f>(D615/D612)*BH76</f>
        <v>120816.1749158459</v>
      </c>
      <c r="E636" s="180">
        <f>(E623/E612)*SUM(C636:D636)</f>
        <v>212638.75779778074</v>
      </c>
      <c r="F636" s="180">
        <f>(F624/F612)*BH64</f>
        <v>126248.19627799434</v>
      </c>
      <c r="G636" s="180">
        <f>(G625/G612)*BH77</f>
        <v>0</v>
      </c>
      <c r="H636" s="180">
        <f>(H628/H612)*BH60</f>
        <v>61031.625693214854</v>
      </c>
      <c r="I636" s="180">
        <f>(I629/I612)*BH78</f>
        <v>11177.531804809309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1197393</v>
      </c>
      <c r="D637" s="180">
        <f>(D615/D612)*BL76</f>
        <v>289348.31253116817</v>
      </c>
      <c r="E637" s="180">
        <f>(E623/E612)*SUM(C637:D637)</f>
        <v>125769.6243224628</v>
      </c>
      <c r="F637" s="180">
        <f>(F624/F612)*BL64</f>
        <v>138047.67454379244</v>
      </c>
      <c r="G637" s="180">
        <f>(G625/G612)*BL77</f>
        <v>0</v>
      </c>
      <c r="H637" s="180">
        <f>(H628/H612)*BL60</f>
        <v>247979.8233359748</v>
      </c>
      <c r="I637" s="180">
        <f>(I629/I612)*BL78</f>
        <v>26767.247216780186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17384</v>
      </c>
      <c r="D639" s="180">
        <f>(D615/D612)*BS76</f>
        <v>45948.704821717991</v>
      </c>
      <c r="E639" s="180">
        <f>(E623/E612)*SUM(C639:D639)</f>
        <v>5357.5766178125314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4265.1108202561836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203922</v>
      </c>
      <c r="D641" s="180">
        <f>(D615/D612)*BU76</f>
        <v>539013.6527163072</v>
      </c>
      <c r="E641" s="180">
        <f>(E623/E612)*SUM(C641:D641)</f>
        <v>62848.013403767436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1090915</v>
      </c>
      <c r="D642" s="180">
        <f>(D615/D612)*BV76</f>
        <v>0</v>
      </c>
      <c r="E642" s="180">
        <f>(E623/E612)*SUM(C642:D642)</f>
        <v>92285.032077403273</v>
      </c>
      <c r="F642" s="180">
        <f>(F624/F612)*BV64</f>
        <v>64212.802196913515</v>
      </c>
      <c r="G642" s="180">
        <f>(G625/G612)*BV77</f>
        <v>0</v>
      </c>
      <c r="H642" s="180">
        <f>(H628/H612)*BV60</f>
        <v>140584.05022204889</v>
      </c>
      <c r="I642" s="180">
        <f>(I629/I612)*BV78</f>
        <v>49857.674760925729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115579</v>
      </c>
      <c r="D643" s="180">
        <f>(D615/D612)*BW76</f>
        <v>0</v>
      </c>
      <c r="E643" s="180">
        <f>(E623/E612)*SUM(C643:D643)</f>
        <v>9777.3077851841736</v>
      </c>
      <c r="F643" s="180">
        <f>(F624/F612)*BW64</f>
        <v>6760.3337691567276</v>
      </c>
      <c r="G643" s="180">
        <f>(G625/G612)*BW77</f>
        <v>0</v>
      </c>
      <c r="H643" s="180">
        <f>(H628/H612)*BW60</f>
        <v>16159.086232419411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605982</v>
      </c>
      <c r="D644" s="180">
        <f>(D615/D612)*BX76</f>
        <v>13334.763986722353</v>
      </c>
      <c r="E644" s="180">
        <f>(E623/E612)*SUM(C644:D644)</f>
        <v>52390.578029074917</v>
      </c>
      <c r="F644" s="180">
        <f>(F624/F612)*BX64</f>
        <v>7841.2613695165264</v>
      </c>
      <c r="G644" s="180">
        <f>(G625/G612)*BX77</f>
        <v>0</v>
      </c>
      <c r="H644" s="180">
        <f>(H628/H612)*BX60</f>
        <v>35549.989711322705</v>
      </c>
      <c r="I644" s="180">
        <f>(I629/I612)*BX78</f>
        <v>1250.118688695778</v>
      </c>
      <c r="J644" s="180">
        <f>(J630/J612)*BX79</f>
        <v>0</v>
      </c>
      <c r="K644" s="180">
        <f>SUM(C631:J644)</f>
        <v>11869115.542319423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902236</v>
      </c>
      <c r="D645" s="180">
        <f>(D615/D612)*BY76</f>
        <v>187168.6752353198</v>
      </c>
      <c r="E645" s="180">
        <f>(E623/E612)*SUM(C645:D645)</f>
        <v>92157.267430885622</v>
      </c>
      <c r="F645" s="180">
        <f>(F624/F612)*BY64</f>
        <v>2019.2868121829335</v>
      </c>
      <c r="G645" s="180">
        <f>(G625/G612)*BY77</f>
        <v>0</v>
      </c>
      <c r="H645" s="180">
        <f>(H628/H612)*BY60</f>
        <v>86637.562338433301</v>
      </c>
      <c r="I645" s="180">
        <f>(I629/I612)*BY78</f>
        <v>17281.052461382813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343749</v>
      </c>
      <c r="D647" s="180">
        <f>(D615/D612)*CA76</f>
        <v>359717.30802736565</v>
      </c>
      <c r="E647" s="180">
        <f>(E623/E612)*SUM(C647:D647)</f>
        <v>59509.137560376286</v>
      </c>
      <c r="F647" s="180">
        <f>(F624/F612)*CA64</f>
        <v>2231.8433187285054</v>
      </c>
      <c r="G647" s="180">
        <f>(G625/G612)*CA77</f>
        <v>0</v>
      </c>
      <c r="H647" s="180">
        <f>(H628/H612)*CA60</f>
        <v>20509.609448840019</v>
      </c>
      <c r="I647" s="180">
        <f>(I629/I612)*CA78</f>
        <v>33238.449840617155</v>
      </c>
      <c r="J647" s="180">
        <f>(J630/J612)*CA79</f>
        <v>0</v>
      </c>
      <c r="K647" s="180">
        <v>0</v>
      </c>
      <c r="L647" s="180">
        <f>SUM(C645:K647)</f>
        <v>2106455.1924741319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62396839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6696286</v>
      </c>
      <c r="D668" s="180">
        <f>(D615/D612)*C76</f>
        <v>1351470.2970639572</v>
      </c>
      <c r="E668" s="180">
        <f>(E623/E612)*SUM(C668:D668)</f>
        <v>680793.13972735871</v>
      </c>
      <c r="F668" s="180">
        <f>(F624/F612)*C64</f>
        <v>604808.8021552742</v>
      </c>
      <c r="G668" s="180">
        <f>(G625/G612)*C77</f>
        <v>1740205.4297487002</v>
      </c>
      <c r="H668" s="180">
        <f>(H628/H612)*C60</f>
        <v>710129.68958316999</v>
      </c>
      <c r="I668" s="180">
        <f>(I629/I612)*C78</f>
        <v>125011.8688695778</v>
      </c>
      <c r="J668" s="180">
        <f>(J630/J612)*C79</f>
        <v>0</v>
      </c>
      <c r="K668" s="180">
        <f>(K644/K612)*C75</f>
        <v>693006.5021771579</v>
      </c>
      <c r="L668" s="180">
        <f>(L647/L612)*C80</f>
        <v>247741.75901609639</v>
      </c>
      <c r="M668" s="180">
        <f t="shared" ref="M668:M713" si="20">ROUND(SUM(D668:L668),0)</f>
        <v>6153167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5307165</v>
      </c>
      <c r="D670" s="180">
        <f>(D615/D612)*E76</f>
        <v>1919884.694473881</v>
      </c>
      <c r="E670" s="180">
        <f>(E623/E612)*SUM(C670:D670)</f>
        <v>611366.15857285832</v>
      </c>
      <c r="F670" s="180">
        <f>(F624/F612)*E64</f>
        <v>486858.08609011373</v>
      </c>
      <c r="G670" s="180">
        <f>(G625/G612)*E77</f>
        <v>2136944.7546020797</v>
      </c>
      <c r="H670" s="180">
        <f>(H628/H612)*E60</f>
        <v>572653.1559442787</v>
      </c>
      <c r="I670" s="180">
        <f>(I629/I612)*E78</f>
        <v>177663.92658170586</v>
      </c>
      <c r="J670" s="180">
        <f>(J630/J612)*E79</f>
        <v>0</v>
      </c>
      <c r="K670" s="180">
        <f>(K644/K612)*E75</f>
        <v>390942.69154617609</v>
      </c>
      <c r="L670" s="180">
        <f>(L647/L612)*E80</f>
        <v>215825.77125133682</v>
      </c>
      <c r="M670" s="180">
        <f t="shared" si="20"/>
        <v>6512139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374253</v>
      </c>
      <c r="D675" s="180">
        <f>(D615/D612)*J76</f>
        <v>114550.44244015709</v>
      </c>
      <c r="E675" s="180">
        <f>(E623/E612)*SUM(C675:D675)</f>
        <v>41349.913939339946</v>
      </c>
      <c r="F675" s="180">
        <f>(F624/F612)*J64</f>
        <v>15088.91981221676</v>
      </c>
      <c r="G675" s="180">
        <f>(G625/G612)*J77</f>
        <v>275406.42453414213</v>
      </c>
      <c r="H675" s="180">
        <f>(H628/H612)*J60</f>
        <v>20012.406795534811</v>
      </c>
      <c r="I675" s="180">
        <f>(I629/I612)*J78</f>
        <v>10589.240657187765</v>
      </c>
      <c r="J675" s="180">
        <f>(J630/J612)*J79</f>
        <v>0</v>
      </c>
      <c r="K675" s="180">
        <f>(K644/K612)*J75</f>
        <v>62607.167065392357</v>
      </c>
      <c r="L675" s="180">
        <f>(L647/L612)*J80</f>
        <v>7965.4502570792147</v>
      </c>
      <c r="M675" s="180">
        <f t="shared" si="20"/>
        <v>547570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329749</v>
      </c>
      <c r="D679" s="180">
        <f>(D615/D612)*N76</f>
        <v>0</v>
      </c>
      <c r="E679" s="180">
        <f>(E623/E612)*SUM(C679:D679)</f>
        <v>27894.837858578947</v>
      </c>
      <c r="F679" s="180">
        <f>(F624/F612)*N64</f>
        <v>1023.9002449451332</v>
      </c>
      <c r="G679" s="180">
        <f>(G625/G612)*N77</f>
        <v>0</v>
      </c>
      <c r="H679" s="180">
        <f>(H628/H612)*N60</f>
        <v>40894.91823435374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14684.605575975967</v>
      </c>
      <c r="M679" s="180">
        <f t="shared" si="20"/>
        <v>84498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4275418</v>
      </c>
      <c r="D680" s="180">
        <f>(D615/D612)*O76</f>
        <v>3623681.9484400325</v>
      </c>
      <c r="E680" s="180">
        <f>(E623/E612)*SUM(C680:D680)</f>
        <v>668217.68160159397</v>
      </c>
      <c r="F680" s="180">
        <f>(F624/F612)*O64</f>
        <v>390489.63189688529</v>
      </c>
      <c r="G680" s="180">
        <f>(G625/G612)*O77</f>
        <v>353727.1326767187</v>
      </c>
      <c r="H680" s="180">
        <f>(H628/H612)*O60</f>
        <v>270478.2433980357</v>
      </c>
      <c r="I680" s="180">
        <f>(I629/I612)*O78</f>
        <v>335252.41775082657</v>
      </c>
      <c r="J680" s="180">
        <f>(J630/J612)*O79</f>
        <v>0</v>
      </c>
      <c r="K680" s="180">
        <f>(K644/K612)*O75</f>
        <v>353948.39861332654</v>
      </c>
      <c r="L680" s="180">
        <f>(L647/L612)*O80</f>
        <v>95368.656139179715</v>
      </c>
      <c r="M680" s="180">
        <f t="shared" si="20"/>
        <v>6091164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5391644</v>
      </c>
      <c r="D681" s="180">
        <f>(D615/D612)*P76</f>
        <v>362930.50416874455</v>
      </c>
      <c r="E681" s="180">
        <f>(E623/E612)*SUM(C681:D681)</f>
        <v>486803.36479837535</v>
      </c>
      <c r="F681" s="180">
        <f>(F624/F612)*P64</f>
        <v>1687556.0935833047</v>
      </c>
      <c r="G681" s="180">
        <f>(G625/G612)*P77</f>
        <v>0</v>
      </c>
      <c r="H681" s="180">
        <f>(H628/H612)*P60</f>
        <v>381230.13442177186</v>
      </c>
      <c r="I681" s="180">
        <f>(I629/I612)*P78</f>
        <v>33606.131807880622</v>
      </c>
      <c r="J681" s="180">
        <f>(J630/J612)*P79</f>
        <v>0</v>
      </c>
      <c r="K681" s="180">
        <f>(K644/K612)*P75</f>
        <v>3530418.1685298248</v>
      </c>
      <c r="L681" s="180">
        <f>(L647/L612)*P80</f>
        <v>144570.2128291656</v>
      </c>
      <c r="M681" s="180">
        <f t="shared" si="20"/>
        <v>6627115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1193372</v>
      </c>
      <c r="D682" s="180">
        <f>(D615/D612)*Q76</f>
        <v>461414.96590200724</v>
      </c>
      <c r="E682" s="180">
        <f>(E623/E612)*SUM(C682:D682)</f>
        <v>139985.30429000937</v>
      </c>
      <c r="F682" s="180">
        <f>(F624/F612)*Q64</f>
        <v>92754.993581953677</v>
      </c>
      <c r="G682" s="180">
        <f>(G625/G612)*Q77</f>
        <v>0</v>
      </c>
      <c r="H682" s="180">
        <f>(H628/H612)*Q60</f>
        <v>88750.673614980449</v>
      </c>
      <c r="I682" s="180">
        <f>(I629/I612)*Q78</f>
        <v>42724.644596014528</v>
      </c>
      <c r="J682" s="180">
        <f>(J630/J612)*Q79</f>
        <v>0</v>
      </c>
      <c r="K682" s="180">
        <f>(K644/K612)*Q75</f>
        <v>512955.70747007773</v>
      </c>
      <c r="L682" s="180">
        <f>(L647/L612)*Q80</f>
        <v>31645.054082545994</v>
      </c>
      <c r="M682" s="180">
        <f t="shared" si="20"/>
        <v>1370231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993558</v>
      </c>
      <c r="D683" s="180">
        <f>(D615/D612)*R76</f>
        <v>55106.313824647797</v>
      </c>
      <c r="E683" s="180">
        <f>(E623/E612)*SUM(C683:D683)</f>
        <v>88710.871002539818</v>
      </c>
      <c r="F683" s="180">
        <f>(F624/F612)*R64</f>
        <v>462834.01654542639</v>
      </c>
      <c r="G683" s="180">
        <f>(G625/G612)*R77</f>
        <v>0</v>
      </c>
      <c r="H683" s="180">
        <f>(H628/H612)*R60</f>
        <v>23492.825368671296</v>
      </c>
      <c r="I683" s="180">
        <f>(I629/I612)*R78</f>
        <v>5074.0111482358043</v>
      </c>
      <c r="J683" s="180">
        <f>(J630/J612)*R79</f>
        <v>0</v>
      </c>
      <c r="K683" s="180">
        <f>(K644/K612)*R75</f>
        <v>332220.6588086462</v>
      </c>
      <c r="L683" s="180">
        <f>(L647/L612)*R80</f>
        <v>8994.9982494908127</v>
      </c>
      <c r="M683" s="180">
        <f t="shared" si="20"/>
        <v>976434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1011817</v>
      </c>
      <c r="D684" s="180">
        <f>(D615/D612)*S76</f>
        <v>463824.8630080414</v>
      </c>
      <c r="E684" s="180">
        <f>(E623/E612)*SUM(C684:D684)</f>
        <v>124830.67577442444</v>
      </c>
      <c r="F684" s="180">
        <f>(F624/F612)*S64</f>
        <v>368811.46038175584</v>
      </c>
      <c r="G684" s="180">
        <f>(G625/G612)*S77</f>
        <v>0</v>
      </c>
      <c r="H684" s="180">
        <f>(H628/H612)*S60</f>
        <v>109011.68173716788</v>
      </c>
      <c r="I684" s="180">
        <f>(I629/I612)*S78</f>
        <v>42945.253776372607</v>
      </c>
      <c r="J684" s="180">
        <f>(J630/J612)*S79</f>
        <v>0</v>
      </c>
      <c r="K684" s="180">
        <f>(K644/K612)*S75</f>
        <v>0</v>
      </c>
      <c r="L684" s="180">
        <f>(L647/L612)*S80</f>
        <v>28664.783578196631</v>
      </c>
      <c r="M684" s="180">
        <f t="shared" si="20"/>
        <v>1138089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3439857</v>
      </c>
      <c r="D686" s="180">
        <f>(D615/D612)*U76</f>
        <v>440850.51059718238</v>
      </c>
      <c r="E686" s="180">
        <f>(E623/E612)*SUM(C686:D686)</f>
        <v>328285.17079559894</v>
      </c>
      <c r="F686" s="180">
        <f>(F624/F612)*U64</f>
        <v>2605657.6334716389</v>
      </c>
      <c r="G686" s="180">
        <f>(G625/G612)*U77</f>
        <v>0</v>
      </c>
      <c r="H686" s="180">
        <f>(H628/H612)*U60</f>
        <v>249595.73195921673</v>
      </c>
      <c r="I686" s="180">
        <f>(I629/I612)*U78</f>
        <v>40812.698366244513</v>
      </c>
      <c r="J686" s="180">
        <f>(J630/J612)*U79</f>
        <v>0</v>
      </c>
      <c r="K686" s="180">
        <f>(K644/K612)*U75</f>
        <v>790554.48385773692</v>
      </c>
      <c r="L686" s="180">
        <f>(L647/L612)*U80</f>
        <v>99486.848108826103</v>
      </c>
      <c r="M686" s="180">
        <f t="shared" si="20"/>
        <v>4555243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335055</v>
      </c>
      <c r="D688" s="180">
        <f>(D615/D612)*W76</f>
        <v>141701.94983480862</v>
      </c>
      <c r="E688" s="180">
        <f>(E623/E612)*SUM(C688:D688)</f>
        <v>40330.851082467707</v>
      </c>
      <c r="F688" s="180">
        <f>(F624/F612)*W64</f>
        <v>13186.279863382006</v>
      </c>
      <c r="G688" s="180">
        <f>(G625/G612)*W77</f>
        <v>0</v>
      </c>
      <c r="H688" s="180">
        <f>(H628/H612)*W60</f>
        <v>17153.491539029834</v>
      </c>
      <c r="I688" s="180">
        <f>(I629/I612)*W78</f>
        <v>13089.478034579322</v>
      </c>
      <c r="J688" s="180">
        <f>(J630/J612)*W79</f>
        <v>0</v>
      </c>
      <c r="K688" s="180">
        <f>(K644/K612)*W75</f>
        <v>103121.68011206831</v>
      </c>
      <c r="L688" s="180">
        <f>(L647/L612)*W80</f>
        <v>6827.5287917821843</v>
      </c>
      <c r="M688" s="180">
        <f t="shared" si="20"/>
        <v>335411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1925309</v>
      </c>
      <c r="D689" s="180">
        <f>(D615/D612)*X76</f>
        <v>961388.285500561</v>
      </c>
      <c r="E689" s="180">
        <f>(E623/E612)*SUM(C689:D689)</f>
        <v>244197.71622002835</v>
      </c>
      <c r="F689" s="180">
        <f>(F624/F612)*X64</f>
        <v>106775.94655640487</v>
      </c>
      <c r="G689" s="180">
        <f>(G625/G612)*X77</f>
        <v>0</v>
      </c>
      <c r="H689" s="180">
        <f>(H628/H612)*X60</f>
        <v>67370.959522856312</v>
      </c>
      <c r="I689" s="180">
        <f>(I629/I612)*X78</f>
        <v>88905.499684305614</v>
      </c>
      <c r="J689" s="180">
        <f>(J630/J612)*X79</f>
        <v>0</v>
      </c>
      <c r="K689" s="180">
        <f>(K644/K612)*X75</f>
        <v>1225359.999261359</v>
      </c>
      <c r="L689" s="180">
        <f>(L647/L612)*X80</f>
        <v>29423.397888394647</v>
      </c>
      <c r="M689" s="180">
        <f t="shared" si="20"/>
        <v>2723422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5081754</v>
      </c>
      <c r="D690" s="180">
        <f>(D615/D612)*Y76</f>
        <v>2259037.5471964218</v>
      </c>
      <c r="E690" s="180">
        <f>(E623/E612)*SUM(C690:D690)</f>
        <v>620988.05443737831</v>
      </c>
      <c r="F690" s="180">
        <f>(F624/F612)*Y64</f>
        <v>552880.2107451834</v>
      </c>
      <c r="G690" s="180">
        <f>(G625/G612)*Y77</f>
        <v>0</v>
      </c>
      <c r="H690" s="180">
        <f>(H628/H612)*Y60</f>
        <v>355624.19777655334</v>
      </c>
      <c r="I690" s="180">
        <f>(I629/I612)*Y78</f>
        <v>208990.430192553</v>
      </c>
      <c r="J690" s="180">
        <f>(J630/J612)*Y79</f>
        <v>0</v>
      </c>
      <c r="K690" s="180">
        <f>(K644/K612)*Y75</f>
        <v>1118450.0853072561</v>
      </c>
      <c r="L690" s="180">
        <f>(L647/L612)*Y80</f>
        <v>133353.55838552344</v>
      </c>
      <c r="M690" s="180">
        <f t="shared" si="20"/>
        <v>5249324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1568212</v>
      </c>
      <c r="D691" s="180">
        <f>(D615/D612)*Z76</f>
        <v>808761.46878506418</v>
      </c>
      <c r="E691" s="180">
        <f>(E623/E612)*SUM(C691:D691)</f>
        <v>201078.06090663909</v>
      </c>
      <c r="F691" s="180">
        <f>(F624/F612)*Z64</f>
        <v>53603.121937266857</v>
      </c>
      <c r="G691" s="180">
        <f>(G625/G612)*Z77</f>
        <v>0</v>
      </c>
      <c r="H691" s="180">
        <f>(H628/H612)*Z60</f>
        <v>64014.841613046134</v>
      </c>
      <c r="I691" s="180">
        <f>(I629/I612)*Z78</f>
        <v>74860.048534841291</v>
      </c>
      <c r="J691" s="180">
        <f>(J630/J612)*Z79</f>
        <v>0</v>
      </c>
      <c r="K691" s="180">
        <f>(K644/K612)*Z75</f>
        <v>628352.70291591925</v>
      </c>
      <c r="L691" s="180">
        <f>(L647/L612)*Z80</f>
        <v>25034.272236534674</v>
      </c>
      <c r="M691" s="180">
        <f t="shared" si="20"/>
        <v>1855705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242847</v>
      </c>
      <c r="D692" s="180">
        <f>(D615/D612)*AA76</f>
        <v>58480.169773095622</v>
      </c>
      <c r="E692" s="180">
        <f>(E623/E612)*SUM(C692:D692)</f>
        <v>25490.51716064338</v>
      </c>
      <c r="F692" s="180">
        <f>(F624/F612)*AA64</f>
        <v>-9578.0035571449807</v>
      </c>
      <c r="G692" s="180">
        <f>(G625/G612)*AA77</f>
        <v>0</v>
      </c>
      <c r="H692" s="180">
        <f>(H628/H612)*AA60</f>
        <v>15413.282252461593</v>
      </c>
      <c r="I692" s="180">
        <f>(I629/I612)*AA78</f>
        <v>5441.693115499269</v>
      </c>
      <c r="J692" s="180">
        <f>(J630/J612)*AA79</f>
        <v>0</v>
      </c>
      <c r="K692" s="180">
        <f>(K644/K612)*AA75</f>
        <v>76080.494012512398</v>
      </c>
      <c r="L692" s="180">
        <f>(L647/L612)*AA80</f>
        <v>6285.6614273550258</v>
      </c>
      <c r="M692" s="180">
        <f t="shared" si="20"/>
        <v>177614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4424964</v>
      </c>
      <c r="D693" s="180">
        <f>(D615/D612)*AB76</f>
        <v>202110.03729273158</v>
      </c>
      <c r="E693" s="180">
        <f>(E623/E612)*SUM(C693:D693)</f>
        <v>391423.41608290258</v>
      </c>
      <c r="F693" s="180">
        <f>(F624/F612)*AB64</f>
        <v>6766925.6130121592</v>
      </c>
      <c r="G693" s="180">
        <f>(G625/G612)*AB77</f>
        <v>0</v>
      </c>
      <c r="H693" s="180">
        <f>(H628/H612)*AB60</f>
        <v>154381.42385126854</v>
      </c>
      <c r="I693" s="180">
        <f>(I629/I612)*AB78</f>
        <v>18678.243936983978</v>
      </c>
      <c r="J693" s="180">
        <f>(J630/J612)*AB79</f>
        <v>0</v>
      </c>
      <c r="K693" s="180">
        <f>(K644/K612)*AB75</f>
        <v>454777.94141696417</v>
      </c>
      <c r="L693" s="180">
        <f>(L647/L612)*AB80</f>
        <v>61285.198916711503</v>
      </c>
      <c r="M693" s="180">
        <f t="shared" si="20"/>
        <v>8049582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1367512</v>
      </c>
      <c r="D694" s="180">
        <f>(D615/D612)*AC76</f>
        <v>680394.28293697792</v>
      </c>
      <c r="E694" s="180">
        <f>(E623/E612)*SUM(C694:D694)</f>
        <v>173240.90053978056</v>
      </c>
      <c r="F694" s="180">
        <f>(F624/F612)*AC64</f>
        <v>173798.64208375011</v>
      </c>
      <c r="G694" s="180">
        <f>(G625/G612)*AC77</f>
        <v>0</v>
      </c>
      <c r="H694" s="180">
        <f>(H628/H612)*AC60</f>
        <v>120571.64342651406</v>
      </c>
      <c r="I694" s="180">
        <f>(I629/I612)*AC78</f>
        <v>62947.152795505055</v>
      </c>
      <c r="J694" s="180">
        <f>(J630/J612)*AC79</f>
        <v>0</v>
      </c>
      <c r="K694" s="180">
        <f>(K644/K612)*AC75</f>
        <v>227497.72254762909</v>
      </c>
      <c r="L694" s="180">
        <f>(L647/L612)*AC80</f>
        <v>45408.485138995791</v>
      </c>
      <c r="M694" s="180">
        <f t="shared" si="20"/>
        <v>1483859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1160923</v>
      </c>
      <c r="D696" s="180">
        <f>(D615/D612)*AE76</f>
        <v>676859.76718146109</v>
      </c>
      <c r="E696" s="180">
        <f>(E623/E612)*SUM(C696:D696)</f>
        <v>155465.67937982344</v>
      </c>
      <c r="F696" s="180">
        <f>(F624/F612)*AE64</f>
        <v>34063.476250187327</v>
      </c>
      <c r="G696" s="180">
        <f>(G625/G612)*AE77</f>
        <v>0</v>
      </c>
      <c r="H696" s="180">
        <f>(H628/H612)*AE60</f>
        <v>115351.01556680934</v>
      </c>
      <c r="I696" s="180">
        <f>(I629/I612)*AE78</f>
        <v>62653.007221694286</v>
      </c>
      <c r="J696" s="180">
        <f>(J630/J612)*AE79</f>
        <v>0</v>
      </c>
      <c r="K696" s="180">
        <f>(K644/K612)*AE75</f>
        <v>100190.30608053344</v>
      </c>
      <c r="L696" s="180">
        <f>(L647/L612)*AE80</f>
        <v>44053.816727927908</v>
      </c>
      <c r="M696" s="180">
        <f t="shared" si="20"/>
        <v>1188637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3514440</v>
      </c>
      <c r="D698" s="180">
        <f>(D615/D612)*AG76</f>
        <v>682482.86042887415</v>
      </c>
      <c r="E698" s="180">
        <f>(E623/E612)*SUM(C698:D698)</f>
        <v>355035.14096063009</v>
      </c>
      <c r="F698" s="180">
        <f>(F624/F612)*AG64</f>
        <v>319464.65288043808</v>
      </c>
      <c r="G698" s="180">
        <f>(G625/G612)*AG77</f>
        <v>0</v>
      </c>
      <c r="H698" s="180">
        <f>(H628/H612)*AG60</f>
        <v>309135.74969251599</v>
      </c>
      <c r="I698" s="180">
        <f>(I629/I612)*AG78</f>
        <v>63167.761975863134</v>
      </c>
      <c r="J698" s="180">
        <f>(J630/J612)*AG79</f>
        <v>0</v>
      </c>
      <c r="K698" s="180">
        <f>(K644/K612)*AG75</f>
        <v>948291.67790538154</v>
      </c>
      <c r="L698" s="180">
        <f>(L647/L612)*AG80</f>
        <v>120728.04879437068</v>
      </c>
      <c r="M698" s="180">
        <f t="shared" si="20"/>
        <v>2798306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2678188</v>
      </c>
      <c r="D700" s="180">
        <f>(D615/D612)*AI76</f>
        <v>799925.17939627229</v>
      </c>
      <c r="E700" s="180">
        <f>(E623/E612)*SUM(C700:D700)</f>
        <v>294228.04373340186</v>
      </c>
      <c r="F700" s="180">
        <f>(F624/F612)*AI64</f>
        <v>641951.75559785345</v>
      </c>
      <c r="G700" s="180">
        <f>(G625/G612)*AI77</f>
        <v>0</v>
      </c>
      <c r="H700" s="180">
        <f>(H628/H612)*AI60</f>
        <v>280670.89779079257</v>
      </c>
      <c r="I700" s="180">
        <f>(I629/I612)*AI78</f>
        <v>73977.611813408977</v>
      </c>
      <c r="J700" s="180">
        <f>(J630/J612)*AI79</f>
        <v>0</v>
      </c>
      <c r="K700" s="180">
        <f>(K644/K612)*AI75</f>
        <v>155658.34129592322</v>
      </c>
      <c r="L700" s="180">
        <f>(L647/L612)*AI80</f>
        <v>110324.19539736926</v>
      </c>
      <c r="M700" s="180">
        <f t="shared" si="20"/>
        <v>2356736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111178</v>
      </c>
      <c r="D702" s="180">
        <f>(D615/D612)*AK76</f>
        <v>0</v>
      </c>
      <c r="E702" s="180">
        <f>(E623/E612)*SUM(C702:D702)</f>
        <v>9405.0089111448106</v>
      </c>
      <c r="F702" s="180">
        <f>(F624/F612)*AK64</f>
        <v>5609.418050788021</v>
      </c>
      <c r="G702" s="180">
        <f>(G625/G612)*AK77</f>
        <v>0</v>
      </c>
      <c r="H702" s="180">
        <f>(H628/H612)*AK60</f>
        <v>12678.667659282923</v>
      </c>
      <c r="I702" s="180">
        <f>(I629/I612)*AK78</f>
        <v>0</v>
      </c>
      <c r="J702" s="180">
        <f>(J630/J612)*AK79</f>
        <v>0</v>
      </c>
      <c r="K702" s="180">
        <f>(K644/K612)*AK75</f>
        <v>19316.153591764247</v>
      </c>
      <c r="L702" s="180">
        <f>(L647/L612)*AK80</f>
        <v>5147.7399620579954</v>
      </c>
      <c r="M702" s="180">
        <f t="shared" si="20"/>
        <v>52157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63885</v>
      </c>
      <c r="D703" s="180">
        <f>(D615/D612)*AL76</f>
        <v>0</v>
      </c>
      <c r="E703" s="180">
        <f>(E623/E612)*SUM(C703:D703)</f>
        <v>5404.2975614643747</v>
      </c>
      <c r="F703" s="180">
        <f>(F624/F612)*AL64</f>
        <v>0</v>
      </c>
      <c r="G703" s="180">
        <f>(G625/G612)*AL77</f>
        <v>0</v>
      </c>
      <c r="H703" s="180">
        <f>(H628/H612)*AL60</f>
        <v>6339.3338296414613</v>
      </c>
      <c r="I703" s="180">
        <f>(I629/I612)*AL78</f>
        <v>0</v>
      </c>
      <c r="J703" s="180">
        <f>(J630/J612)*AL79</f>
        <v>0</v>
      </c>
      <c r="K703" s="180">
        <f>(K644/K612)*AL75</f>
        <v>8089.3496763204357</v>
      </c>
      <c r="L703" s="180">
        <f>(L647/L612)*AL80</f>
        <v>0</v>
      </c>
      <c r="M703" s="180">
        <f t="shared" si="20"/>
        <v>19833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3294692</v>
      </c>
      <c r="D713" s="180">
        <f>(D615/D612)*AV76</f>
        <v>0</v>
      </c>
      <c r="E713" s="180">
        <f>(E623/E612)*SUM(C713:D713)</f>
        <v>278711.68414144451</v>
      </c>
      <c r="F713" s="180">
        <f>(F624/F612)*AV64</f>
        <v>279537.7276326156</v>
      </c>
      <c r="G713" s="180">
        <f>(G625/G612)*AV77</f>
        <v>0</v>
      </c>
      <c r="H713" s="180">
        <f>(H628/H612)*AV60</f>
        <v>63144.736969761994</v>
      </c>
      <c r="I713" s="180">
        <f>(I629/I612)*AV78</f>
        <v>668298.74369807239</v>
      </c>
      <c r="J713" s="180">
        <f>(J630/J612)*AV79</f>
        <v>0</v>
      </c>
      <c r="K713" s="180">
        <f>(K644/K612)*AV75</f>
        <v>137275.31012745237</v>
      </c>
      <c r="L713" s="180">
        <f>(L647/L612)*AV80</f>
        <v>623635.14971921558</v>
      </c>
      <c r="M713" s="180">
        <f t="shared" si="20"/>
        <v>2050603</v>
      </c>
      <c r="N713" s="199" t="s">
        <v>741</v>
      </c>
    </row>
    <row r="715" spans="1:15" ht="12.6" customHeight="1" x14ac:dyDescent="0.25">
      <c r="C715" s="180">
        <f>SUM(C614:C647)+SUM(C668:C713)</f>
        <v>117178917</v>
      </c>
      <c r="D715" s="180">
        <f>SUM(D616:D647)+SUM(D668:D713)</f>
        <v>20618437</v>
      </c>
      <c r="E715" s="180">
        <f>SUM(E624:E647)+SUM(E668:E713)</f>
        <v>9139502.8912853766</v>
      </c>
      <c r="F715" s="180">
        <f>SUM(F625:F648)+SUM(F668:F713)</f>
        <v>17788576.672479399</v>
      </c>
      <c r="G715" s="180">
        <f>SUM(G626:G647)+SUM(G668:G713)</f>
        <v>4506283.741561641</v>
      </c>
      <c r="H715" s="180">
        <f>SUM(H629:H647)+SUM(H668:H713)</f>
        <v>4934612.0333909094</v>
      </c>
      <c r="I715" s="180">
        <f>SUM(I630:I647)+SUM(I668:I713)</f>
        <v>2309557.5091687236</v>
      </c>
      <c r="J715" s="180">
        <f>SUM(J631:J647)+SUM(J668:J713)</f>
        <v>0</v>
      </c>
      <c r="K715" s="180">
        <f>SUM(K668:K713)</f>
        <v>11869115.542319423</v>
      </c>
      <c r="L715" s="180">
        <f>SUM(L668:L713)</f>
        <v>2106455.1924741319</v>
      </c>
      <c r="M715" s="180">
        <f>SUM(M668:M713)</f>
        <v>62396839</v>
      </c>
      <c r="N715" s="198" t="s">
        <v>742</v>
      </c>
    </row>
    <row r="716" spans="1:15" ht="12.6" customHeight="1" x14ac:dyDescent="0.25">
      <c r="C716" s="180">
        <f>CE71</f>
        <v>117178917</v>
      </c>
      <c r="D716" s="180">
        <f>D615</f>
        <v>20618437</v>
      </c>
      <c r="E716" s="180">
        <f>E623</f>
        <v>9139502.8912853766</v>
      </c>
      <c r="F716" s="180">
        <f>F624</f>
        <v>17788576.672479399</v>
      </c>
      <c r="G716" s="180">
        <f>G625</f>
        <v>4506283.741561641</v>
      </c>
      <c r="H716" s="180">
        <f>H628</f>
        <v>4934612.0333909085</v>
      </c>
      <c r="I716" s="180">
        <f>I629</f>
        <v>2309557.5091687236</v>
      </c>
      <c r="J716" s="180">
        <f>J630</f>
        <v>0</v>
      </c>
      <c r="K716" s="180">
        <f>K644</f>
        <v>11869115.542319423</v>
      </c>
      <c r="L716" s="180">
        <f>L647</f>
        <v>2106455.1924741319</v>
      </c>
      <c r="M716" s="180">
        <f>C648</f>
        <v>62396839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99" transitionEvaluation="1" transitionEntry="1" codeName="Sheet10">
    <pageSetUpPr autoPageBreaks="0" fitToPage="1"/>
  </sheetPr>
  <dimension ref="A1:CF817"/>
  <sheetViews>
    <sheetView showGridLines="0" topLeftCell="A399" zoomScale="75" workbookViewId="0">
      <selection activeCell="A77" sqref="A77:XFD7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5370570</v>
      </c>
      <c r="C47" s="184">
        <v>312881</v>
      </c>
      <c r="D47" s="184"/>
      <c r="E47" s="184">
        <v>238285</v>
      </c>
      <c r="F47" s="184"/>
      <c r="G47" s="184"/>
      <c r="H47" s="184"/>
      <c r="I47" s="184"/>
      <c r="J47" s="184">
        <v>6494</v>
      </c>
      <c r="K47" s="184"/>
      <c r="L47" s="184"/>
      <c r="M47" s="184"/>
      <c r="N47" s="184"/>
      <c r="O47" s="184">
        <v>157872</v>
      </c>
      <c r="P47" s="184">
        <v>150442</v>
      </c>
      <c r="Q47" s="184">
        <v>52878</v>
      </c>
      <c r="R47" s="184">
        <v>11330</v>
      </c>
      <c r="S47" s="184">
        <v>23918</v>
      </c>
      <c r="T47" s="184">
        <v>5714</v>
      </c>
      <c r="U47" s="184">
        <v>96696</v>
      </c>
      <c r="V47" s="184"/>
      <c r="W47" s="184">
        <v>11719</v>
      </c>
      <c r="X47" s="184">
        <f>13864+22289</f>
        <v>36153</v>
      </c>
      <c r="Y47" s="184">
        <f>15588+61841+32129+11747+62627+4328</f>
        <v>188260</v>
      </c>
      <c r="Z47" s="184">
        <v>33031</v>
      </c>
      <c r="AA47" s="184">
        <v>13218</v>
      </c>
      <c r="AB47" s="184">
        <f>73067+7993</f>
        <v>81060</v>
      </c>
      <c r="AC47" s="184">
        <f>7607+44987</f>
        <v>52594</v>
      </c>
      <c r="AD47" s="184"/>
      <c r="AE47" s="184">
        <v>42918</v>
      </c>
      <c r="AF47" s="184"/>
      <c r="AG47" s="184">
        <v>159639</v>
      </c>
      <c r="AH47" s="184"/>
      <c r="AI47" s="184">
        <f>13918+104880</f>
        <v>118798</v>
      </c>
      <c r="AJ47" s="184"/>
      <c r="AK47" s="184">
        <v>7405</v>
      </c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18900</v>
      </c>
      <c r="AW47" s="184"/>
      <c r="AX47" s="184"/>
      <c r="AY47" s="184">
        <v>58765</v>
      </c>
      <c r="AZ47" s="184"/>
      <c r="BA47" s="184"/>
      <c r="BB47" s="184">
        <f>3570+34679</f>
        <v>38249</v>
      </c>
      <c r="BC47" s="184"/>
      <c r="BD47" s="184">
        <v>18870</v>
      </c>
      <c r="BE47" s="184">
        <f>36046+14512</f>
        <v>50558</v>
      </c>
      <c r="BF47" s="184">
        <v>40745</v>
      </c>
      <c r="BG47" s="184">
        <v>6375</v>
      </c>
      <c r="BH47" s="184">
        <f>25466</f>
        <v>25466</v>
      </c>
      <c r="BI47" s="184"/>
      <c r="BJ47" s="184">
        <v>17536</v>
      </c>
      <c r="BK47" s="184">
        <v>56732</v>
      </c>
      <c r="BL47" s="184">
        <v>10402</v>
      </c>
      <c r="BM47" s="184"/>
      <c r="BN47" s="184">
        <f>32232+7559.83+977.89-1</f>
        <v>40768.720000000001</v>
      </c>
      <c r="BO47" s="184"/>
      <c r="BP47" s="184">
        <v>9542</v>
      </c>
      <c r="BQ47" s="184"/>
      <c r="BR47" s="184">
        <f>13744+1954</f>
        <v>15698</v>
      </c>
      <c r="BS47" s="184"/>
      <c r="BT47" s="184"/>
      <c r="BU47" s="184"/>
      <c r="BV47" s="184">
        <v>42007</v>
      </c>
      <c r="BW47" s="184">
        <v>6476</v>
      </c>
      <c r="BX47" s="184">
        <v>17386</v>
      </c>
      <c r="BY47" s="184">
        <f>50769+54</f>
        <v>50823</v>
      </c>
      <c r="BZ47" s="184"/>
      <c r="CA47" s="184">
        <v>7373</v>
      </c>
      <c r="CB47" s="184"/>
      <c r="CC47" s="184">
        <f>3186592-150000</f>
        <v>3036592</v>
      </c>
      <c r="CD47" s="195"/>
      <c r="CE47" s="195">
        <f>SUM(C47:CC47)</f>
        <v>5370568.7200000007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5370570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9194928</v>
      </c>
      <c r="C52" s="195">
        <f>ROUND((B52/(CE76+CF76)*C76),0)</f>
        <v>497816</v>
      </c>
      <c r="D52" s="195">
        <f>ROUND((B52/(CE76+CF76)*D76),0)</f>
        <v>0</v>
      </c>
      <c r="E52" s="195">
        <f>ROUND((B52/(CE76+CF76)*E76),0)</f>
        <v>707193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42195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1334790</v>
      </c>
      <c r="P52" s="195">
        <f>ROUND((B52/(CE76+CF76)*P76),0)</f>
        <v>133686</v>
      </c>
      <c r="Q52" s="195">
        <f>ROUND((B52/(CE76+CF76)*Q76),0)</f>
        <v>169963</v>
      </c>
      <c r="R52" s="195">
        <f>ROUND((B52/(CE76+CF76)*R76),0)</f>
        <v>20299</v>
      </c>
      <c r="S52" s="195">
        <f>ROUND((B52/(CE76+CF76)*S76),0)</f>
        <v>170851</v>
      </c>
      <c r="T52" s="195">
        <f>ROUND((B52/(CE76+CF76)*T76),0)</f>
        <v>0</v>
      </c>
      <c r="U52" s="195">
        <f>ROUND((B52/(CE76+CF76)*U76),0)</f>
        <v>162388</v>
      </c>
      <c r="V52" s="195">
        <f>ROUND((B52/(CE76+CF76)*V76),0)</f>
        <v>0</v>
      </c>
      <c r="W52" s="195">
        <f>ROUND((B52/(CE76+CF76)*W76),0)</f>
        <v>52196</v>
      </c>
      <c r="X52" s="195">
        <f>ROUND((B52/(CE76+CF76)*X76),0)</f>
        <v>354129</v>
      </c>
      <c r="Y52" s="195">
        <f>ROUND((B52/(CE76+CF76)*Y76),0)</f>
        <v>832120</v>
      </c>
      <c r="Z52" s="195">
        <f>ROUND((B52/(CE76+CF76)*Z76),0)</f>
        <v>297909</v>
      </c>
      <c r="AA52" s="195">
        <f>ROUND((B52/(CE76+CF76)*AA76),0)</f>
        <v>21541</v>
      </c>
      <c r="AB52" s="195">
        <f>ROUND((B52/(CE76+CF76)*AB76),0)</f>
        <v>74448</v>
      </c>
      <c r="AC52" s="195">
        <f>ROUND((B52/(CE76+CF76)*AC76),0)</f>
        <v>250624</v>
      </c>
      <c r="AD52" s="195">
        <f>ROUND((B52/(CE76+CF76)*AD76),0)</f>
        <v>0</v>
      </c>
      <c r="AE52" s="195">
        <f>ROUND((B52/(CE76+CF76)*AE76),0)</f>
        <v>249322</v>
      </c>
      <c r="AF52" s="195">
        <f>ROUND((B52/(CE76+CF76)*AF76),0)</f>
        <v>0</v>
      </c>
      <c r="AG52" s="195">
        <f>ROUND((B52/(CE76+CF76)*AG76),0)</f>
        <v>251394</v>
      </c>
      <c r="AH52" s="195">
        <f>ROUND((B52/(CE76+CF76)*AH76),0)</f>
        <v>0</v>
      </c>
      <c r="AI52" s="195">
        <f>ROUND((B52/(CE76+CF76)*AI76),0)</f>
        <v>294654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324244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43793</v>
      </c>
      <c r="BC52" s="195">
        <f>ROUND((B52/(CE76+CF76)*BC76),0)</f>
        <v>0</v>
      </c>
      <c r="BD52" s="195">
        <f>ROUND((B52/(CE76+CF76)*BD76),0)</f>
        <v>151795</v>
      </c>
      <c r="BE52" s="195">
        <f>ROUND((B52/(CE76+CF76)*BE76),0)</f>
        <v>1600091</v>
      </c>
      <c r="BF52" s="195">
        <f>ROUND((B52/(CE76+CF76)*BF76),0)</f>
        <v>135461</v>
      </c>
      <c r="BG52" s="195">
        <f>ROUND((B52/(CE76+CF76)*BG76),0)</f>
        <v>19943</v>
      </c>
      <c r="BH52" s="195">
        <f>ROUND((B52/(CE76+CF76)*BH76),0)</f>
        <v>44503</v>
      </c>
      <c r="BI52" s="195">
        <f>ROUND((B52/(CE76+CF76)*BI76),0)</f>
        <v>0</v>
      </c>
      <c r="BJ52" s="195">
        <f>ROUND((B52/(CE76+CF76)*BJ76),0)</f>
        <v>96758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106582</v>
      </c>
      <c r="BN52" s="195">
        <f>ROUND((B52/(CE76+CF76)*BN76),0)</f>
        <v>229320</v>
      </c>
      <c r="BO52" s="195">
        <f>ROUND((B52/(CE76+CF76)*BO76),0)</f>
        <v>0</v>
      </c>
      <c r="BP52" s="195">
        <f>ROUND((B52/(CE76+CF76)*BP76),0)</f>
        <v>43142</v>
      </c>
      <c r="BQ52" s="195">
        <f>ROUND((B52/(CE76+CF76)*BQ76),0)</f>
        <v>0</v>
      </c>
      <c r="BR52" s="195">
        <f>ROUND((B52/(CE76+CF76)*BR76),0)</f>
        <v>59949</v>
      </c>
      <c r="BS52" s="195">
        <f>ROUND((B52/(CE76+CF76)*BS76),0)</f>
        <v>16925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198547</v>
      </c>
      <c r="BW52" s="195">
        <f>ROUND((B52/(CE76+CF76)*BW76),0)</f>
        <v>0</v>
      </c>
      <c r="BX52" s="195">
        <f>ROUND((B52/(CE76+CF76)*BX76),0)</f>
        <v>4912</v>
      </c>
      <c r="BY52" s="195">
        <f>ROUND((B52/(CE76+CF76)*BY76),0)</f>
        <v>68944</v>
      </c>
      <c r="BZ52" s="195">
        <f>ROUND((B52/(CE76+CF76)*BZ76),0)</f>
        <v>0</v>
      </c>
      <c r="CA52" s="195">
        <f>ROUND((B52/(CE76+CF76)*CA76),0)</f>
        <v>132503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9194930</v>
      </c>
    </row>
    <row r="53" spans="1:84" ht="12.6" customHeight="1" x14ac:dyDescent="0.25">
      <c r="A53" s="175" t="s">
        <v>206</v>
      </c>
      <c r="B53" s="195">
        <f>B51+B52</f>
        <v>9194928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5905</v>
      </c>
      <c r="D59" s="184"/>
      <c r="E59" s="184">
        <v>7199</v>
      </c>
      <c r="F59" s="184"/>
      <c r="G59" s="184"/>
      <c r="H59" s="184"/>
      <c r="I59" s="184"/>
      <c r="J59" s="184">
        <v>1030</v>
      </c>
      <c r="K59" s="184"/>
      <c r="L59" s="184"/>
      <c r="M59" s="184"/>
      <c r="N59" s="184"/>
      <c r="O59" s="184">
        <v>1291</v>
      </c>
      <c r="P59" s="185">
        <v>470107</v>
      </c>
      <c r="Q59" s="185">
        <v>320922</v>
      </c>
      <c r="R59" s="185">
        <v>491281</v>
      </c>
      <c r="S59" s="248"/>
      <c r="T59" s="248"/>
      <c r="U59" s="224">
        <f>151310+8528+1581+79423</f>
        <v>240842</v>
      </c>
      <c r="V59" s="185"/>
      <c r="W59" s="185">
        <v>860</v>
      </c>
      <c r="X59" s="185">
        <f>6618+10900</f>
        <v>17518</v>
      </c>
      <c r="Y59" s="185">
        <f>708+5989+13230+3403+1065+1351+3418</f>
        <v>29164</v>
      </c>
      <c r="Z59" s="185">
        <v>12993</v>
      </c>
      <c r="AA59" s="185">
        <v>2204</v>
      </c>
      <c r="AB59" s="248"/>
      <c r="AC59" s="185">
        <f>827+14356</f>
        <v>15183</v>
      </c>
      <c r="AD59" s="185"/>
      <c r="AE59" s="185">
        <v>26876</v>
      </c>
      <c r="AF59" s="185"/>
      <c r="AG59" s="185">
        <f>19802</f>
        <v>19802</v>
      </c>
      <c r="AH59" s="185"/>
      <c r="AI59" s="185">
        <f>507+7135</f>
        <v>7642</v>
      </c>
      <c r="AJ59" s="185"/>
      <c r="AK59" s="185">
        <v>5292</v>
      </c>
      <c r="AL59" s="185">
        <v>998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178174</v>
      </c>
      <c r="AZ59" s="185"/>
      <c r="BA59" s="248"/>
      <c r="BB59" s="248"/>
      <c r="BC59" s="248"/>
      <c r="BD59" s="248"/>
      <c r="BE59" s="185">
        <v>155374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53.18</v>
      </c>
      <c r="D60" s="187"/>
      <c r="E60" s="187">
        <v>40.61</v>
      </c>
      <c r="F60" s="223"/>
      <c r="G60" s="187"/>
      <c r="H60" s="187"/>
      <c r="I60" s="187"/>
      <c r="J60" s="223">
        <v>0.79</v>
      </c>
      <c r="K60" s="187"/>
      <c r="L60" s="187"/>
      <c r="M60" s="187"/>
      <c r="N60" s="187"/>
      <c r="O60" s="187">
        <v>22.33</v>
      </c>
      <c r="P60" s="221">
        <v>34.54</v>
      </c>
      <c r="Q60" s="221">
        <v>6.25</v>
      </c>
      <c r="R60" s="221">
        <v>1.89</v>
      </c>
      <c r="S60" s="221">
        <v>9.23</v>
      </c>
      <c r="T60" s="221">
        <v>1.57</v>
      </c>
      <c r="U60" s="221">
        <v>19.45</v>
      </c>
      <c r="V60" s="221"/>
      <c r="W60" s="221">
        <v>1.48</v>
      </c>
      <c r="X60" s="221">
        <f>1.98+3.66</f>
        <v>5.6400000000000006</v>
      </c>
      <c r="Y60" s="221">
        <f>3.16+9.25+3.7+1.38+10+0.99</f>
        <v>28.479999999999997</v>
      </c>
      <c r="Z60" s="221">
        <v>5.1100000000000003</v>
      </c>
      <c r="AA60" s="221">
        <v>1.36</v>
      </c>
      <c r="AB60" s="221">
        <f>9.27+0.94</f>
        <v>10.209999999999999</v>
      </c>
      <c r="AC60" s="221">
        <f>1.28+7.59</f>
        <v>8.8699999999999992</v>
      </c>
      <c r="AD60" s="221"/>
      <c r="AE60" s="221">
        <v>8.41</v>
      </c>
      <c r="AF60" s="221"/>
      <c r="AG60" s="221">
        <v>24.21</v>
      </c>
      <c r="AH60" s="221"/>
      <c r="AI60" s="221">
        <f>1.33+17.53</f>
        <v>18.86</v>
      </c>
      <c r="AJ60" s="221"/>
      <c r="AK60" s="221">
        <v>1.07</v>
      </c>
      <c r="AL60" s="221">
        <v>0.52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3.52</v>
      </c>
      <c r="AW60" s="221"/>
      <c r="AX60" s="221"/>
      <c r="AY60" s="221">
        <v>17.12</v>
      </c>
      <c r="AZ60" s="221"/>
      <c r="BA60" s="221"/>
      <c r="BB60" s="221">
        <f>0.66+6.32</f>
        <v>6.98</v>
      </c>
      <c r="BC60" s="221"/>
      <c r="BD60" s="221">
        <v>4.49</v>
      </c>
      <c r="BE60" s="221">
        <f>6.12+1.62</f>
        <v>7.74</v>
      </c>
      <c r="BF60" s="221">
        <v>14.73</v>
      </c>
      <c r="BG60" s="221">
        <v>2.64</v>
      </c>
      <c r="BH60" s="221">
        <f>4.06+0.02</f>
        <v>4.0799999999999992</v>
      </c>
      <c r="BI60" s="221"/>
      <c r="BJ60" s="221">
        <v>4.47</v>
      </c>
      <c r="BK60" s="221">
        <v>17.34</v>
      </c>
      <c r="BL60" s="221">
        <v>2.95</v>
      </c>
      <c r="BM60" s="221"/>
      <c r="BN60" s="221">
        <f>5.93+1.24</f>
        <v>7.17</v>
      </c>
      <c r="BO60" s="221"/>
      <c r="BP60" s="221">
        <v>1.25</v>
      </c>
      <c r="BQ60" s="221"/>
      <c r="BR60" s="221">
        <f>2.95+0.5</f>
        <v>3.45</v>
      </c>
      <c r="BS60" s="221"/>
      <c r="BT60" s="221"/>
      <c r="BU60" s="221"/>
      <c r="BV60" s="221">
        <v>11.16</v>
      </c>
      <c r="BW60" s="221">
        <v>1.01</v>
      </c>
      <c r="BX60" s="221">
        <v>2.5</v>
      </c>
      <c r="BY60" s="221">
        <f>6.18+0.01</f>
        <v>6.1899999999999995</v>
      </c>
      <c r="BZ60" s="221"/>
      <c r="CA60" s="221">
        <v>1</v>
      </c>
      <c r="CB60" s="221"/>
      <c r="CC60" s="221"/>
      <c r="CD60" s="249" t="s">
        <v>221</v>
      </c>
      <c r="CE60" s="251">
        <f t="shared" ref="CE60:CE70" si="0">SUM(C60:CD60)</f>
        <v>423.84999999999997</v>
      </c>
    </row>
    <row r="61" spans="1:84" ht="12.6" customHeight="1" x14ac:dyDescent="0.25">
      <c r="A61" s="171" t="s">
        <v>235</v>
      </c>
      <c r="B61" s="175"/>
      <c r="C61" s="184">
        <f>4259394+335667</f>
        <v>4595061</v>
      </c>
      <c r="D61" s="184"/>
      <c r="E61" s="184">
        <f>3296268+223464</f>
        <v>3519732</v>
      </c>
      <c r="F61" s="185"/>
      <c r="G61" s="184"/>
      <c r="H61" s="184"/>
      <c r="I61" s="185"/>
      <c r="J61" s="185">
        <v>85600</v>
      </c>
      <c r="K61" s="185"/>
      <c r="L61" s="185"/>
      <c r="M61" s="184"/>
      <c r="N61" s="184"/>
      <c r="O61" s="184">
        <f>2132017+209828</f>
        <v>2341845</v>
      </c>
      <c r="P61" s="185">
        <f>2077555+758965</f>
        <v>2836520</v>
      </c>
      <c r="Q61" s="185">
        <f>722859+4161</f>
        <v>727020</v>
      </c>
      <c r="R61" s="185">
        <v>154163</v>
      </c>
      <c r="S61" s="185">
        <f>331550+367828</f>
        <v>699378</v>
      </c>
      <c r="T61" s="185">
        <v>76792</v>
      </c>
      <c r="U61" s="185">
        <v>1318438</v>
      </c>
      <c r="V61" s="185"/>
      <c r="W61" s="185">
        <v>164820</v>
      </c>
      <c r="X61" s="185">
        <f>188338+309402</f>
        <v>497740</v>
      </c>
      <c r="Y61" s="185">
        <f>215035+3841+833337+438555+156776+849899+130863+58633</f>
        <v>2686939</v>
      </c>
      <c r="Z61" s="185">
        <v>454832</v>
      </c>
      <c r="AA61" s="185">
        <v>175596</v>
      </c>
      <c r="AB61" s="185">
        <f>1004724+17594+106778</f>
        <v>1129096</v>
      </c>
      <c r="AC61" s="185">
        <f>113843+613482</f>
        <v>727325</v>
      </c>
      <c r="AD61" s="185"/>
      <c r="AE61" s="185">
        <f>577929+23511</f>
        <v>601440</v>
      </c>
      <c r="AF61" s="185"/>
      <c r="AG61" s="185">
        <f>2204187+236535+2</f>
        <v>2440724</v>
      </c>
      <c r="AH61" s="185"/>
      <c r="AI61" s="185">
        <f>194292+1455724+54731</f>
        <v>1704747</v>
      </c>
      <c r="AJ61" s="185"/>
      <c r="AK61" s="185">
        <v>99994</v>
      </c>
      <c r="AL61" s="185">
        <v>64554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249410</v>
      </c>
      <c r="AW61" s="185"/>
      <c r="AX61" s="185"/>
      <c r="AY61" s="185">
        <v>805123</v>
      </c>
      <c r="AZ61" s="185"/>
      <c r="BA61" s="185"/>
      <c r="BB61" s="185">
        <f>45004+52600+455135+205232</f>
        <v>757971</v>
      </c>
      <c r="BC61" s="185"/>
      <c r="BD61" s="185">
        <f>263496+3155</f>
        <v>266651</v>
      </c>
      <c r="BE61" s="185">
        <f>466059+196517</f>
        <v>662576</v>
      </c>
      <c r="BF61" s="185">
        <v>546542</v>
      </c>
      <c r="BG61" s="185">
        <v>90719</v>
      </c>
      <c r="BH61" s="185">
        <v>337029</v>
      </c>
      <c r="BI61" s="185"/>
      <c r="BJ61" s="185">
        <v>308611</v>
      </c>
      <c r="BK61" s="185">
        <v>770605</v>
      </c>
      <c r="BL61" s="185">
        <v>140735</v>
      </c>
      <c r="BM61" s="185"/>
      <c r="BN61" s="185">
        <f>853353+421820-950+85776+1723+4607+4184+953+1555+3782+15000+7306+9</f>
        <v>1399118</v>
      </c>
      <c r="BO61" s="185"/>
      <c r="BP61" s="185">
        <v>137141</v>
      </c>
      <c r="BQ61" s="185"/>
      <c r="BR61" s="185">
        <f>185255+37620+27347</f>
        <v>250222</v>
      </c>
      <c r="BS61" s="185"/>
      <c r="BT61" s="185"/>
      <c r="BU61" s="185"/>
      <c r="BV61" s="185">
        <f>590130+1941</f>
        <v>592071</v>
      </c>
      <c r="BW61" s="185">
        <v>84887</v>
      </c>
      <c r="BX61" s="185">
        <v>222229</v>
      </c>
      <c r="BY61" s="185">
        <f>697270+751</f>
        <v>698021</v>
      </c>
      <c r="BZ61" s="185"/>
      <c r="CA61" s="185">
        <v>99511</v>
      </c>
      <c r="CB61" s="185"/>
      <c r="CC61" s="185"/>
      <c r="CD61" s="249" t="s">
        <v>221</v>
      </c>
      <c r="CE61" s="195">
        <f t="shared" si="0"/>
        <v>35521528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312881</v>
      </c>
      <c r="D62" s="195">
        <f t="shared" si="1"/>
        <v>0</v>
      </c>
      <c r="E62" s="195">
        <f t="shared" si="1"/>
        <v>238285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6494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157872</v>
      </c>
      <c r="P62" s="195">
        <f t="shared" si="1"/>
        <v>150442</v>
      </c>
      <c r="Q62" s="195">
        <f t="shared" si="1"/>
        <v>52878</v>
      </c>
      <c r="R62" s="195">
        <f t="shared" si="1"/>
        <v>11330</v>
      </c>
      <c r="S62" s="195">
        <f t="shared" si="1"/>
        <v>23918</v>
      </c>
      <c r="T62" s="195">
        <f t="shared" si="1"/>
        <v>5714</v>
      </c>
      <c r="U62" s="195">
        <f t="shared" si="1"/>
        <v>96696</v>
      </c>
      <c r="V62" s="195">
        <f t="shared" si="1"/>
        <v>0</v>
      </c>
      <c r="W62" s="195">
        <f t="shared" si="1"/>
        <v>11719</v>
      </c>
      <c r="X62" s="195">
        <f t="shared" si="1"/>
        <v>36153</v>
      </c>
      <c r="Y62" s="195">
        <f t="shared" si="1"/>
        <v>188260</v>
      </c>
      <c r="Z62" s="195">
        <f t="shared" si="1"/>
        <v>33031</v>
      </c>
      <c r="AA62" s="195">
        <f t="shared" si="1"/>
        <v>13218</v>
      </c>
      <c r="AB62" s="195">
        <f t="shared" si="1"/>
        <v>81060</v>
      </c>
      <c r="AC62" s="195">
        <f t="shared" si="1"/>
        <v>52594</v>
      </c>
      <c r="AD62" s="195">
        <f t="shared" si="1"/>
        <v>0</v>
      </c>
      <c r="AE62" s="195">
        <f t="shared" si="1"/>
        <v>42918</v>
      </c>
      <c r="AF62" s="195">
        <f t="shared" si="1"/>
        <v>0</v>
      </c>
      <c r="AG62" s="195">
        <f t="shared" si="1"/>
        <v>159639</v>
      </c>
      <c r="AH62" s="195">
        <f t="shared" si="1"/>
        <v>0</v>
      </c>
      <c r="AI62" s="195">
        <f t="shared" si="1"/>
        <v>118798</v>
      </c>
      <c r="AJ62" s="195">
        <f t="shared" si="1"/>
        <v>0</v>
      </c>
      <c r="AK62" s="195">
        <f t="shared" si="1"/>
        <v>7405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18900</v>
      </c>
      <c r="AW62" s="195">
        <f t="shared" si="1"/>
        <v>0</v>
      </c>
      <c r="AX62" s="195">
        <f t="shared" si="1"/>
        <v>0</v>
      </c>
      <c r="AY62" s="195">
        <f>ROUND(AY47+AY48,0)</f>
        <v>58765</v>
      </c>
      <c r="AZ62" s="195">
        <f>ROUND(AZ47+AZ48,0)</f>
        <v>0</v>
      </c>
      <c r="BA62" s="195">
        <f>ROUND(BA47+BA48,0)</f>
        <v>0</v>
      </c>
      <c r="BB62" s="195">
        <f t="shared" si="1"/>
        <v>38249</v>
      </c>
      <c r="BC62" s="195">
        <f t="shared" si="1"/>
        <v>0</v>
      </c>
      <c r="BD62" s="195">
        <f t="shared" si="1"/>
        <v>18870</v>
      </c>
      <c r="BE62" s="195">
        <f t="shared" si="1"/>
        <v>50558</v>
      </c>
      <c r="BF62" s="195">
        <f t="shared" si="1"/>
        <v>40745</v>
      </c>
      <c r="BG62" s="195">
        <f t="shared" si="1"/>
        <v>6375</v>
      </c>
      <c r="BH62" s="195">
        <f t="shared" si="1"/>
        <v>25466</v>
      </c>
      <c r="BI62" s="195">
        <f t="shared" si="1"/>
        <v>0</v>
      </c>
      <c r="BJ62" s="195">
        <f t="shared" si="1"/>
        <v>17536</v>
      </c>
      <c r="BK62" s="195">
        <f t="shared" si="1"/>
        <v>56732</v>
      </c>
      <c r="BL62" s="195">
        <f t="shared" si="1"/>
        <v>10402</v>
      </c>
      <c r="BM62" s="195">
        <f t="shared" si="1"/>
        <v>0</v>
      </c>
      <c r="BN62" s="195">
        <f t="shared" si="1"/>
        <v>40769</v>
      </c>
      <c r="BO62" s="195">
        <f t="shared" ref="BO62:CC62" si="2">ROUND(BO47+BO48,0)</f>
        <v>0</v>
      </c>
      <c r="BP62" s="195">
        <f t="shared" si="2"/>
        <v>9542</v>
      </c>
      <c r="BQ62" s="195">
        <f t="shared" si="2"/>
        <v>0</v>
      </c>
      <c r="BR62" s="195">
        <f t="shared" si="2"/>
        <v>15698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42007</v>
      </c>
      <c r="BW62" s="195">
        <f t="shared" si="2"/>
        <v>6476</v>
      </c>
      <c r="BX62" s="195">
        <f t="shared" si="2"/>
        <v>17386</v>
      </c>
      <c r="BY62" s="195">
        <f t="shared" si="2"/>
        <v>50823</v>
      </c>
      <c r="BZ62" s="195">
        <f t="shared" si="2"/>
        <v>0</v>
      </c>
      <c r="CA62" s="195">
        <f t="shared" si="2"/>
        <v>7373</v>
      </c>
      <c r="CB62" s="195">
        <f t="shared" si="2"/>
        <v>0</v>
      </c>
      <c r="CC62" s="195">
        <f t="shared" si="2"/>
        <v>3036592</v>
      </c>
      <c r="CD62" s="249" t="s">
        <v>221</v>
      </c>
      <c r="CE62" s="195">
        <f t="shared" si="0"/>
        <v>5370569</v>
      </c>
      <c r="CF62" s="252"/>
    </row>
    <row r="63" spans="1:84" ht="12.6" customHeight="1" x14ac:dyDescent="0.25">
      <c r="A63" s="171" t="s">
        <v>236</v>
      </c>
      <c r="B63" s="175"/>
      <c r="C63" s="184">
        <v>543725</v>
      </c>
      <c r="D63" s="184"/>
      <c r="E63" s="184"/>
      <c r="F63" s="185"/>
      <c r="G63" s="184"/>
      <c r="H63" s="184"/>
      <c r="I63" s="185"/>
      <c r="J63" s="185">
        <v>19300</v>
      </c>
      <c r="K63" s="185"/>
      <c r="L63" s="185"/>
      <c r="M63" s="184"/>
      <c r="N63" s="184"/>
      <c r="O63" s="184">
        <v>98820</v>
      </c>
      <c r="P63" s="185">
        <v>32688</v>
      </c>
      <c r="Q63" s="185"/>
      <c r="R63" s="185">
        <v>600000</v>
      </c>
      <c r="S63" s="185"/>
      <c r="T63" s="185"/>
      <c r="U63" s="185">
        <v>18164</v>
      </c>
      <c r="V63" s="185"/>
      <c r="W63" s="185"/>
      <c r="X63" s="185"/>
      <c r="Y63" s="185">
        <v>11950</v>
      </c>
      <c r="Z63" s="185"/>
      <c r="AA63" s="185"/>
      <c r="AB63" s="185"/>
      <c r="AC63" s="185">
        <f>6000+34416</f>
        <v>40416</v>
      </c>
      <c r="AD63" s="185"/>
      <c r="AE63" s="185"/>
      <c r="AF63" s="185"/>
      <c r="AG63" s="185">
        <v>243305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413</v>
      </c>
      <c r="AW63" s="185"/>
      <c r="AX63" s="185"/>
      <c r="AY63" s="185"/>
      <c r="AZ63" s="185"/>
      <c r="BA63" s="185"/>
      <c r="BB63" s="185">
        <v>60000</v>
      </c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>
        <f>7800-1</f>
        <v>7799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>
        <v>33000</v>
      </c>
      <c r="BY63" s="185"/>
      <c r="BZ63" s="185"/>
      <c r="CA63" s="185"/>
      <c r="CB63" s="185"/>
      <c r="CC63" s="185"/>
      <c r="CD63" s="249" t="s">
        <v>221</v>
      </c>
      <c r="CE63" s="195">
        <f t="shared" si="0"/>
        <v>1709580</v>
      </c>
      <c r="CF63" s="252"/>
    </row>
    <row r="64" spans="1:84" ht="12.6" customHeight="1" x14ac:dyDescent="0.25">
      <c r="A64" s="171" t="s">
        <v>237</v>
      </c>
      <c r="B64" s="175"/>
      <c r="C64" s="184">
        <v>180071</v>
      </c>
      <c r="D64" s="184"/>
      <c r="E64" s="185">
        <v>151674</v>
      </c>
      <c r="F64" s="185"/>
      <c r="G64" s="184"/>
      <c r="H64" s="184"/>
      <c r="I64" s="185"/>
      <c r="J64" s="185">
        <v>21972</v>
      </c>
      <c r="K64" s="185"/>
      <c r="L64" s="185"/>
      <c r="M64" s="184"/>
      <c r="N64" s="184"/>
      <c r="O64" s="184">
        <v>137784</v>
      </c>
      <c r="P64" s="185">
        <v>1098407</v>
      </c>
      <c r="Q64" s="185">
        <v>47092</v>
      </c>
      <c r="R64" s="185">
        <v>104497</v>
      </c>
      <c r="S64" s="185">
        <v>161611</v>
      </c>
      <c r="T64" s="185">
        <f>110393+16</f>
        <v>110409</v>
      </c>
      <c r="U64" s="185">
        <f>423416+96587+481784</f>
        <v>1001787</v>
      </c>
      <c r="V64" s="185"/>
      <c r="W64" s="185">
        <v>2555</v>
      </c>
      <c r="X64" s="185">
        <f>5356+18404</f>
        <v>23760</v>
      </c>
      <c r="Y64" s="185">
        <f>7085-20392+591+722+86417+1+121882</f>
        <v>196306</v>
      </c>
      <c r="Z64" s="185">
        <v>16082</v>
      </c>
      <c r="AA64" s="185">
        <v>1753</v>
      </c>
      <c r="AB64" s="185">
        <f>2344191+1685</f>
        <v>2345876</v>
      </c>
      <c r="AC64" s="185">
        <f>568+53833+259.24+40.92</f>
        <v>54701.159999999996</v>
      </c>
      <c r="AD64" s="185"/>
      <c r="AE64" s="185">
        <v>14654</v>
      </c>
      <c r="AF64" s="185"/>
      <c r="AG64" s="185">
        <f>142904+23</f>
        <v>142927</v>
      </c>
      <c r="AH64" s="185"/>
      <c r="AI64" s="185">
        <f>26101+169245</f>
        <v>195346</v>
      </c>
      <c r="AJ64" s="185"/>
      <c r="AK64" s="185">
        <v>11165</v>
      </c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78517+679</f>
        <v>79196</v>
      </c>
      <c r="AW64" s="185"/>
      <c r="AX64" s="185"/>
      <c r="AY64" s="185">
        <v>618568</v>
      </c>
      <c r="AZ64" s="185"/>
      <c r="BA64" s="185"/>
      <c r="BB64" s="185">
        <f>39+3470</f>
        <v>3509</v>
      </c>
      <c r="BC64" s="185"/>
      <c r="BD64" s="185">
        <f>11163140+4396082+34290.43+5.57+663.66+69-19490.48</f>
        <v>15574760.18</v>
      </c>
      <c r="BE64" s="185">
        <f>4585+4705</f>
        <v>9290</v>
      </c>
      <c r="BF64" s="185">
        <v>84280</v>
      </c>
      <c r="BG64" s="185">
        <v>182</v>
      </c>
      <c r="BH64" s="185">
        <v>48801</v>
      </c>
      <c r="BI64" s="185"/>
      <c r="BJ64" s="185">
        <v>5934</v>
      </c>
      <c r="BK64" s="185">
        <v>46867</v>
      </c>
      <c r="BL64" s="185"/>
      <c r="BM64" s="185"/>
      <c r="BN64" s="185">
        <f>806+59+27156+168+275+4</f>
        <v>28468</v>
      </c>
      <c r="BO64" s="185"/>
      <c r="BP64" s="185">
        <v>143</v>
      </c>
      <c r="BQ64" s="185"/>
      <c r="BR64" s="185">
        <v>11776</v>
      </c>
      <c r="BS64" s="185"/>
      <c r="BT64" s="185"/>
      <c r="BU64" s="185"/>
      <c r="BV64" s="185">
        <v>18999</v>
      </c>
      <c r="BW64" s="185">
        <v>1602</v>
      </c>
      <c r="BX64" s="185">
        <v>6213</v>
      </c>
      <c r="BY64" s="185">
        <v>817</v>
      </c>
      <c r="BZ64" s="185"/>
      <c r="CA64" s="185">
        <v>891</v>
      </c>
      <c r="CB64" s="185"/>
      <c r="CC64" s="185"/>
      <c r="CD64" s="249" t="s">
        <v>221</v>
      </c>
      <c r="CE64" s="195">
        <f t="shared" si="0"/>
        <v>22560725.34</v>
      </c>
      <c r="CF64" s="252"/>
    </row>
    <row r="65" spans="1:84" ht="12.6" customHeight="1" x14ac:dyDescent="0.25">
      <c r="A65" s="171" t="s">
        <v>238</v>
      </c>
      <c r="B65" s="175"/>
      <c r="C65" s="184">
        <v>515</v>
      </c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>
        <v>91</v>
      </c>
      <c r="P65" s="185">
        <v>2855</v>
      </c>
      <c r="Q65" s="185"/>
      <c r="R65" s="185"/>
      <c r="S65" s="185"/>
      <c r="T65" s="185"/>
      <c r="U65" s="185">
        <v>185</v>
      </c>
      <c r="V65" s="185"/>
      <c r="W65" s="185"/>
      <c r="X65" s="185">
        <v>4269</v>
      </c>
      <c r="Y65" s="185">
        <f>126+2220+1714+1197</f>
        <v>5257</v>
      </c>
      <c r="Z65" s="185">
        <v>185</v>
      </c>
      <c r="AA65" s="185">
        <v>87</v>
      </c>
      <c r="AB65" s="185">
        <v>109</v>
      </c>
      <c r="AC65" s="185"/>
      <c r="AD65" s="185"/>
      <c r="AE65" s="185">
        <v>5243</v>
      </c>
      <c r="AF65" s="185"/>
      <c r="AG65" s="185">
        <v>171</v>
      </c>
      <c r="AH65" s="185"/>
      <c r="AI65" s="185">
        <f>662+1951</f>
        <v>2613</v>
      </c>
      <c r="AJ65" s="185"/>
      <c r="AK65" s="185">
        <v>571</v>
      </c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1024</v>
      </c>
      <c r="AW65" s="185"/>
      <c r="AX65" s="185"/>
      <c r="AY65" s="185">
        <v>92</v>
      </c>
      <c r="AZ65" s="185"/>
      <c r="BA65" s="185"/>
      <c r="BB65" s="185">
        <v>4969</v>
      </c>
      <c r="BC65" s="185"/>
      <c r="BD65" s="185"/>
      <c r="BE65" s="185">
        <f>1018459+1268</f>
        <v>1019727</v>
      </c>
      <c r="BF65" s="185">
        <v>1589</v>
      </c>
      <c r="BG65" s="185"/>
      <c r="BH65" s="185">
        <v>80099</v>
      </c>
      <c r="BI65" s="185">
        <v>10</v>
      </c>
      <c r="BJ65" s="185"/>
      <c r="BK65" s="185">
        <v>647</v>
      </c>
      <c r="BL65" s="185"/>
      <c r="BM65" s="185"/>
      <c r="BN65" s="185">
        <f>206+350+2</f>
        <v>558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>
        <v>131</v>
      </c>
      <c r="BY65" s="185">
        <v>988</v>
      </c>
      <c r="BZ65" s="185"/>
      <c r="CA65" s="185">
        <v>92</v>
      </c>
      <c r="CB65" s="185"/>
      <c r="CC65" s="185"/>
      <c r="CD65" s="249" t="s">
        <v>221</v>
      </c>
      <c r="CE65" s="195">
        <f t="shared" si="0"/>
        <v>1132077</v>
      </c>
      <c r="CF65" s="252"/>
    </row>
    <row r="66" spans="1:84" ht="12.6" customHeight="1" x14ac:dyDescent="0.25">
      <c r="A66" s="171" t="s">
        <v>239</v>
      </c>
      <c r="B66" s="175"/>
      <c r="C66" s="184">
        <f>777</f>
        <v>777</v>
      </c>
      <c r="D66" s="184"/>
      <c r="E66" s="184">
        <v>522</v>
      </c>
      <c r="F66" s="184"/>
      <c r="G66" s="184"/>
      <c r="H66" s="184"/>
      <c r="I66" s="184"/>
      <c r="J66" s="184">
        <f>54716</f>
        <v>54716</v>
      </c>
      <c r="K66" s="185"/>
      <c r="L66" s="185"/>
      <c r="M66" s="184"/>
      <c r="N66" s="184"/>
      <c r="O66" s="185">
        <v>592</v>
      </c>
      <c r="P66" s="185">
        <v>733856</v>
      </c>
      <c r="Q66" s="185">
        <v>113</v>
      </c>
      <c r="R66" s="185">
        <f>5000</f>
        <v>5000</v>
      </c>
      <c r="S66" s="184">
        <v>5988</v>
      </c>
      <c r="T66" s="184"/>
      <c r="U66" s="185">
        <f>54916+389312+270</f>
        <v>444498</v>
      </c>
      <c r="V66" s="185"/>
      <c r="W66" s="185"/>
      <c r="X66" s="185">
        <f>1145+76319</f>
        <v>77464</v>
      </c>
      <c r="Y66" s="185">
        <f>299420+10+4+53+569+105-1523</f>
        <v>298638</v>
      </c>
      <c r="Z66" s="185">
        <v>515904</v>
      </c>
      <c r="AA66" s="185">
        <v>962</v>
      </c>
      <c r="AB66" s="185">
        <f>34105+160</f>
        <v>34265</v>
      </c>
      <c r="AC66" s="185">
        <f>26+3046</f>
        <v>3072</v>
      </c>
      <c r="AD66" s="185"/>
      <c r="AE66" s="185">
        <v>12594</v>
      </c>
      <c r="AF66" s="185"/>
      <c r="AG66" s="185">
        <v>425</v>
      </c>
      <c r="AH66" s="185"/>
      <c r="AI66" s="185">
        <v>410</v>
      </c>
      <c r="AJ66" s="185"/>
      <c r="AK66" s="185">
        <v>5</v>
      </c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444436</v>
      </c>
      <c r="AW66" s="185"/>
      <c r="AX66" s="185"/>
      <c r="AY66" s="185">
        <v>4092</v>
      </c>
      <c r="AZ66" s="185"/>
      <c r="BA66" s="185"/>
      <c r="BB66" s="185">
        <v>53100</v>
      </c>
      <c r="BC66" s="185"/>
      <c r="BD66" s="185">
        <f>-3498+56016</f>
        <v>52518</v>
      </c>
      <c r="BE66" s="185">
        <f>115906-297</f>
        <v>115609</v>
      </c>
      <c r="BF66" s="185">
        <f>184320+336634</f>
        <v>520954</v>
      </c>
      <c r="BG66" s="185"/>
      <c r="BH66" s="185">
        <v>1344115</v>
      </c>
      <c r="BI66" s="185"/>
      <c r="BJ66" s="185">
        <v>38</v>
      </c>
      <c r="BK66" s="185">
        <f>79122+2084074</f>
        <v>2163196</v>
      </c>
      <c r="BL66" s="185">
        <v>38</v>
      </c>
      <c r="BM66" s="185"/>
      <c r="BN66" s="185">
        <f>295908+29463+406158+34073+609+4</f>
        <v>766215</v>
      </c>
      <c r="BO66" s="185"/>
      <c r="BP66" s="185">
        <v>14040</v>
      </c>
      <c r="BQ66" s="185"/>
      <c r="BR66" s="185">
        <f>127708</f>
        <v>127708</v>
      </c>
      <c r="BS66" s="185"/>
      <c r="BT66" s="185"/>
      <c r="BU66" s="185"/>
      <c r="BV66" s="185">
        <f>242411+18502</f>
        <v>260913</v>
      </c>
      <c r="BW66" s="185">
        <v>5575</v>
      </c>
      <c r="BX66" s="185">
        <v>79847</v>
      </c>
      <c r="BY66" s="185">
        <v>2267</v>
      </c>
      <c r="BZ66" s="185"/>
      <c r="CA66" s="185"/>
      <c r="CB66" s="185"/>
      <c r="CC66" s="185"/>
      <c r="CD66" s="249" t="s">
        <v>221</v>
      </c>
      <c r="CE66" s="195">
        <f t="shared" si="0"/>
        <v>8144462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497816</v>
      </c>
      <c r="D67" s="195">
        <f>ROUND(D51+D52,0)</f>
        <v>0</v>
      </c>
      <c r="E67" s="195">
        <f t="shared" ref="E67:BP67" si="3">ROUND(E51+E52,0)</f>
        <v>707193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42195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1334790</v>
      </c>
      <c r="P67" s="195">
        <f t="shared" si="3"/>
        <v>133686</v>
      </c>
      <c r="Q67" s="195">
        <f t="shared" si="3"/>
        <v>169963</v>
      </c>
      <c r="R67" s="195">
        <f t="shared" si="3"/>
        <v>20299</v>
      </c>
      <c r="S67" s="195">
        <f t="shared" si="3"/>
        <v>170851</v>
      </c>
      <c r="T67" s="195">
        <f t="shared" si="3"/>
        <v>0</v>
      </c>
      <c r="U67" s="195">
        <f t="shared" si="3"/>
        <v>162388</v>
      </c>
      <c r="V67" s="195">
        <f t="shared" si="3"/>
        <v>0</v>
      </c>
      <c r="W67" s="195">
        <f t="shared" si="3"/>
        <v>52196</v>
      </c>
      <c r="X67" s="195">
        <f t="shared" si="3"/>
        <v>354129</v>
      </c>
      <c r="Y67" s="195">
        <f t="shared" si="3"/>
        <v>832120</v>
      </c>
      <c r="Z67" s="195">
        <f t="shared" si="3"/>
        <v>297909</v>
      </c>
      <c r="AA67" s="195">
        <f t="shared" si="3"/>
        <v>21541</v>
      </c>
      <c r="AB67" s="195">
        <f t="shared" si="3"/>
        <v>74448</v>
      </c>
      <c r="AC67" s="195">
        <f t="shared" si="3"/>
        <v>250624</v>
      </c>
      <c r="AD67" s="195">
        <f t="shared" si="3"/>
        <v>0</v>
      </c>
      <c r="AE67" s="195">
        <f t="shared" si="3"/>
        <v>249322</v>
      </c>
      <c r="AF67" s="195">
        <f t="shared" si="3"/>
        <v>0</v>
      </c>
      <c r="AG67" s="195">
        <f t="shared" si="3"/>
        <v>251394</v>
      </c>
      <c r="AH67" s="195">
        <f t="shared" si="3"/>
        <v>0</v>
      </c>
      <c r="AI67" s="195">
        <f t="shared" si="3"/>
        <v>294654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324244</v>
      </c>
      <c r="AZ67" s="195">
        <f>ROUND(AZ51+AZ52,0)</f>
        <v>0</v>
      </c>
      <c r="BA67" s="195">
        <f>ROUND(BA51+BA52,0)</f>
        <v>0</v>
      </c>
      <c r="BB67" s="195">
        <f t="shared" si="3"/>
        <v>43793</v>
      </c>
      <c r="BC67" s="195">
        <f t="shared" si="3"/>
        <v>0</v>
      </c>
      <c r="BD67" s="195">
        <f t="shared" si="3"/>
        <v>151795</v>
      </c>
      <c r="BE67" s="195">
        <f t="shared" si="3"/>
        <v>1600091</v>
      </c>
      <c r="BF67" s="195">
        <f t="shared" si="3"/>
        <v>135461</v>
      </c>
      <c r="BG67" s="195">
        <f t="shared" si="3"/>
        <v>19943</v>
      </c>
      <c r="BH67" s="195">
        <f t="shared" si="3"/>
        <v>44503</v>
      </c>
      <c r="BI67" s="195">
        <f t="shared" si="3"/>
        <v>0</v>
      </c>
      <c r="BJ67" s="195">
        <f t="shared" si="3"/>
        <v>96758</v>
      </c>
      <c r="BK67" s="195">
        <f t="shared" si="3"/>
        <v>0</v>
      </c>
      <c r="BL67" s="195">
        <f t="shared" si="3"/>
        <v>0</v>
      </c>
      <c r="BM67" s="195">
        <f t="shared" si="3"/>
        <v>106582</v>
      </c>
      <c r="BN67" s="195">
        <f t="shared" si="3"/>
        <v>229320</v>
      </c>
      <c r="BO67" s="195">
        <f t="shared" si="3"/>
        <v>0</v>
      </c>
      <c r="BP67" s="195">
        <f t="shared" si="3"/>
        <v>43142</v>
      </c>
      <c r="BQ67" s="195">
        <f t="shared" ref="BQ67:CC67" si="4">ROUND(BQ51+BQ52,0)</f>
        <v>0</v>
      </c>
      <c r="BR67" s="195">
        <f t="shared" si="4"/>
        <v>59949</v>
      </c>
      <c r="BS67" s="195">
        <f t="shared" si="4"/>
        <v>16925</v>
      </c>
      <c r="BT67" s="195">
        <f t="shared" si="4"/>
        <v>0</v>
      </c>
      <c r="BU67" s="195">
        <f t="shared" si="4"/>
        <v>0</v>
      </c>
      <c r="BV67" s="195">
        <f t="shared" si="4"/>
        <v>198547</v>
      </c>
      <c r="BW67" s="195">
        <f t="shared" si="4"/>
        <v>0</v>
      </c>
      <c r="BX67" s="195">
        <f t="shared" si="4"/>
        <v>4912</v>
      </c>
      <c r="BY67" s="195">
        <f t="shared" si="4"/>
        <v>68944</v>
      </c>
      <c r="BZ67" s="195">
        <f t="shared" si="4"/>
        <v>0</v>
      </c>
      <c r="CA67" s="195">
        <f t="shared" si="4"/>
        <v>132503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9194930</v>
      </c>
      <c r="CF67" s="252"/>
    </row>
    <row r="68" spans="1:84" ht="12.6" customHeight="1" x14ac:dyDescent="0.25">
      <c r="A68" s="171" t="s">
        <v>240</v>
      </c>
      <c r="B68" s="175"/>
      <c r="C68" s="184">
        <v>7984</v>
      </c>
      <c r="D68" s="184"/>
      <c r="E68" s="184">
        <v>28428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3367</v>
      </c>
      <c r="P68" s="185">
        <f>336588</f>
        <v>336588</v>
      </c>
      <c r="Q68" s="185"/>
      <c r="R68" s="185">
        <v>4095</v>
      </c>
      <c r="S68" s="185"/>
      <c r="T68" s="185"/>
      <c r="U68" s="185">
        <v>193236</v>
      </c>
      <c r="V68" s="185"/>
      <c r="W68" s="185"/>
      <c r="X68" s="185">
        <v>547786</v>
      </c>
      <c r="Y68" s="185">
        <f>2867+685+16955+103</f>
        <v>20610</v>
      </c>
      <c r="Z68" s="185">
        <v>1822</v>
      </c>
      <c r="AA68" s="185"/>
      <c r="AB68" s="185">
        <v>225301</v>
      </c>
      <c r="AC68" s="185">
        <f>-1433+28175</f>
        <v>26742</v>
      </c>
      <c r="AD68" s="185"/>
      <c r="AE68" s="185">
        <v>80251</v>
      </c>
      <c r="AF68" s="185"/>
      <c r="AG68" s="185">
        <v>1644</v>
      </c>
      <c r="AH68" s="185"/>
      <c r="AI68" s="185">
        <v>5</v>
      </c>
      <c r="AJ68" s="185"/>
      <c r="AK68" s="185">
        <v>2</v>
      </c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13711</v>
      </c>
      <c r="AW68" s="185"/>
      <c r="AX68" s="185"/>
      <c r="AY68" s="185"/>
      <c r="AZ68" s="185"/>
      <c r="BA68" s="185"/>
      <c r="BB68" s="185">
        <v>112</v>
      </c>
      <c r="BC68" s="185"/>
      <c r="BD68" s="185">
        <v>1958</v>
      </c>
      <c r="BE68" s="185">
        <v>4570</v>
      </c>
      <c r="BF68" s="185">
        <v>-2740</v>
      </c>
      <c r="BG68" s="185"/>
      <c r="BH68" s="185"/>
      <c r="BI68" s="185"/>
      <c r="BJ68" s="185">
        <v>63</v>
      </c>
      <c r="BK68" s="185">
        <v>1106</v>
      </c>
      <c r="BL68" s="185"/>
      <c r="BM68" s="185"/>
      <c r="BN68" s="185">
        <f>147+95483</f>
        <v>95630</v>
      </c>
      <c r="BO68" s="185"/>
      <c r="BP68" s="185"/>
      <c r="BQ68" s="185"/>
      <c r="BR68" s="185">
        <v>8</v>
      </c>
      <c r="BS68" s="185"/>
      <c r="BT68" s="185"/>
      <c r="BU68" s="185"/>
      <c r="BV68" s="185">
        <v>75878</v>
      </c>
      <c r="BW68" s="185">
        <v>639</v>
      </c>
      <c r="BX68" s="185"/>
      <c r="BY68" s="185">
        <v>206</v>
      </c>
      <c r="BZ68" s="185"/>
      <c r="CA68" s="185"/>
      <c r="CB68" s="185"/>
      <c r="CC68" s="185"/>
      <c r="CD68" s="249" t="s">
        <v>221</v>
      </c>
      <c r="CE68" s="195">
        <f t="shared" si="0"/>
        <v>1669002</v>
      </c>
      <c r="CF68" s="252"/>
    </row>
    <row r="69" spans="1:84" ht="12.6" customHeight="1" x14ac:dyDescent="0.25">
      <c r="A69" s="171" t="s">
        <v>241</v>
      </c>
      <c r="B69" s="175"/>
      <c r="C69" s="184">
        <f>23635+904+3551+1701</f>
        <v>29791</v>
      </c>
      <c r="D69" s="184"/>
      <c r="E69" s="185">
        <f>7912+2078+24976+5586</f>
        <v>40552</v>
      </c>
      <c r="F69" s="185"/>
      <c r="G69" s="184"/>
      <c r="H69" s="184"/>
      <c r="I69" s="185"/>
      <c r="J69" s="185">
        <f>632+416</f>
        <v>1048</v>
      </c>
      <c r="K69" s="185"/>
      <c r="L69" s="185"/>
      <c r="M69" s="184"/>
      <c r="N69" s="184"/>
      <c r="O69" s="184">
        <f>43595+1282+1218+2153</f>
        <v>48248</v>
      </c>
      <c r="P69" s="185">
        <f>417975+21211+39153+5328+595</f>
        <v>484262</v>
      </c>
      <c r="Q69" s="185">
        <f>5759+38</f>
        <v>5797</v>
      </c>
      <c r="R69" s="224">
        <f>4652+636</f>
        <v>5288</v>
      </c>
      <c r="S69" s="185">
        <f>55251+1116+41721</f>
        <v>98088</v>
      </c>
      <c r="T69" s="184">
        <v>116</v>
      </c>
      <c r="U69" s="185">
        <f>3444+14958+38554+788+568+6866</f>
        <v>65178</v>
      </c>
      <c r="V69" s="185"/>
      <c r="W69" s="184">
        <f>107462+12</f>
        <v>107474</v>
      </c>
      <c r="X69" s="185">
        <f>206800+4007+336+91928+15</f>
        <v>303086</v>
      </c>
      <c r="Y69" s="185">
        <f>44334+110+4400-1523+226038+124+40+447+48313+103+92+81671+52+1223+1100+93714+59+8271</f>
        <v>508568</v>
      </c>
      <c r="Z69" s="185">
        <f>313162+323+56+5400+10919</f>
        <v>329860</v>
      </c>
      <c r="AA69" s="185">
        <f>23449-689+4470</f>
        <v>27230</v>
      </c>
      <c r="AB69" s="185">
        <f>29872+11452+1282+19605+2563</f>
        <v>64774</v>
      </c>
      <c r="AC69" s="185">
        <f>2271+18809+2437</f>
        <v>23517</v>
      </c>
      <c r="AD69" s="185"/>
      <c r="AE69" s="185">
        <f>2736+1199+5938+2099</f>
        <v>11972</v>
      </c>
      <c r="AF69" s="185"/>
      <c r="AG69" s="185">
        <f>2382+94+2236+13668</f>
        <v>18380</v>
      </c>
      <c r="AH69" s="185"/>
      <c r="AI69" s="185">
        <f>7017+257+9899+312+170</f>
        <v>17655</v>
      </c>
      <c r="AJ69" s="185"/>
      <c r="AK69" s="185">
        <f>299+299</f>
        <v>598</v>
      </c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f>-6403+1427+1682+1100+500</f>
        <v>-1694</v>
      </c>
      <c r="AW69" s="185"/>
      <c r="AX69" s="185"/>
      <c r="AY69" s="185">
        <f>13023+199+113+700+3527</f>
        <v>17562</v>
      </c>
      <c r="AZ69" s="185"/>
      <c r="BA69" s="185"/>
      <c r="BB69" s="185">
        <f>1178+724+435+1932+100634+5878+24669</f>
        <v>135450</v>
      </c>
      <c r="BC69" s="185"/>
      <c r="BD69" s="185">
        <f>7050-73+71242+519+13425+94.01+1088+10.36</f>
        <v>93355.37</v>
      </c>
      <c r="BE69" s="185">
        <f>273159+839+91+150+5389+37+125+223+1570</f>
        <v>281583</v>
      </c>
      <c r="BF69" s="185">
        <f>4935+104+43</f>
        <v>5082</v>
      </c>
      <c r="BG69" s="185"/>
      <c r="BH69" s="224">
        <f>215397+293+1008+39867+8615</f>
        <v>265180</v>
      </c>
      <c r="BI69" s="185"/>
      <c r="BJ69" s="185">
        <f>120+4817+9+2131-1064</f>
        <v>6013</v>
      </c>
      <c r="BK69" s="185">
        <f>794+27+1061+3910</f>
        <v>5792</v>
      </c>
      <c r="BL69" s="185">
        <v>38</v>
      </c>
      <c r="BM69" s="185"/>
      <c r="BN69" s="185">
        <f>51928+3722+893+1572+463982+492073+17165+2202+181017+140264+1171821+4618.44+86.1+7352.37+69.73+29463.21+34073.64+2500+108.8-5141</f>
        <v>2599770.29</v>
      </c>
      <c r="BO69" s="185"/>
      <c r="BP69" s="185">
        <f>109537+1234+5782+51037</f>
        <v>167590</v>
      </c>
      <c r="BQ69" s="185"/>
      <c r="BR69" s="185">
        <f>103+121+16832+137472</f>
        <v>154528</v>
      </c>
      <c r="BS69" s="185"/>
      <c r="BT69" s="185"/>
      <c r="BU69" s="185"/>
      <c r="BV69" s="185">
        <f>687+3787+315+2500</f>
        <v>7289</v>
      </c>
      <c r="BW69" s="185">
        <f>31+39+50+7031</f>
        <v>7151</v>
      </c>
      <c r="BX69" s="185">
        <f>542+4467+38126+495</f>
        <v>43630</v>
      </c>
      <c r="BY69" s="185">
        <f>17-1+90</f>
        <v>106</v>
      </c>
      <c r="BZ69" s="185"/>
      <c r="CA69" s="185">
        <f>9+11+896+775+3673+90+84.27+5834.14</f>
        <v>11372.41</v>
      </c>
      <c r="CB69" s="185"/>
      <c r="CC69" s="185"/>
      <c r="CD69" s="188">
        <v>12954038</v>
      </c>
      <c r="CE69" s="195">
        <f t="shared" si="0"/>
        <v>18945318.07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303883</v>
      </c>
      <c r="CE70" s="195">
        <f t="shared" si="0"/>
        <v>303883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6168621</v>
      </c>
      <c r="D71" s="195">
        <f t="shared" ref="D71:AI71" si="5">SUM(D61:D69)-D70</f>
        <v>0</v>
      </c>
      <c r="E71" s="195">
        <f t="shared" si="5"/>
        <v>4686386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231325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4123409</v>
      </c>
      <c r="P71" s="195">
        <f t="shared" si="5"/>
        <v>5809304</v>
      </c>
      <c r="Q71" s="195">
        <f t="shared" si="5"/>
        <v>1002863</v>
      </c>
      <c r="R71" s="195">
        <f t="shared" si="5"/>
        <v>904672</v>
      </c>
      <c r="S71" s="195">
        <f t="shared" si="5"/>
        <v>1159834</v>
      </c>
      <c r="T71" s="195">
        <f t="shared" si="5"/>
        <v>193031</v>
      </c>
      <c r="U71" s="195">
        <f t="shared" si="5"/>
        <v>3300570</v>
      </c>
      <c r="V71" s="195">
        <f t="shared" si="5"/>
        <v>0</v>
      </c>
      <c r="W71" s="195">
        <f t="shared" si="5"/>
        <v>338764</v>
      </c>
      <c r="X71" s="195">
        <f t="shared" si="5"/>
        <v>1844387</v>
      </c>
      <c r="Y71" s="195">
        <f t="shared" si="5"/>
        <v>4748648</v>
      </c>
      <c r="Z71" s="195">
        <f t="shared" si="5"/>
        <v>1649625</v>
      </c>
      <c r="AA71" s="195">
        <f t="shared" si="5"/>
        <v>240387</v>
      </c>
      <c r="AB71" s="195">
        <f t="shared" si="5"/>
        <v>3954929</v>
      </c>
      <c r="AC71" s="195">
        <f t="shared" si="5"/>
        <v>1178991.1600000001</v>
      </c>
      <c r="AD71" s="195">
        <f t="shared" si="5"/>
        <v>0</v>
      </c>
      <c r="AE71" s="195">
        <f t="shared" si="5"/>
        <v>1018394</v>
      </c>
      <c r="AF71" s="195">
        <f t="shared" si="5"/>
        <v>0</v>
      </c>
      <c r="AG71" s="195">
        <f t="shared" si="5"/>
        <v>3258609</v>
      </c>
      <c r="AH71" s="195">
        <f t="shared" si="5"/>
        <v>0</v>
      </c>
      <c r="AI71" s="195">
        <f t="shared" si="5"/>
        <v>2334228</v>
      </c>
      <c r="AJ71" s="195">
        <f t="shared" ref="AJ71:BO71" si="6">SUM(AJ61:AJ69)-AJ70</f>
        <v>0</v>
      </c>
      <c r="AK71" s="195">
        <f t="shared" si="6"/>
        <v>119740</v>
      </c>
      <c r="AL71" s="195">
        <f t="shared" si="6"/>
        <v>64554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805396</v>
      </c>
      <c r="AW71" s="195">
        <f t="shared" si="6"/>
        <v>0</v>
      </c>
      <c r="AX71" s="195">
        <f t="shared" si="6"/>
        <v>0</v>
      </c>
      <c r="AY71" s="195">
        <f t="shared" si="6"/>
        <v>1828446</v>
      </c>
      <c r="AZ71" s="195">
        <f t="shared" si="6"/>
        <v>0</v>
      </c>
      <c r="BA71" s="195">
        <f t="shared" si="6"/>
        <v>0</v>
      </c>
      <c r="BB71" s="195">
        <f t="shared" si="6"/>
        <v>1097153</v>
      </c>
      <c r="BC71" s="195">
        <f t="shared" si="6"/>
        <v>0</v>
      </c>
      <c r="BD71" s="195">
        <f t="shared" si="6"/>
        <v>16159907.549999999</v>
      </c>
      <c r="BE71" s="195">
        <f t="shared" si="6"/>
        <v>3744004</v>
      </c>
      <c r="BF71" s="195">
        <f t="shared" si="6"/>
        <v>1331913</v>
      </c>
      <c r="BG71" s="195">
        <f t="shared" si="6"/>
        <v>117219</v>
      </c>
      <c r="BH71" s="195">
        <f t="shared" si="6"/>
        <v>2145193</v>
      </c>
      <c r="BI71" s="195">
        <f t="shared" si="6"/>
        <v>10</v>
      </c>
      <c r="BJ71" s="195">
        <f t="shared" si="6"/>
        <v>434953</v>
      </c>
      <c r="BK71" s="195">
        <f t="shared" si="6"/>
        <v>3044945</v>
      </c>
      <c r="BL71" s="195">
        <f t="shared" si="6"/>
        <v>151213</v>
      </c>
      <c r="BM71" s="195">
        <f t="shared" si="6"/>
        <v>106582</v>
      </c>
      <c r="BN71" s="195">
        <f t="shared" si="6"/>
        <v>5167647.29</v>
      </c>
      <c r="BO71" s="195">
        <f t="shared" si="6"/>
        <v>0</v>
      </c>
      <c r="BP71" s="195">
        <f t="shared" ref="BP71:CC71" si="7">SUM(BP61:BP69)-BP70</f>
        <v>371598</v>
      </c>
      <c r="BQ71" s="195">
        <f t="shared" si="7"/>
        <v>0</v>
      </c>
      <c r="BR71" s="195">
        <f t="shared" si="7"/>
        <v>619889</v>
      </c>
      <c r="BS71" s="195">
        <f t="shared" si="7"/>
        <v>16925</v>
      </c>
      <c r="BT71" s="195">
        <f t="shared" si="7"/>
        <v>0</v>
      </c>
      <c r="BU71" s="195">
        <f t="shared" si="7"/>
        <v>0</v>
      </c>
      <c r="BV71" s="195">
        <f t="shared" si="7"/>
        <v>1195704</v>
      </c>
      <c r="BW71" s="195">
        <f t="shared" si="7"/>
        <v>106330</v>
      </c>
      <c r="BX71" s="195">
        <f t="shared" si="7"/>
        <v>407348</v>
      </c>
      <c r="BY71" s="195">
        <f t="shared" si="7"/>
        <v>822172</v>
      </c>
      <c r="BZ71" s="195">
        <f t="shared" si="7"/>
        <v>0</v>
      </c>
      <c r="CA71" s="195">
        <f t="shared" si="7"/>
        <v>251742.41</v>
      </c>
      <c r="CB71" s="195">
        <f t="shared" si="7"/>
        <v>0</v>
      </c>
      <c r="CC71" s="195">
        <f t="shared" si="7"/>
        <v>3036592</v>
      </c>
      <c r="CD71" s="245">
        <f>CD69-CD70</f>
        <v>12650155</v>
      </c>
      <c r="CE71" s="195">
        <f>SUM(CE61:CE69)-CE70</f>
        <v>103944308.41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26731173</v>
      </c>
      <c r="D73" s="184"/>
      <c r="E73" s="185">
        <v>15134752</v>
      </c>
      <c r="F73" s="185"/>
      <c r="G73" s="184"/>
      <c r="H73" s="184"/>
      <c r="I73" s="185"/>
      <c r="J73" s="185">
        <v>2435637</v>
      </c>
      <c r="K73" s="185"/>
      <c r="L73" s="185"/>
      <c r="M73" s="184"/>
      <c r="N73" s="184"/>
      <c r="O73" s="184">
        <v>12178383</v>
      </c>
      <c r="P73" s="185">
        <f>45785740+2817+17895135+50862612+525803</f>
        <v>115072107</v>
      </c>
      <c r="Q73" s="185">
        <v>9100013</v>
      </c>
      <c r="R73" s="185">
        <v>7863704</v>
      </c>
      <c r="S73" s="185"/>
      <c r="T73" s="185">
        <v>309473</v>
      </c>
      <c r="U73" s="185">
        <f>12305836+627643+668252</f>
        <v>13601731</v>
      </c>
      <c r="V73" s="185"/>
      <c r="W73" s="185">
        <v>2288318</v>
      </c>
      <c r="X73" s="185">
        <f>8260338+105865</f>
        <v>8366203</v>
      </c>
      <c r="Y73" s="185">
        <f>45438+2572423+3238889+383185+5414187+1699297+11013</f>
        <v>13364432</v>
      </c>
      <c r="Z73" s="185">
        <v>253191</v>
      </c>
      <c r="AA73" s="185">
        <v>776877</v>
      </c>
      <c r="AB73" s="185">
        <f>12314500+10584</f>
        <v>12325084</v>
      </c>
      <c r="AC73" s="185">
        <f>2712+4624515</f>
        <v>4627227</v>
      </c>
      <c r="AD73" s="185"/>
      <c r="AE73" s="185">
        <v>1897081</v>
      </c>
      <c r="AF73" s="185"/>
      <c r="AG73" s="185">
        <v>6841144</v>
      </c>
      <c r="AH73" s="185"/>
      <c r="AI73" s="185">
        <f>1019181+49886</f>
        <v>1069067</v>
      </c>
      <c r="AJ73" s="185"/>
      <c r="AK73" s="185">
        <v>386114</v>
      </c>
      <c r="AL73" s="185">
        <v>87508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7702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254716921</v>
      </c>
      <c r="CF73" s="252"/>
    </row>
    <row r="74" spans="1:84" ht="12.6" customHeight="1" x14ac:dyDescent="0.25">
      <c r="A74" s="171" t="s">
        <v>246</v>
      </c>
      <c r="B74" s="175"/>
      <c r="C74" s="184">
        <v>2148111</v>
      </c>
      <c r="D74" s="184"/>
      <c r="E74" s="185">
        <v>1505794</v>
      </c>
      <c r="F74" s="185"/>
      <c r="G74" s="184"/>
      <c r="H74" s="184"/>
      <c r="I74" s="184"/>
      <c r="J74" s="185">
        <v>1181</v>
      </c>
      <c r="K74" s="185"/>
      <c r="L74" s="185"/>
      <c r="M74" s="184"/>
      <c r="N74" s="184"/>
      <c r="O74" s="184">
        <v>877106</v>
      </c>
      <c r="P74" s="185">
        <f>37694773+5276+11273476+9423113</f>
        <v>58396638</v>
      </c>
      <c r="Q74" s="185">
        <f>10661762</f>
        <v>10661762</v>
      </c>
      <c r="R74" s="185">
        <v>7357508</v>
      </c>
      <c r="S74" s="185"/>
      <c r="T74" s="185">
        <v>72607</v>
      </c>
      <c r="U74" s="185">
        <f>11592244+967687+363678+453830</f>
        <v>13377439</v>
      </c>
      <c r="V74" s="185"/>
      <c r="W74" s="185">
        <v>3337566</v>
      </c>
      <c r="X74" s="185">
        <f>23226040+25744585</f>
        <v>48970625</v>
      </c>
      <c r="Y74" s="185">
        <f>4142530+4772601+6013658+5591175+1388150+9060087+7707424+39552</f>
        <v>38715177</v>
      </c>
      <c r="Z74" s="185">
        <v>29820881</v>
      </c>
      <c r="AA74" s="185">
        <v>2301988</v>
      </c>
      <c r="AB74" s="185">
        <f>8676472+764955</f>
        <v>9441427</v>
      </c>
      <c r="AC74" s="185">
        <f>307271+3076079</f>
        <v>3383350</v>
      </c>
      <c r="AD74" s="185"/>
      <c r="AE74" s="185">
        <v>2221633</v>
      </c>
      <c r="AF74" s="185"/>
      <c r="AG74" s="185">
        <v>32095448</v>
      </c>
      <c r="AH74" s="185"/>
      <c r="AI74" s="185">
        <f>1467326+4178008</f>
        <v>5645334</v>
      </c>
      <c r="AJ74" s="185"/>
      <c r="AK74" s="185">
        <v>531392</v>
      </c>
      <c r="AL74" s="185">
        <v>299442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v>4698606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275861015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28879284</v>
      </c>
      <c r="D75" s="195">
        <f t="shared" si="9"/>
        <v>0</v>
      </c>
      <c r="E75" s="195">
        <f t="shared" si="9"/>
        <v>16640546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2436818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13055489</v>
      </c>
      <c r="P75" s="195">
        <f t="shared" si="9"/>
        <v>173468745</v>
      </c>
      <c r="Q75" s="195">
        <f t="shared" si="9"/>
        <v>19761775</v>
      </c>
      <c r="R75" s="195">
        <f t="shared" si="9"/>
        <v>15221212</v>
      </c>
      <c r="S75" s="195">
        <f t="shared" si="9"/>
        <v>0</v>
      </c>
      <c r="T75" s="195">
        <f t="shared" si="9"/>
        <v>382080</v>
      </c>
      <c r="U75" s="195">
        <f t="shared" si="9"/>
        <v>26979170</v>
      </c>
      <c r="V75" s="195">
        <f t="shared" si="9"/>
        <v>0</v>
      </c>
      <c r="W75" s="195">
        <f t="shared" si="9"/>
        <v>5625884</v>
      </c>
      <c r="X75" s="195">
        <f t="shared" si="9"/>
        <v>57336828</v>
      </c>
      <c r="Y75" s="195">
        <f t="shared" si="9"/>
        <v>52079609</v>
      </c>
      <c r="Z75" s="195">
        <f t="shared" si="9"/>
        <v>30074072</v>
      </c>
      <c r="AA75" s="195">
        <f t="shared" si="9"/>
        <v>3078865</v>
      </c>
      <c r="AB75" s="195">
        <f t="shared" si="9"/>
        <v>21766511</v>
      </c>
      <c r="AC75" s="195">
        <f t="shared" si="9"/>
        <v>8010577</v>
      </c>
      <c r="AD75" s="195">
        <f t="shared" si="9"/>
        <v>0</v>
      </c>
      <c r="AE75" s="195">
        <f t="shared" si="9"/>
        <v>4118714</v>
      </c>
      <c r="AF75" s="195">
        <f t="shared" si="9"/>
        <v>0</v>
      </c>
      <c r="AG75" s="195">
        <f t="shared" si="9"/>
        <v>38936592</v>
      </c>
      <c r="AH75" s="195">
        <f t="shared" si="9"/>
        <v>0</v>
      </c>
      <c r="AI75" s="195">
        <f t="shared" si="9"/>
        <v>6714401</v>
      </c>
      <c r="AJ75" s="195">
        <f t="shared" si="9"/>
        <v>0</v>
      </c>
      <c r="AK75" s="195">
        <f t="shared" si="9"/>
        <v>917506</v>
      </c>
      <c r="AL75" s="195">
        <f t="shared" si="9"/>
        <v>386950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4706308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530577936</v>
      </c>
      <c r="CF75" s="252"/>
    </row>
    <row r="76" spans="1:84" s="273" customFormat="1" ht="12.6" customHeight="1" x14ac:dyDescent="0.25">
      <c r="A76" s="286" t="s">
        <v>248</v>
      </c>
      <c r="C76" s="287">
        <v>8412</v>
      </c>
      <c r="D76" s="287"/>
      <c r="E76" s="288">
        <v>11950</v>
      </c>
      <c r="F76" s="288"/>
      <c r="G76" s="287"/>
      <c r="H76" s="287"/>
      <c r="I76" s="288"/>
      <c r="J76" s="288">
        <v>713</v>
      </c>
      <c r="K76" s="288"/>
      <c r="L76" s="288"/>
      <c r="M76" s="288"/>
      <c r="N76" s="288"/>
      <c r="O76" s="288">
        <v>22555</v>
      </c>
      <c r="P76" s="288">
        <v>2259</v>
      </c>
      <c r="Q76" s="288">
        <v>2872</v>
      </c>
      <c r="R76" s="288">
        <v>343</v>
      </c>
      <c r="S76" s="288">
        <v>2887</v>
      </c>
      <c r="T76" s="288"/>
      <c r="U76" s="288">
        <v>2744</v>
      </c>
      <c r="V76" s="288"/>
      <c r="W76" s="288">
        <v>882</v>
      </c>
      <c r="X76" s="288">
        <v>5984</v>
      </c>
      <c r="Y76" s="288">
        <v>14061</v>
      </c>
      <c r="Z76" s="288">
        <v>5034</v>
      </c>
      <c r="AA76" s="288">
        <v>364</v>
      </c>
      <c r="AB76" s="288">
        <v>1258</v>
      </c>
      <c r="AC76" s="288">
        <v>4235</v>
      </c>
      <c r="AD76" s="288"/>
      <c r="AE76" s="288">
        <v>4213</v>
      </c>
      <c r="AF76" s="288"/>
      <c r="AG76" s="288">
        <v>4248</v>
      </c>
      <c r="AH76" s="288"/>
      <c r="AI76" s="288">
        <v>4979</v>
      </c>
      <c r="AJ76" s="288"/>
      <c r="AK76" s="288"/>
      <c r="AL76" s="288"/>
      <c r="AM76" s="288"/>
      <c r="AN76" s="288"/>
      <c r="AO76" s="288"/>
      <c r="AP76" s="288"/>
      <c r="AQ76" s="288"/>
      <c r="AR76" s="288"/>
      <c r="AS76" s="288"/>
      <c r="AT76" s="288"/>
      <c r="AU76" s="288"/>
      <c r="AV76" s="288"/>
      <c r="AW76" s="288"/>
      <c r="AX76" s="288"/>
      <c r="AY76" s="288">
        <v>5479</v>
      </c>
      <c r="AZ76" s="288"/>
      <c r="BA76" s="288"/>
      <c r="BB76" s="288">
        <v>740</v>
      </c>
      <c r="BC76" s="288"/>
      <c r="BD76" s="288">
        <v>2565</v>
      </c>
      <c r="BE76" s="288">
        <v>27038</v>
      </c>
      <c r="BF76" s="288">
        <v>2289</v>
      </c>
      <c r="BG76" s="288">
        <v>337</v>
      </c>
      <c r="BH76" s="288">
        <v>752</v>
      </c>
      <c r="BI76" s="288"/>
      <c r="BJ76" s="288">
        <v>1635</v>
      </c>
      <c r="BK76" s="288"/>
      <c r="BL76" s="288"/>
      <c r="BM76" s="288">
        <v>1801</v>
      </c>
      <c r="BN76" s="288">
        <v>3875</v>
      </c>
      <c r="BO76" s="288"/>
      <c r="BP76" s="288">
        <v>729</v>
      </c>
      <c r="BQ76" s="288"/>
      <c r="BR76" s="288">
        <v>1013</v>
      </c>
      <c r="BS76" s="288">
        <v>286</v>
      </c>
      <c r="BT76" s="288"/>
      <c r="BU76" s="288"/>
      <c r="BV76" s="288">
        <v>3355</v>
      </c>
      <c r="BW76" s="288"/>
      <c r="BX76" s="288">
        <v>83</v>
      </c>
      <c r="BY76" s="288">
        <v>1165</v>
      </c>
      <c r="BZ76" s="288"/>
      <c r="CA76" s="288">
        <v>2239</v>
      </c>
      <c r="CB76" s="288"/>
      <c r="CC76" s="288"/>
      <c r="CD76" s="289" t="s">
        <v>221</v>
      </c>
      <c r="CE76" s="290">
        <f t="shared" si="8"/>
        <v>155374</v>
      </c>
      <c r="CF76" s="290">
        <f>BE59-CE76</f>
        <v>0</v>
      </c>
    </row>
    <row r="77" spans="1:84" s="273" customFormat="1" ht="12.6" customHeight="1" x14ac:dyDescent="0.25">
      <c r="A77" s="286" t="s">
        <v>249</v>
      </c>
      <c r="C77" s="287">
        <v>8792</v>
      </c>
      <c r="D77" s="287"/>
      <c r="E77" s="287">
        <v>16235</v>
      </c>
      <c r="F77" s="287"/>
      <c r="G77" s="287"/>
      <c r="H77" s="287"/>
      <c r="I77" s="287"/>
      <c r="J77" s="287">
        <v>58</v>
      </c>
      <c r="K77" s="287"/>
      <c r="L77" s="287"/>
      <c r="M77" s="287"/>
      <c r="N77" s="287"/>
      <c r="O77" s="287">
        <v>7173</v>
      </c>
      <c r="P77" s="287">
        <v>10433</v>
      </c>
      <c r="Q77" s="287"/>
      <c r="R77" s="287"/>
      <c r="S77" s="287"/>
      <c r="T77" s="287"/>
      <c r="U77" s="287">
        <v>323</v>
      </c>
      <c r="V77" s="287"/>
      <c r="W77" s="287">
        <v>529</v>
      </c>
      <c r="X77" s="287"/>
      <c r="Y77" s="287">
        <v>5491</v>
      </c>
      <c r="Z77" s="287"/>
      <c r="AA77" s="287"/>
      <c r="AB77" s="287"/>
      <c r="AC77" s="287">
        <v>321</v>
      </c>
      <c r="AD77" s="287"/>
      <c r="AE77" s="287"/>
      <c r="AF77" s="287"/>
      <c r="AG77" s="287">
        <v>5892</v>
      </c>
      <c r="AH77" s="287"/>
      <c r="AI77" s="287">
        <v>4181</v>
      </c>
      <c r="AJ77" s="287"/>
      <c r="AK77" s="287"/>
      <c r="AL77" s="287"/>
      <c r="AM77" s="287"/>
      <c r="AN77" s="287"/>
      <c r="AO77" s="287"/>
      <c r="AP77" s="287"/>
      <c r="AQ77" s="287"/>
      <c r="AR77" s="287"/>
      <c r="AS77" s="287"/>
      <c r="AT77" s="287"/>
      <c r="AU77" s="287"/>
      <c r="AV77" s="287"/>
      <c r="AW77" s="287"/>
      <c r="AX77" s="289" t="s">
        <v>221</v>
      </c>
      <c r="AY77" s="289" t="s">
        <v>221</v>
      </c>
      <c r="AZ77" s="287"/>
      <c r="BA77" s="287"/>
      <c r="BB77" s="287"/>
      <c r="BC77" s="287"/>
      <c r="BD77" s="289" t="s">
        <v>221</v>
      </c>
      <c r="BE77" s="289" t="s">
        <v>221</v>
      </c>
      <c r="BF77" s="287"/>
      <c r="BG77" s="289" t="s">
        <v>221</v>
      </c>
      <c r="BH77" s="287"/>
      <c r="BI77" s="287"/>
      <c r="BJ77" s="289" t="s">
        <v>221</v>
      </c>
      <c r="BK77" s="287"/>
      <c r="BL77" s="287"/>
      <c r="BM77" s="287"/>
      <c r="BN77" s="289" t="s">
        <v>221</v>
      </c>
      <c r="BO77" s="289" t="s">
        <v>221</v>
      </c>
      <c r="BP77" s="289" t="s">
        <v>221</v>
      </c>
      <c r="BQ77" s="289" t="s">
        <v>221</v>
      </c>
      <c r="BR77" s="287"/>
      <c r="BS77" s="287"/>
      <c r="BT77" s="287"/>
      <c r="BU77" s="287"/>
      <c r="BV77" s="287"/>
      <c r="BW77" s="287"/>
      <c r="BX77" s="287"/>
      <c r="BY77" s="287"/>
      <c r="BZ77" s="287"/>
      <c r="CA77" s="287"/>
      <c r="CB77" s="287"/>
      <c r="CC77" s="289" t="s">
        <v>221</v>
      </c>
      <c r="CD77" s="289" t="s">
        <v>221</v>
      </c>
      <c r="CE77" s="290">
        <f>SUM(C77:CD77)</f>
        <v>59428</v>
      </c>
      <c r="CF77" s="290">
        <f>AY59-CE77</f>
        <v>118746</v>
      </c>
    </row>
    <row r="78" spans="1:84" ht="12.6" customHeight="1" x14ac:dyDescent="0.25">
      <c r="A78" s="171" t="s">
        <v>250</v>
      </c>
      <c r="B78" s="175"/>
      <c r="C78" s="184">
        <v>2350</v>
      </c>
      <c r="D78" s="184"/>
      <c r="E78" s="184">
        <v>3337</v>
      </c>
      <c r="F78" s="184"/>
      <c r="G78" s="184"/>
      <c r="H78" s="184"/>
      <c r="I78" s="184"/>
      <c r="J78" s="184">
        <v>200</v>
      </c>
      <c r="K78" s="184"/>
      <c r="L78" s="184"/>
      <c r="M78" s="184"/>
      <c r="N78" s="184"/>
      <c r="O78" s="184">
        <v>6299</v>
      </c>
      <c r="P78" s="184">
        <v>1298</v>
      </c>
      <c r="Q78" s="184">
        <v>386</v>
      </c>
      <c r="R78" s="184">
        <v>112</v>
      </c>
      <c r="S78" s="184">
        <v>716</v>
      </c>
      <c r="T78" s="184"/>
      <c r="U78" s="184">
        <v>766</v>
      </c>
      <c r="V78" s="184"/>
      <c r="W78" s="184">
        <v>247</v>
      </c>
      <c r="X78" s="184">
        <v>1671</v>
      </c>
      <c r="Y78" s="184">
        <v>3928</v>
      </c>
      <c r="Z78" s="184">
        <v>1406</v>
      </c>
      <c r="AA78" s="184">
        <v>101</v>
      </c>
      <c r="AB78" s="184">
        <v>352</v>
      </c>
      <c r="AC78" s="184">
        <v>1182</v>
      </c>
      <c r="AD78" s="184"/>
      <c r="AE78" s="184">
        <v>1177</v>
      </c>
      <c r="AF78" s="184"/>
      <c r="AG78" s="184">
        <v>1187</v>
      </c>
      <c r="AH78" s="184"/>
      <c r="AI78" s="184">
        <v>995</v>
      </c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v>206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210</v>
      </c>
      <c r="BI78" s="184"/>
      <c r="BJ78" s="249" t="s">
        <v>221</v>
      </c>
      <c r="BK78" s="184"/>
      <c r="BL78" s="184">
        <v>503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80</v>
      </c>
      <c r="BT78" s="184"/>
      <c r="BU78" s="184"/>
      <c r="BV78" s="184">
        <v>937</v>
      </c>
      <c r="BW78" s="184"/>
      <c r="BX78" s="184">
        <v>23</v>
      </c>
      <c r="BY78" s="184">
        <v>325</v>
      </c>
      <c r="BZ78" s="184"/>
      <c r="CA78" s="184">
        <v>626</v>
      </c>
      <c r="CB78" s="184"/>
      <c r="CC78" s="249" t="s">
        <v>221</v>
      </c>
      <c r="CD78" s="249" t="s">
        <v>221</v>
      </c>
      <c r="CE78" s="195">
        <f t="shared" si="8"/>
        <v>30620</v>
      </c>
      <c r="CF78" s="195"/>
    </row>
    <row r="79" spans="1:84" ht="12.6" customHeight="1" x14ac:dyDescent="0.25">
      <c r="A79" s="171" t="s">
        <v>251</v>
      </c>
      <c r="B79" s="175"/>
      <c r="C79" s="225">
        <v>86180</v>
      </c>
      <c r="D79" s="225"/>
      <c r="E79" s="184">
        <v>159133</v>
      </c>
      <c r="F79" s="184"/>
      <c r="G79" s="184"/>
      <c r="H79" s="184"/>
      <c r="I79" s="184"/>
      <c r="J79" s="184">
        <v>569</v>
      </c>
      <c r="K79" s="184"/>
      <c r="L79" s="184"/>
      <c r="M79" s="184"/>
      <c r="N79" s="184"/>
      <c r="O79" s="184">
        <v>70305</v>
      </c>
      <c r="P79" s="184">
        <v>102264</v>
      </c>
      <c r="Q79" s="184"/>
      <c r="R79" s="184"/>
      <c r="S79" s="184"/>
      <c r="T79" s="184"/>
      <c r="U79" s="184">
        <v>3170</v>
      </c>
      <c r="V79" s="184"/>
      <c r="W79" s="184">
        <v>5187</v>
      </c>
      <c r="X79" s="184">
        <v>22864</v>
      </c>
      <c r="Y79" s="184">
        <v>53821</v>
      </c>
      <c r="Z79" s="184"/>
      <c r="AA79" s="184"/>
      <c r="AB79" s="184"/>
      <c r="AC79" s="184">
        <v>3150</v>
      </c>
      <c r="AD79" s="184"/>
      <c r="AE79" s="184">
        <v>6411</v>
      </c>
      <c r="AF79" s="184"/>
      <c r="AG79" s="184">
        <v>57749</v>
      </c>
      <c r="AH79" s="184"/>
      <c r="AI79" s="184">
        <v>40977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7844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619624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49.05</v>
      </c>
      <c r="D80" s="187"/>
      <c r="E80" s="187">
        <v>37.11</v>
      </c>
      <c r="F80" s="187"/>
      <c r="G80" s="187"/>
      <c r="H80" s="187"/>
      <c r="I80" s="187"/>
      <c r="J80" s="187">
        <v>0.74</v>
      </c>
      <c r="K80" s="187"/>
      <c r="L80" s="187"/>
      <c r="M80" s="187"/>
      <c r="N80" s="187"/>
      <c r="O80" s="187">
        <f>19.4</f>
        <v>19.399999999999999</v>
      </c>
      <c r="P80" s="187">
        <v>27.25</v>
      </c>
      <c r="Q80" s="187">
        <v>5.82</v>
      </c>
      <c r="R80" s="187">
        <v>1.75</v>
      </c>
      <c r="S80" s="187">
        <v>5.55</v>
      </c>
      <c r="T80" s="187">
        <v>1.55</v>
      </c>
      <c r="U80" s="187">
        <v>18.61</v>
      </c>
      <c r="V80" s="187"/>
      <c r="W80" s="187">
        <v>1.49</v>
      </c>
      <c r="X80" s="187">
        <v>2</v>
      </c>
      <c r="Y80" s="187">
        <v>25.16</v>
      </c>
      <c r="Z80" s="187">
        <v>4.9000000000000004</v>
      </c>
      <c r="AA80" s="187">
        <v>1.35</v>
      </c>
      <c r="AB80" s="187">
        <f>8.7+0.99</f>
        <v>9.69</v>
      </c>
      <c r="AC80" s="187">
        <v>1.08</v>
      </c>
      <c r="AD80" s="187"/>
      <c r="AE80" s="187">
        <v>8.11</v>
      </c>
      <c r="AF80" s="187"/>
      <c r="AG80" s="187">
        <v>21.74</v>
      </c>
      <c r="AH80" s="187"/>
      <c r="AI80" s="187">
        <f>1.54+16.93</f>
        <v>18.47</v>
      </c>
      <c r="AJ80" s="187"/>
      <c r="AK80" s="187">
        <v>1.01</v>
      </c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3.12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264.95000000000005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>
        <v>1</v>
      </c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4245</v>
      </c>
      <c r="D111" s="174">
        <v>13300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634</v>
      </c>
      <c r="D114" s="174">
        <v>994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55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22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107</v>
      </c>
    </row>
    <row r="128" spans="1:5" ht="12.6" customHeight="1" x14ac:dyDescent="0.25">
      <c r="A128" s="173" t="s">
        <v>292</v>
      </c>
      <c r="B128" s="172" t="s">
        <v>256</v>
      </c>
      <c r="C128" s="189">
        <v>107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22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1697</v>
      </c>
      <c r="C138" s="189">
        <v>138</v>
      </c>
      <c r="D138" s="174">
        <f>4879-1697-138</f>
        <v>3044</v>
      </c>
      <c r="E138" s="175">
        <f>SUM(B138:D138)</f>
        <v>4879</v>
      </c>
    </row>
    <row r="139" spans="1:6" ht="12.6" customHeight="1" x14ac:dyDescent="0.25">
      <c r="A139" s="173" t="s">
        <v>215</v>
      </c>
      <c r="B139" s="174">
        <v>5736</v>
      </c>
      <c r="C139" s="189">
        <v>331</v>
      </c>
      <c r="D139" s="174">
        <f>14294-5736-331</f>
        <v>8227</v>
      </c>
      <c r="E139" s="175">
        <f>SUM(B139:D139)</f>
        <v>14294</v>
      </c>
    </row>
    <row r="140" spans="1:6" ht="12.6" customHeight="1" x14ac:dyDescent="0.25">
      <c r="A140" s="173" t="s">
        <v>298</v>
      </c>
      <c r="B140" s="174">
        <v>23091</v>
      </c>
      <c r="C140" s="174">
        <v>912</v>
      </c>
      <c r="D140" s="174">
        <f>67527-23091-912</f>
        <v>43524</v>
      </c>
      <c r="E140" s="175">
        <f>SUM(B140:D140)</f>
        <v>67527</v>
      </c>
    </row>
    <row r="141" spans="1:6" ht="12.6" customHeight="1" x14ac:dyDescent="0.25">
      <c r="A141" s="173" t="s">
        <v>245</v>
      </c>
      <c r="B141" s="174">
        <v>115349074</v>
      </c>
      <c r="C141" s="189">
        <v>4103621</v>
      </c>
      <c r="D141" s="174">
        <f>254716921-115349074-4103621</f>
        <v>135264226</v>
      </c>
      <c r="E141" s="175">
        <f>SUM(B141:D141)</f>
        <v>254716921</v>
      </c>
      <c r="F141" s="199"/>
    </row>
    <row r="142" spans="1:6" ht="12.6" customHeight="1" x14ac:dyDescent="0.25">
      <c r="A142" s="173" t="s">
        <v>246</v>
      </c>
      <c r="B142" s="174">
        <v>95331674.379999995</v>
      </c>
      <c r="C142" s="189">
        <v>3410085.15</v>
      </c>
      <c r="D142" s="174">
        <f>275961016.33-95331674.38-3410085.15</f>
        <v>177219256.79999998</v>
      </c>
      <c r="E142" s="175">
        <f>SUM(B142:D142)</f>
        <v>275961016.32999998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74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74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74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74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f>2457585-147587</f>
        <v>2309998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147587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397083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128714.42-1070694.11+3323657</f>
        <v>2381677.31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-8568+18466</f>
        <v>9898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192.79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2637+20980.52+27139.71+113.73+49088.93+24171+2</f>
        <v>124132.89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5370568.9900000002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78494+545425</f>
        <v>623919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1669000-623919</f>
        <v>1045081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1669000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316892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147090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463982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2624066.23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1847403.6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4471469.83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f>8018585+1</f>
        <v>8018586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8018586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5690591</v>
      </c>
      <c r="C195" s="189">
        <v>1615988</v>
      </c>
      <c r="D195" s="174">
        <f>384731+1657357+1915054-990372+430607+619202</f>
        <v>4016579</v>
      </c>
      <c r="E195" s="175">
        <f t="shared" ref="E195:E203" si="10">SUM(B195:C195)-D195</f>
        <v>3290000</v>
      </c>
    </row>
    <row r="196" spans="1:8" ht="12.6" customHeight="1" x14ac:dyDescent="0.25">
      <c r="A196" s="173" t="s">
        <v>333</v>
      </c>
      <c r="B196" s="174">
        <v>305168</v>
      </c>
      <c r="C196" s="189">
        <v>670793.66</v>
      </c>
      <c r="D196" s="174">
        <f>195962</f>
        <v>195962</v>
      </c>
      <c r="E196" s="175">
        <f t="shared" si="10"/>
        <v>779999.66</v>
      </c>
    </row>
    <row r="197" spans="1:8" ht="12.6" customHeight="1" x14ac:dyDescent="0.25">
      <c r="A197" s="173" t="s">
        <v>334</v>
      </c>
      <c r="B197" s="174">
        <v>23154746</v>
      </c>
      <c r="C197" s="189">
        <f>31035644</f>
        <v>31035644</v>
      </c>
      <c r="D197" s="174">
        <f>3029903-1236327+9517524+967243+61602+1797672+1479587+12308-2096+330105</f>
        <v>15957521</v>
      </c>
      <c r="E197" s="175">
        <f t="shared" si="10"/>
        <v>38232869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5017562</v>
      </c>
      <c r="C199" s="189"/>
      <c r="D199" s="174">
        <f>4102945+65864-9215+144894</f>
        <v>4304488</v>
      </c>
      <c r="E199" s="175">
        <f t="shared" si="10"/>
        <v>713074</v>
      </c>
    </row>
    <row r="200" spans="1:8" ht="12.6" customHeight="1" x14ac:dyDescent="0.25">
      <c r="A200" s="173" t="s">
        <v>337</v>
      </c>
      <c r="B200" s="174">
        <v>21868969</v>
      </c>
      <c r="C200" s="189">
        <v>206466</v>
      </c>
      <c r="D200" s="174">
        <f>6327400+4638+4792271+2141+4478659+18126+18971+368794-2205320</f>
        <v>13805680</v>
      </c>
      <c r="E200" s="175">
        <f>SUM(B200:C200)-D200</f>
        <v>8269755</v>
      </c>
    </row>
    <row r="201" spans="1:8" ht="12.6" customHeight="1" x14ac:dyDescent="0.25">
      <c r="A201" s="173" t="s">
        <v>338</v>
      </c>
      <c r="B201" s="174">
        <v>5631267</v>
      </c>
      <c r="C201" s="189"/>
      <c r="D201" s="174">
        <v>341315</v>
      </c>
      <c r="E201" s="175">
        <f t="shared" si="10"/>
        <v>5289952</v>
      </c>
    </row>
    <row r="202" spans="1:8" ht="12.6" customHeight="1" x14ac:dyDescent="0.25">
      <c r="A202" s="173" t="s">
        <v>339</v>
      </c>
      <c r="B202" s="174">
        <v>6848981</v>
      </c>
      <c r="C202" s="189">
        <f>40969+26446+4070000</f>
        <v>4137415</v>
      </c>
      <c r="D202" s="174">
        <f>116770+3100+1686475+588505</f>
        <v>2394850</v>
      </c>
      <c r="E202" s="175">
        <f t="shared" si="10"/>
        <v>8591546</v>
      </c>
    </row>
    <row r="203" spans="1:8" ht="12.6" customHeight="1" x14ac:dyDescent="0.25">
      <c r="A203" s="173" t="s">
        <v>340</v>
      </c>
      <c r="B203" s="174">
        <v>5337728</v>
      </c>
      <c r="C203" s="189">
        <v>14857308</v>
      </c>
      <c r="D203" s="174"/>
      <c r="E203" s="175">
        <f t="shared" si="10"/>
        <v>20195036</v>
      </c>
    </row>
    <row r="204" spans="1:8" ht="12.6" customHeight="1" x14ac:dyDescent="0.25">
      <c r="A204" s="173" t="s">
        <v>203</v>
      </c>
      <c r="B204" s="175">
        <f>SUM(B195:B203)</f>
        <v>73855012</v>
      </c>
      <c r="C204" s="191">
        <f>SUM(C195:C203)</f>
        <v>52523614.659999996</v>
      </c>
      <c r="D204" s="175">
        <f>SUM(D195:D203)</f>
        <v>41016395</v>
      </c>
      <c r="E204" s="175">
        <f>SUM(E195:E203)</f>
        <v>85362231.659999996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f>324885</f>
        <v>324885</v>
      </c>
      <c r="C209" s="189">
        <v>53002</v>
      </c>
      <c r="D209" s="174">
        <f>195962+19426</f>
        <v>215388</v>
      </c>
      <c r="E209" s="175">
        <f t="shared" ref="E209:E216" si="11">SUM(B209:C209)-D209</f>
        <v>162499</v>
      </c>
      <c r="H209" s="259"/>
    </row>
    <row r="210" spans="1:8" ht="12.6" customHeight="1" x14ac:dyDescent="0.25">
      <c r="A210" s="173" t="s">
        <v>334</v>
      </c>
      <c r="B210" s="174">
        <v>11125924</v>
      </c>
      <c r="C210" s="189"/>
      <c r="D210" s="174">
        <f>815202+984314-414185+6434036+430245+195510</f>
        <v>8445122</v>
      </c>
      <c r="E210" s="175">
        <f t="shared" si="11"/>
        <v>2680802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2882027</v>
      </c>
      <c r="C212" s="189"/>
      <c r="D212" s="174">
        <f>2508276+2</f>
        <v>2508278</v>
      </c>
      <c r="E212" s="175">
        <f t="shared" si="11"/>
        <v>373749</v>
      </c>
      <c r="H212" s="259"/>
    </row>
    <row r="213" spans="1:8" ht="12.6" customHeight="1" x14ac:dyDescent="0.25">
      <c r="A213" s="173" t="s">
        <v>337</v>
      </c>
      <c r="B213" s="174">
        <v>17139587</v>
      </c>
      <c r="C213" s="189">
        <v>67833</v>
      </c>
      <c r="D213" s="174">
        <f>169005+5308955+4638+5556730+2141+5254147-13764+18126+18974+372194-2227487-14</f>
        <v>14463645</v>
      </c>
      <c r="E213" s="175">
        <f t="shared" si="11"/>
        <v>2743775</v>
      </c>
      <c r="H213" s="259"/>
    </row>
    <row r="214" spans="1:8" ht="12.6" customHeight="1" x14ac:dyDescent="0.25">
      <c r="A214" s="173" t="s">
        <v>338</v>
      </c>
      <c r="B214" s="174">
        <v>4118406</v>
      </c>
      <c r="C214" s="189">
        <f>20158+8628</f>
        <v>28786</v>
      </c>
      <c r="D214" s="174">
        <f>144743+3851+1917413+1334061</f>
        <v>3400068</v>
      </c>
      <c r="E214" s="175">
        <f t="shared" si="11"/>
        <v>747124</v>
      </c>
      <c r="H214" s="259"/>
    </row>
    <row r="215" spans="1:8" ht="12.6" customHeight="1" x14ac:dyDescent="0.25">
      <c r="A215" s="173" t="s">
        <v>339</v>
      </c>
      <c r="B215" s="174">
        <v>2242472</v>
      </c>
      <c r="C215" s="189">
        <v>118909</v>
      </c>
      <c r="D215" s="174">
        <f>47610+1381573+12308+327266-2096</f>
        <v>1766661</v>
      </c>
      <c r="E215" s="175">
        <f t="shared" si="11"/>
        <v>594720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37833301</v>
      </c>
      <c r="C217" s="191">
        <f>SUM(C208:C216)</f>
        <v>268530</v>
      </c>
      <c r="D217" s="175">
        <f>SUM(D208:D216)</f>
        <v>30799162</v>
      </c>
      <c r="E217" s="175">
        <f>SUM(E208:E216)</f>
        <v>7302669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1" t="s">
        <v>1255</v>
      </c>
      <c r="C220" s="291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3059517</v>
      </c>
      <c r="D221" s="172">
        <f>C221</f>
        <v>3059517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176935216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3644021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6723226.1200000001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10163912.91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3602537.65+6518372-11617+212486748</f>
        <v>222596040.65000001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420062416.68000001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f>483373.43+33834.06+100-37627.85+13169.75</f>
        <v>492849.39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467497.04+96863.35+1824.79+3767.77-25091.28+8781.94</f>
        <v>553643.61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1046493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6301.65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6301.65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424174728.32999998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-325930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19350355</f>
        <v>19350355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4320249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-58000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53160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-70274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3503631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637281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18769974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3290000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780000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44740538.82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f>628874+32900+51300</f>
        <v>713074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4534564.68+2010438.61+1630879.31+206466+20400-133000+265286.52+23900+1094239.16+1337288.1+559019.32+24100+4070000</f>
        <v>15643581.699999999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20195037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85362231.519999996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7302669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78059562.519999996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448809.32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f>1209532</f>
        <v>1209532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1658341.32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98487877.839999989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5480548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2390226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258404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1251707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9380885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6222794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6222794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f>73786291</f>
        <v>73786291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73786291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73786291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f>9827102-729193</f>
        <v>9097909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98487879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98487877.839999989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f>45944542+208772379</f>
        <v>254716921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275861016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530577937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3059517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176935216.86+3644021+6518372-11617+212486748+20489676.35</f>
        <v>420062417.21000004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1046493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6301.65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424174728.86000001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106403208.13999999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303883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303883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106707091.13999999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32367618</f>
        <v>32367618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5370569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1709580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22560725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1132077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8144462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9194928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1669000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463982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4471470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8018586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12242179-2</f>
        <v>12242177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107345174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-638082.86000001431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-638082.86000001431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-91110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-729192.86000001431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Capital Medical Center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4245</v>
      </c>
      <c r="C414" s="194">
        <f>E138</f>
        <v>4879</v>
      </c>
      <c r="D414" s="179"/>
    </row>
    <row r="415" spans="1:5" ht="12.6" customHeight="1" x14ac:dyDescent="0.25">
      <c r="A415" s="179" t="s">
        <v>464</v>
      </c>
      <c r="B415" s="179">
        <f>D111</f>
        <v>13300</v>
      </c>
      <c r="C415" s="179">
        <f>E139</f>
        <v>14294</v>
      </c>
      <c r="D415" s="194">
        <f>SUM(C59:H59)+N59</f>
        <v>13104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634</v>
      </c>
    </row>
    <row r="424" spans="1:7" ht="12.6" customHeight="1" x14ac:dyDescent="0.25">
      <c r="A424" s="179" t="s">
        <v>1244</v>
      </c>
      <c r="B424" s="179">
        <f>D114</f>
        <v>994</v>
      </c>
      <c r="D424" s="179">
        <f>J59</f>
        <v>1030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32367618</v>
      </c>
      <c r="C427" s="179">
        <f t="shared" ref="C427:C434" si="13">CE61</f>
        <v>35521528</v>
      </c>
      <c r="D427" s="179"/>
    </row>
    <row r="428" spans="1:7" ht="12.6" customHeight="1" x14ac:dyDescent="0.25">
      <c r="A428" s="179" t="s">
        <v>3</v>
      </c>
      <c r="B428" s="179">
        <f t="shared" si="12"/>
        <v>5370569</v>
      </c>
      <c r="C428" s="179">
        <f t="shared" si="13"/>
        <v>5370569</v>
      </c>
      <c r="D428" s="179">
        <f>D173</f>
        <v>5370568.9900000002</v>
      </c>
    </row>
    <row r="429" spans="1:7" ht="12.6" customHeight="1" x14ac:dyDescent="0.25">
      <c r="A429" s="179" t="s">
        <v>236</v>
      </c>
      <c r="B429" s="179">
        <f t="shared" si="12"/>
        <v>1709580</v>
      </c>
      <c r="C429" s="179">
        <f t="shared" si="13"/>
        <v>1709580</v>
      </c>
      <c r="D429" s="179"/>
    </row>
    <row r="430" spans="1:7" ht="12.6" customHeight="1" x14ac:dyDescent="0.25">
      <c r="A430" s="179" t="s">
        <v>237</v>
      </c>
      <c r="B430" s="179">
        <f t="shared" si="12"/>
        <v>22560725</v>
      </c>
      <c r="C430" s="179">
        <f t="shared" si="13"/>
        <v>22560725.34</v>
      </c>
      <c r="D430" s="179"/>
    </row>
    <row r="431" spans="1:7" ht="12.6" customHeight="1" x14ac:dyDescent="0.25">
      <c r="A431" s="179" t="s">
        <v>444</v>
      </c>
      <c r="B431" s="179">
        <f t="shared" si="12"/>
        <v>1132077</v>
      </c>
      <c r="C431" s="179">
        <f t="shared" si="13"/>
        <v>1132077</v>
      </c>
      <c r="D431" s="179"/>
    </row>
    <row r="432" spans="1:7" ht="12.6" customHeight="1" x14ac:dyDescent="0.25">
      <c r="A432" s="179" t="s">
        <v>445</v>
      </c>
      <c r="B432" s="179">
        <f t="shared" si="12"/>
        <v>8144462</v>
      </c>
      <c r="C432" s="179">
        <f t="shared" si="13"/>
        <v>8144462</v>
      </c>
      <c r="D432" s="179"/>
    </row>
    <row r="433" spans="1:7" ht="12.6" customHeight="1" x14ac:dyDescent="0.25">
      <c r="A433" s="179" t="s">
        <v>6</v>
      </c>
      <c r="B433" s="179">
        <f t="shared" si="12"/>
        <v>9194928</v>
      </c>
      <c r="C433" s="179">
        <f t="shared" si="13"/>
        <v>9194930</v>
      </c>
      <c r="D433" s="179">
        <f>C217</f>
        <v>268530</v>
      </c>
    </row>
    <row r="434" spans="1:7" ht="12.6" customHeight="1" x14ac:dyDescent="0.25">
      <c r="A434" s="179" t="s">
        <v>474</v>
      </c>
      <c r="B434" s="179">
        <f t="shared" si="12"/>
        <v>1669000</v>
      </c>
      <c r="C434" s="179">
        <f t="shared" si="13"/>
        <v>1669002</v>
      </c>
      <c r="D434" s="179">
        <f>D177</f>
        <v>1669000</v>
      </c>
    </row>
    <row r="435" spans="1:7" ht="12.6" customHeight="1" x14ac:dyDescent="0.25">
      <c r="A435" s="179" t="s">
        <v>447</v>
      </c>
      <c r="B435" s="179">
        <f t="shared" si="12"/>
        <v>463982</v>
      </c>
      <c r="C435" s="179"/>
      <c r="D435" s="179">
        <f>D181</f>
        <v>463982</v>
      </c>
    </row>
    <row r="436" spans="1:7" ht="12.6" customHeight="1" x14ac:dyDescent="0.25">
      <c r="A436" s="179" t="s">
        <v>475</v>
      </c>
      <c r="B436" s="179">
        <f t="shared" si="12"/>
        <v>4471470</v>
      </c>
      <c r="C436" s="179"/>
      <c r="D436" s="179">
        <f>D186</f>
        <v>4471469.83</v>
      </c>
    </row>
    <row r="437" spans="1:7" ht="12.6" customHeight="1" x14ac:dyDescent="0.25">
      <c r="A437" s="194" t="s">
        <v>449</v>
      </c>
      <c r="B437" s="194">
        <f t="shared" si="12"/>
        <v>8018586</v>
      </c>
      <c r="C437" s="194"/>
      <c r="D437" s="194">
        <f>D190</f>
        <v>8018586</v>
      </c>
    </row>
    <row r="438" spans="1:7" ht="12.6" customHeight="1" x14ac:dyDescent="0.25">
      <c r="A438" s="194" t="s">
        <v>476</v>
      </c>
      <c r="B438" s="194">
        <f>C386+C387+C388</f>
        <v>12954038</v>
      </c>
      <c r="C438" s="194">
        <f>CD69</f>
        <v>12954038</v>
      </c>
      <c r="D438" s="194">
        <f>D181+D186+D190</f>
        <v>12954037.83</v>
      </c>
    </row>
    <row r="439" spans="1:7" ht="12.6" customHeight="1" x14ac:dyDescent="0.25">
      <c r="A439" s="179" t="s">
        <v>451</v>
      </c>
      <c r="B439" s="194">
        <f>C389</f>
        <v>12242177</v>
      </c>
      <c r="C439" s="194">
        <f>SUM(C69:CC69)</f>
        <v>5991280.0700000003</v>
      </c>
      <c r="D439" s="179"/>
    </row>
    <row r="440" spans="1:7" ht="12.6" customHeight="1" x14ac:dyDescent="0.25">
      <c r="A440" s="179" t="s">
        <v>477</v>
      </c>
      <c r="B440" s="194">
        <f>B438+B439</f>
        <v>25196215</v>
      </c>
      <c r="C440" s="194">
        <f>CE69</f>
        <v>18945318.07</v>
      </c>
      <c r="D440" s="179"/>
    </row>
    <row r="441" spans="1:7" ht="12.6" customHeight="1" x14ac:dyDescent="0.25">
      <c r="A441" s="179" t="s">
        <v>478</v>
      </c>
      <c r="B441" s="179">
        <f>D390</f>
        <v>107345174</v>
      </c>
      <c r="C441" s="179">
        <f>SUM(C427:C437)+C440</f>
        <v>104248191.41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3059517</v>
      </c>
      <c r="C444" s="179">
        <f>C363</f>
        <v>3059517</v>
      </c>
      <c r="D444" s="179"/>
    </row>
    <row r="445" spans="1:7" ht="12.6" customHeight="1" x14ac:dyDescent="0.25">
      <c r="A445" s="179" t="s">
        <v>343</v>
      </c>
      <c r="B445" s="179">
        <f>D229</f>
        <v>420062416.68000001</v>
      </c>
      <c r="C445" s="179">
        <f>C364</f>
        <v>420062417.21000004</v>
      </c>
      <c r="D445" s="179"/>
    </row>
    <row r="446" spans="1:7" ht="12.6" customHeight="1" x14ac:dyDescent="0.25">
      <c r="A446" s="179" t="s">
        <v>351</v>
      </c>
      <c r="B446" s="179">
        <f>D236</f>
        <v>1046493</v>
      </c>
      <c r="C446" s="179">
        <f>C365</f>
        <v>1046493</v>
      </c>
      <c r="D446" s="179"/>
    </row>
    <row r="447" spans="1:7" ht="12.6" customHeight="1" x14ac:dyDescent="0.25">
      <c r="A447" s="179" t="s">
        <v>356</v>
      </c>
      <c r="B447" s="179">
        <f>D240</f>
        <v>6301.65</v>
      </c>
      <c r="C447" s="179">
        <f>C366</f>
        <v>6301.65</v>
      </c>
      <c r="D447" s="179"/>
    </row>
    <row r="448" spans="1:7" ht="12.6" customHeight="1" x14ac:dyDescent="0.25">
      <c r="A448" s="179" t="s">
        <v>358</v>
      </c>
      <c r="B448" s="179">
        <f>D242</f>
        <v>424174728.32999998</v>
      </c>
      <c r="C448" s="179">
        <f>D367</f>
        <v>424174728.86000001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492849.39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553643.61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303883</v>
      </c>
      <c r="C458" s="194">
        <f>CE70</f>
        <v>303883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254716921</v>
      </c>
      <c r="C463" s="194">
        <f>CE73</f>
        <v>254716921</v>
      </c>
      <c r="D463" s="194">
        <f>E141+E147+E153</f>
        <v>254716921</v>
      </c>
    </row>
    <row r="464" spans="1:7" ht="12.6" customHeight="1" x14ac:dyDescent="0.25">
      <c r="A464" s="179" t="s">
        <v>246</v>
      </c>
      <c r="B464" s="194">
        <f>C360</f>
        <v>275861016</v>
      </c>
      <c r="C464" s="194">
        <f>CE74</f>
        <v>275861015</v>
      </c>
      <c r="D464" s="194">
        <f>E142+E148+E154</f>
        <v>275961016.32999998</v>
      </c>
    </row>
    <row r="465" spans="1:7" ht="12.6" customHeight="1" x14ac:dyDescent="0.25">
      <c r="A465" s="179" t="s">
        <v>247</v>
      </c>
      <c r="B465" s="194">
        <f>D361</f>
        <v>530577937</v>
      </c>
      <c r="C465" s="194">
        <f>CE75</f>
        <v>530577936</v>
      </c>
      <c r="D465" s="194">
        <f>D463+D464</f>
        <v>530677937.32999998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3290000</v>
      </c>
      <c r="C468" s="179">
        <f>E195</f>
        <v>3290000</v>
      </c>
      <c r="D468" s="179"/>
    </row>
    <row r="469" spans="1:7" ht="12.6" customHeight="1" x14ac:dyDescent="0.25">
      <c r="A469" s="179" t="s">
        <v>333</v>
      </c>
      <c r="B469" s="179">
        <f t="shared" si="14"/>
        <v>780000</v>
      </c>
      <c r="C469" s="179">
        <f>E196</f>
        <v>779999.66</v>
      </c>
      <c r="D469" s="179"/>
    </row>
    <row r="470" spans="1:7" ht="12.6" customHeight="1" x14ac:dyDescent="0.25">
      <c r="A470" s="179" t="s">
        <v>334</v>
      </c>
      <c r="B470" s="179">
        <f t="shared" si="14"/>
        <v>44740538.82</v>
      </c>
      <c r="C470" s="179">
        <f>E197</f>
        <v>38232869</v>
      </c>
      <c r="D470" s="179"/>
    </row>
    <row r="471" spans="1:7" ht="12.6" customHeight="1" x14ac:dyDescent="0.25">
      <c r="A471" s="179" t="s">
        <v>494</v>
      </c>
      <c r="B471" s="179">
        <f t="shared" si="14"/>
        <v>713074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713074</v>
      </c>
      <c r="D472" s="179"/>
    </row>
    <row r="473" spans="1:7" ht="12.6" customHeight="1" x14ac:dyDescent="0.25">
      <c r="A473" s="179" t="s">
        <v>495</v>
      </c>
      <c r="B473" s="179">
        <f t="shared" si="14"/>
        <v>15643581.699999999</v>
      </c>
      <c r="C473" s="179">
        <f>SUM(E200:E201)</f>
        <v>13559707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8591546</v>
      </c>
      <c r="D474" s="179"/>
    </row>
    <row r="475" spans="1:7" ht="12.6" customHeight="1" x14ac:dyDescent="0.25">
      <c r="A475" s="179" t="s">
        <v>340</v>
      </c>
      <c r="B475" s="179">
        <f t="shared" si="14"/>
        <v>20195037</v>
      </c>
      <c r="C475" s="179">
        <f>E203</f>
        <v>20195036</v>
      </c>
      <c r="D475" s="179"/>
    </row>
    <row r="476" spans="1:7" ht="12.6" customHeight="1" x14ac:dyDescent="0.25">
      <c r="A476" s="179" t="s">
        <v>203</v>
      </c>
      <c r="B476" s="179">
        <f>D275</f>
        <v>85362231.519999996</v>
      </c>
      <c r="C476" s="179">
        <f>E204</f>
        <v>85362231.659999996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7302669</v>
      </c>
      <c r="C478" s="179">
        <f>E217</f>
        <v>7302669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98487877.839999989</v>
      </c>
    </row>
    <row r="482" spans="1:12" ht="12.6" customHeight="1" x14ac:dyDescent="0.25">
      <c r="A482" s="180" t="s">
        <v>499</v>
      </c>
      <c r="C482" s="180">
        <f>D339</f>
        <v>98487879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Capital Medical Center   H-0     FYE 12/31/2017</v>
      </c>
      <c r="B493" s="261" t="s">
        <v>1267</v>
      </c>
      <c r="C493" s="261" t="str">
        <f>RIGHT(C82,4)</f>
        <v>2017</v>
      </c>
      <c r="D493" s="261" t="s">
        <v>1267</v>
      </c>
      <c r="E493" s="261" t="str">
        <f>RIGHT(C82,4)</f>
        <v>2017</v>
      </c>
      <c r="F493" s="261" t="s">
        <v>1267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5626615</v>
      </c>
      <c r="C496" s="240">
        <f>C71</f>
        <v>6168621</v>
      </c>
      <c r="D496" s="240">
        <v>6131</v>
      </c>
      <c r="E496" s="180">
        <f>C59</f>
        <v>5905</v>
      </c>
      <c r="F496" s="263">
        <f t="shared" ref="F496:G511" si="15">IF(B496=0,"",IF(D496=0,"",B496/D496))</f>
        <v>917.73201761539713</v>
      </c>
      <c r="G496" s="264">
        <f t="shared" si="15"/>
        <v>1044.6436917866215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3885588</v>
      </c>
      <c r="C498" s="240">
        <f>E71</f>
        <v>4686386</v>
      </c>
      <c r="D498" s="240">
        <v>6908</v>
      </c>
      <c r="E498" s="180">
        <f>E59</f>
        <v>7199</v>
      </c>
      <c r="F498" s="263">
        <f t="shared" si="15"/>
        <v>562.47654892877824</v>
      </c>
      <c r="G498" s="263">
        <f t="shared" si="15"/>
        <v>650.97735796638426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134451</v>
      </c>
      <c r="C503" s="240">
        <f>J71</f>
        <v>231325</v>
      </c>
      <c r="D503" s="240">
        <v>1136</v>
      </c>
      <c r="E503" s="180">
        <f>J59</f>
        <v>1030</v>
      </c>
      <c r="F503" s="263">
        <f t="shared" si="15"/>
        <v>118.35475352112677</v>
      </c>
      <c r="G503" s="263">
        <f t="shared" si="15"/>
        <v>224.58737864077671</v>
      </c>
      <c r="H503" s="265">
        <f t="shared" si="16"/>
        <v>0.89757801828117545</v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3176344</v>
      </c>
      <c r="C508" s="240">
        <f>O71</f>
        <v>4123409</v>
      </c>
      <c r="D508" s="240">
        <v>1327</v>
      </c>
      <c r="E508" s="180">
        <f>O59</f>
        <v>1291</v>
      </c>
      <c r="F508" s="263">
        <f t="shared" si="15"/>
        <v>2393.6277317256972</v>
      </c>
      <c r="G508" s="263">
        <f t="shared" si="15"/>
        <v>3193.9651432997675</v>
      </c>
      <c r="H508" s="265">
        <f t="shared" si="16"/>
        <v>0.33436168914915743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4708775</v>
      </c>
      <c r="C509" s="240">
        <f>P71</f>
        <v>5809304</v>
      </c>
      <c r="D509" s="240">
        <v>423362</v>
      </c>
      <c r="E509" s="180">
        <f>P59</f>
        <v>470107</v>
      </c>
      <c r="F509" s="263">
        <f t="shared" si="15"/>
        <v>11.122337385027471</v>
      </c>
      <c r="G509" s="263">
        <f t="shared" si="15"/>
        <v>12.357407994350222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787998</v>
      </c>
      <c r="C510" s="240">
        <f>Q71</f>
        <v>1002863</v>
      </c>
      <c r="D510" s="240">
        <v>454634</v>
      </c>
      <c r="E510" s="180">
        <f>Q59</f>
        <v>320922</v>
      </c>
      <c r="F510" s="263">
        <f t="shared" si="15"/>
        <v>1.7332579613491292</v>
      </c>
      <c r="G510" s="263">
        <f t="shared" si="15"/>
        <v>3.1249431325991988</v>
      </c>
      <c r="H510" s="265">
        <f t="shared" si="16"/>
        <v>0.80293020559202444</v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732223</v>
      </c>
      <c r="C511" s="240">
        <f>R71</f>
        <v>904672</v>
      </c>
      <c r="D511" s="240">
        <v>714529</v>
      </c>
      <c r="E511" s="180">
        <f>R59</f>
        <v>491281</v>
      </c>
      <c r="F511" s="263">
        <f t="shared" si="15"/>
        <v>1.0247631656657743</v>
      </c>
      <c r="G511" s="263">
        <f t="shared" si="15"/>
        <v>1.841455297477411</v>
      </c>
      <c r="H511" s="265">
        <f t="shared" si="16"/>
        <v>0.79695695471357353</v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655825</v>
      </c>
      <c r="C512" s="240">
        <f>S71</f>
        <v>1159834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166788</v>
      </c>
      <c r="C513" s="240">
        <f>T71</f>
        <v>193031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3166132</v>
      </c>
      <c r="C514" s="240">
        <f>U71</f>
        <v>3300570</v>
      </c>
      <c r="D514" s="240">
        <v>247711</v>
      </c>
      <c r="E514" s="180">
        <f>U59</f>
        <v>240842</v>
      </c>
      <c r="F514" s="263">
        <f t="shared" si="17"/>
        <v>12.781555926058996</v>
      </c>
      <c r="G514" s="263">
        <f t="shared" si="17"/>
        <v>13.704295762367028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284141</v>
      </c>
      <c r="C516" s="240">
        <f>W71</f>
        <v>338764</v>
      </c>
      <c r="D516" s="240">
        <v>842</v>
      </c>
      <c r="E516" s="180">
        <f>W59</f>
        <v>860</v>
      </c>
      <c r="F516" s="263">
        <f t="shared" si="17"/>
        <v>337.45961995249405</v>
      </c>
      <c r="G516" s="263">
        <f t="shared" si="17"/>
        <v>393.91162790697672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1549892</v>
      </c>
      <c r="C517" s="240">
        <f>X71</f>
        <v>1844387</v>
      </c>
      <c r="D517" s="240">
        <v>17129</v>
      </c>
      <c r="E517" s="180">
        <f>X59</f>
        <v>17518</v>
      </c>
      <c r="F517" s="263">
        <f t="shared" si="17"/>
        <v>90.483507501897364</v>
      </c>
      <c r="G517" s="263">
        <f t="shared" si="17"/>
        <v>105.28524945770064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4095856</v>
      </c>
      <c r="C518" s="240">
        <f>Y71</f>
        <v>4748648</v>
      </c>
      <c r="D518" s="240">
        <v>28052</v>
      </c>
      <c r="E518" s="180">
        <f>Y59</f>
        <v>29164</v>
      </c>
      <c r="F518" s="263">
        <f t="shared" si="17"/>
        <v>146.00941109368316</v>
      </c>
      <c r="G518" s="263">
        <f t="shared" si="17"/>
        <v>162.82567549033055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1336334</v>
      </c>
      <c r="C519" s="240">
        <f>Z71</f>
        <v>1649625</v>
      </c>
      <c r="D519" s="240">
        <v>12006</v>
      </c>
      <c r="E519" s="180">
        <f>Z59</f>
        <v>12993</v>
      </c>
      <c r="F519" s="263">
        <f t="shared" si="17"/>
        <v>111.30551390971181</v>
      </c>
      <c r="G519" s="263">
        <f t="shared" si="17"/>
        <v>126.9625952435927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229584</v>
      </c>
      <c r="C520" s="240">
        <f>AA71</f>
        <v>240387</v>
      </c>
      <c r="D520" s="240">
        <v>1437</v>
      </c>
      <c r="E520" s="180">
        <f>AA59</f>
        <v>2204</v>
      </c>
      <c r="F520" s="263">
        <f t="shared" si="17"/>
        <v>159.7661795407098</v>
      </c>
      <c r="G520" s="263">
        <f t="shared" si="17"/>
        <v>109.06851179673322</v>
      </c>
      <c r="H520" s="265">
        <f t="shared" si="16"/>
        <v>-0.31732415389615287</v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4076966</v>
      </c>
      <c r="C521" s="240">
        <f>AB71</f>
        <v>3954929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928905</v>
      </c>
      <c r="C522" s="240">
        <f>AC71</f>
        <v>1178991.1600000001</v>
      </c>
      <c r="D522" s="240">
        <v>13816</v>
      </c>
      <c r="E522" s="180">
        <f>AC59</f>
        <v>15183</v>
      </c>
      <c r="F522" s="263">
        <f t="shared" si="17"/>
        <v>67.234004053271576</v>
      </c>
      <c r="G522" s="263">
        <f t="shared" si="17"/>
        <v>77.65205558848713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828157</v>
      </c>
      <c r="C524" s="240">
        <f>AE71</f>
        <v>1018394</v>
      </c>
      <c r="D524" s="240">
        <v>26680</v>
      </c>
      <c r="E524" s="180">
        <f>AE59</f>
        <v>26876</v>
      </c>
      <c r="F524" s="263">
        <f t="shared" si="17"/>
        <v>31.040367316341829</v>
      </c>
      <c r="G524" s="263">
        <f t="shared" si="17"/>
        <v>37.89232028575681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3050573</v>
      </c>
      <c r="C526" s="240">
        <f>AG71</f>
        <v>3258609</v>
      </c>
      <c r="D526" s="240">
        <v>20885</v>
      </c>
      <c r="E526" s="180">
        <f>AG59</f>
        <v>19802</v>
      </c>
      <c r="F526" s="263">
        <f t="shared" si="17"/>
        <v>146.06526214986832</v>
      </c>
      <c r="G526" s="263">
        <f t="shared" si="17"/>
        <v>164.55958994041006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1806968</v>
      </c>
      <c r="C528" s="240">
        <f>AI71</f>
        <v>2334228</v>
      </c>
      <c r="D528" s="240">
        <v>7498</v>
      </c>
      <c r="E528" s="180">
        <f>AI59</f>
        <v>7642</v>
      </c>
      <c r="F528" s="263">
        <f t="shared" ref="F528:G540" si="18">IF(B528=0,"",IF(D528=0,"",B528/D528))</f>
        <v>240.99333155508137</v>
      </c>
      <c r="G528" s="263">
        <f t="shared" si="18"/>
        <v>305.44726511384454</v>
      </c>
      <c r="H528" s="265">
        <f t="shared" si="16"/>
        <v>0.26745110805703609</v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102595</v>
      </c>
      <c r="C530" s="240">
        <f>AK71</f>
        <v>119740</v>
      </c>
      <c r="D530" s="240">
        <v>4670</v>
      </c>
      <c r="E530" s="180">
        <f>AK59</f>
        <v>5292</v>
      </c>
      <c r="F530" s="263">
        <f t="shared" si="18"/>
        <v>21.968950749464668</v>
      </c>
      <c r="G530" s="263">
        <f t="shared" si="18"/>
        <v>22.626606198034768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70983</v>
      </c>
      <c r="C531" s="240">
        <f>AL71</f>
        <v>64554</v>
      </c>
      <c r="D531" s="240">
        <v>991</v>
      </c>
      <c r="E531" s="180">
        <f>AL59</f>
        <v>998</v>
      </c>
      <c r="F531" s="263">
        <f t="shared" si="18"/>
        <v>71.627648839556002</v>
      </c>
      <c r="G531" s="263">
        <f t="shared" si="18"/>
        <v>64.68336673346694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1055595</v>
      </c>
      <c r="C541" s="240">
        <f>AV71</f>
        <v>805396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1556177</v>
      </c>
      <c r="C544" s="240">
        <f>AY71</f>
        <v>1828446</v>
      </c>
      <c r="D544" s="240">
        <v>177719</v>
      </c>
      <c r="E544" s="180">
        <f>AY59</f>
        <v>178174</v>
      </c>
      <c r="F544" s="263">
        <f t="shared" ref="F544:G550" si="19">IF(B544=0,"",IF(D544=0,"",B544/D544))</f>
        <v>8.7563907066773954</v>
      </c>
      <c r="G544" s="263">
        <f t="shared" si="19"/>
        <v>10.262137012134206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808792</v>
      </c>
      <c r="C547" s="240">
        <f>BB71</f>
        <v>1097153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16612426</v>
      </c>
      <c r="C549" s="240">
        <f>BD71</f>
        <v>16159907.549999999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2626492</v>
      </c>
      <c r="C550" s="240">
        <f>BE71</f>
        <v>3744004</v>
      </c>
      <c r="D550" s="240">
        <v>154591</v>
      </c>
      <c r="E550" s="180">
        <f>BE59</f>
        <v>155374</v>
      </c>
      <c r="F550" s="263">
        <f t="shared" si="19"/>
        <v>16.989941199681741</v>
      </c>
      <c r="G550" s="263">
        <f t="shared" si="19"/>
        <v>24.096721459188796</v>
      </c>
      <c r="H550" s="265">
        <f t="shared" si="16"/>
        <v>0.41829339936975063</v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1254135</v>
      </c>
      <c r="C551" s="240">
        <f>BF71</f>
        <v>1331913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109666</v>
      </c>
      <c r="C552" s="240">
        <f>BG71</f>
        <v>117219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1894162</v>
      </c>
      <c r="C553" s="240">
        <f>BH71</f>
        <v>2145193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10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548408</v>
      </c>
      <c r="C555" s="240">
        <f>BJ71</f>
        <v>434953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2997755</v>
      </c>
      <c r="C556" s="240">
        <f>BK71</f>
        <v>3044945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177938</v>
      </c>
      <c r="C557" s="240">
        <f>BL71</f>
        <v>151213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106582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3863823</v>
      </c>
      <c r="C559" s="240">
        <f>BN71</f>
        <v>5167647.29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395890</v>
      </c>
      <c r="C561" s="240">
        <f>BP71</f>
        <v>371598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3182874</v>
      </c>
      <c r="C563" s="240">
        <f>BR71</f>
        <v>619889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6664</v>
      </c>
      <c r="C564" s="240">
        <f>BS71</f>
        <v>16925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1105976</v>
      </c>
      <c r="C567" s="240">
        <f>BV71</f>
        <v>1195704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97583</v>
      </c>
      <c r="C568" s="240">
        <f>BW71</f>
        <v>106330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444014</v>
      </c>
      <c r="C569" s="240">
        <f>BX71</f>
        <v>407348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695313</v>
      </c>
      <c r="C570" s="240">
        <f>BY71</f>
        <v>822172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147308</v>
      </c>
      <c r="C572" s="240">
        <f>CA71</f>
        <v>251742.41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1638560</v>
      </c>
      <c r="C574" s="240">
        <f>CC71</f>
        <v>3036592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10262668</v>
      </c>
      <c r="C575" s="240">
        <f>CD71</f>
        <v>12650155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128336</v>
      </c>
      <c r="E612" s="180">
        <f>SUM(C624:D647)+SUM(C668:D713)</f>
        <v>93976254.318977699</v>
      </c>
      <c r="F612" s="180">
        <f>CE64-(AX64+BD64+BE64+BG64+BJ64+BN64+BP64+BQ64+CB64+CC64+CD64)</f>
        <v>6941948.1600000001</v>
      </c>
      <c r="G612" s="180">
        <f>CE77-(AX77+AY77+BD77+BE77+BG77+BJ77+BN77+BP77+BQ77+CB77+CC77+CD77)</f>
        <v>59428</v>
      </c>
      <c r="H612" s="197">
        <f>CE60-(AX60+AY60+AZ60+BD60+BE60+BG60+BJ60+BN60+BO60+BP60+BQ60+BR60+CB60+CC60+CD60)</f>
        <v>375.52</v>
      </c>
      <c r="I612" s="180">
        <f>CE78-(AX78+AY78+AZ78+BD78+BE78+BF78+BG78+BJ78+BN78+BO78+BP78+BQ78+BR78+CB78+CC78+CD78)</f>
        <v>30620</v>
      </c>
      <c r="J612" s="180">
        <f>CE79-(AX79+AY79+AZ79+BA79+BD79+BE79+BF79+BG79+BJ79+BN79+BO79+BP79+BQ79+BR79+CB79+CC79+CD79)</f>
        <v>619624</v>
      </c>
      <c r="K612" s="180">
        <f>CE75-(AW75+AX75+AY75+AZ75+BA75+BB75+BC75+BD75+BE75+BF75+BG75+BH75+BI75+BJ75+BK75+BL75+BM75+BN75+BO75+BP75+BQ75+BR75+BS75+BT75+BU75+BV75+BW75+BX75+CB75+CC75+CD75)</f>
        <v>530577936</v>
      </c>
      <c r="L612" s="197">
        <f>CE80-(AW80+AX80+AY80+AZ80+BA80+BB80+BC80+BD80+BE80+BF80+BG80+BH80+BI80+BJ80+BK80+BL80+BM80+BN80+BO80+BP80+BQ80+BR80+BS80+BT80+BU80+BV80+BW80+BX80+BY80+BZ80+CA80+CB80+CC80+CD80)</f>
        <v>264.95000000000005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3744004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12650155</v>
      </c>
      <c r="D615" s="266">
        <f>SUM(C614:C615)</f>
        <v>16394159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434953</v>
      </c>
      <c r="D617" s="180">
        <f>(D615/D612)*BJ76</f>
        <v>208861.50390381497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117219</v>
      </c>
      <c r="D618" s="180">
        <f>(D615/D612)*BG76</f>
        <v>43049.741171612019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5167647.29</v>
      </c>
      <c r="D619" s="180">
        <f>(D615/D612)*BN76</f>
        <v>495008.15145399573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3036592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371598</v>
      </c>
      <c r="D621" s="180">
        <f>(D615/D612)*BP76</f>
        <v>93125.404492893649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9968054.0910223182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16159907.549999999</v>
      </c>
      <c r="D624" s="180">
        <f>(D615/D612)*BD76</f>
        <v>327663.46025277395</v>
      </c>
      <c r="E624" s="180">
        <f>(E623/E612)*SUM(C624:D624)</f>
        <v>1748835.3930550548</v>
      </c>
      <c r="F624" s="180">
        <f>SUM(C624:E624)</f>
        <v>18236406.403307829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1828446</v>
      </c>
      <c r="D625" s="180">
        <f>(D615/D612)*AY76</f>
        <v>699909.59014617873</v>
      </c>
      <c r="E625" s="180">
        <f>(E623/E612)*SUM(C625:D625)</f>
        <v>268182.48361305759</v>
      </c>
      <c r="F625" s="180">
        <f>(F624/F612)*AY64</f>
        <v>1624969.9905683706</v>
      </c>
      <c r="G625" s="180">
        <f>SUM(C625:F625)</f>
        <v>4421508.0643276069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619889</v>
      </c>
      <c r="D626" s="180">
        <f>(D615/D612)*BR76</f>
        <v>129404.71159300585</v>
      </c>
      <c r="E626" s="180">
        <f>(E623/E612)*SUM(C626:D626)</f>
        <v>79477.526544848239</v>
      </c>
      <c r="F626" s="180">
        <f>(F624/F612)*BR64</f>
        <v>30935.396931191288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859706.63506904535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1331913</v>
      </c>
      <c r="D629" s="180">
        <f>(D615/D612)*BF76</f>
        <v>292406.10546534095</v>
      </c>
      <c r="E629" s="180">
        <f>(E623/E612)*SUM(C629:D629)</f>
        <v>172291.40298997649</v>
      </c>
      <c r="F629" s="180">
        <f>(F624/F612)*BF64</f>
        <v>221402.45018349198</v>
      </c>
      <c r="G629" s="180">
        <f>(G625/G612)*BF77</f>
        <v>0</v>
      </c>
      <c r="H629" s="180">
        <f>(H628/H612)*BF60</f>
        <v>33722.514738408179</v>
      </c>
      <c r="I629" s="180">
        <f>SUM(C629:H629)</f>
        <v>2051735.4733772175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1097153</v>
      </c>
      <c r="D632" s="180">
        <f>(D615/D612)*BB76</f>
        <v>94530.588922827577</v>
      </c>
      <c r="E632" s="180">
        <f>(E623/E612)*SUM(C632:D632)</f>
        <v>126401.7869178633</v>
      </c>
      <c r="F632" s="180">
        <f>(F624/F612)*BB64</f>
        <v>9218.096792760718</v>
      </c>
      <c r="G632" s="180">
        <f>(G625/G612)*BB77</f>
        <v>0</v>
      </c>
      <c r="H632" s="180">
        <f>(H628/H612)*BB60</f>
        <v>15979.847445627231</v>
      </c>
      <c r="I632" s="180">
        <f>(I629/I612)*BB78</f>
        <v>13803.315072361424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10</v>
      </c>
      <c r="D634" s="180">
        <f>(D615/D612)*BI76</f>
        <v>0</v>
      </c>
      <c r="E634" s="180">
        <f>(E623/E612)*SUM(C634:D634)</f>
        <v>1.0606992333604166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3044945</v>
      </c>
      <c r="D635" s="180">
        <f>(D615/D612)*BK76</f>
        <v>0</v>
      </c>
      <c r="E635" s="180">
        <f>(E623/E612)*SUM(C635:D635)</f>
        <v>322977.08271246339</v>
      </c>
      <c r="F635" s="180">
        <f>(F624/F612)*BK64</f>
        <v>123118.99184563027</v>
      </c>
      <c r="G635" s="180">
        <f>(G625/G612)*BK77</f>
        <v>0</v>
      </c>
      <c r="H635" s="180">
        <f>(H628/H612)*BK60</f>
        <v>39697.787207331829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2145193</v>
      </c>
      <c r="D636" s="180">
        <f>(D615/D612)*BH76</f>
        <v>96063.517391846399</v>
      </c>
      <c r="E636" s="180">
        <f>(E623/E612)*SUM(C636:D636)</f>
        <v>237729.9069761569</v>
      </c>
      <c r="F636" s="180">
        <f>(F624/F612)*BH64</f>
        <v>128199.58437831742</v>
      </c>
      <c r="G636" s="180">
        <f>(G625/G612)*BH77</f>
        <v>0</v>
      </c>
      <c r="H636" s="180">
        <f>(H628/H612)*BH60</f>
        <v>9340.6558134898405</v>
      </c>
      <c r="I636" s="180">
        <f>(I629/I612)*BH78</f>
        <v>14071.340607747083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151213</v>
      </c>
      <c r="D637" s="180">
        <f>(D615/D612)*BL76</f>
        <v>0</v>
      </c>
      <c r="E637" s="180">
        <f>(E623/E612)*SUM(C637:D637)</f>
        <v>16039.151317412869</v>
      </c>
      <c r="F637" s="180">
        <f>(F624/F612)*BL64</f>
        <v>0</v>
      </c>
      <c r="G637" s="180">
        <f>(G625/G612)*BL77</f>
        <v>0</v>
      </c>
      <c r="H637" s="180">
        <f>(H628/H612)*BL60</f>
        <v>6753.660453381136</v>
      </c>
      <c r="I637" s="180">
        <f>(I629/I612)*BL78</f>
        <v>33704.211074746585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106582</v>
      </c>
      <c r="D638" s="180">
        <f>(D615/D612)*BM76</f>
        <v>230067.01439190874</v>
      </c>
      <c r="E638" s="180">
        <f>(E623/E612)*SUM(C638:D638)</f>
        <v>35708.33514770375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16925</v>
      </c>
      <c r="D639" s="180">
        <f>(D615/D612)*BS76</f>
        <v>36534.795178282009</v>
      </c>
      <c r="E639" s="180">
        <f>(E623/E612)*SUM(C639:D639)</f>
        <v>5670.4763761208624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5360.5107077131743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1195704</v>
      </c>
      <c r="D642" s="180">
        <f>(D615/D612)*BV76</f>
        <v>428581.25112984661</v>
      </c>
      <c r="E642" s="180">
        <f>(E623/E612)*SUM(C642:D642)</f>
        <v>172287.81206320602</v>
      </c>
      <c r="F642" s="180">
        <f>(F624/F612)*BV64</f>
        <v>49910.122817230236</v>
      </c>
      <c r="G642" s="180">
        <f>(G625/G612)*BV77</f>
        <v>0</v>
      </c>
      <c r="H642" s="180">
        <f>(H628/H612)*BV60</f>
        <v>25549.440901604568</v>
      </c>
      <c r="I642" s="180">
        <f>(I629/I612)*BV78</f>
        <v>62784.981664090556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106330</v>
      </c>
      <c r="D643" s="180">
        <f>(D615/D612)*BW76</f>
        <v>0</v>
      </c>
      <c r="E643" s="180">
        <f>(E623/E612)*SUM(C643:D643)</f>
        <v>11278.41494832131</v>
      </c>
      <c r="F643" s="180">
        <f>(F624/F612)*BW64</f>
        <v>4208.4329045319664</v>
      </c>
      <c r="G643" s="180">
        <f>(G625/G612)*BW77</f>
        <v>0</v>
      </c>
      <c r="H643" s="180">
        <f>(H628/H612)*BW60</f>
        <v>2312.2701891237107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407348</v>
      </c>
      <c r="D644" s="180">
        <f>(D615/D612)*BX76</f>
        <v>10602.755244046877</v>
      </c>
      <c r="E644" s="180">
        <f>(E623/E612)*SUM(C644:D644)</f>
        <v>44332.004566976764</v>
      </c>
      <c r="F644" s="180">
        <f>(F624/F612)*BX64</f>
        <v>16321.469185928283</v>
      </c>
      <c r="G644" s="180">
        <f>(G625/G612)*BX77</f>
        <v>0</v>
      </c>
      <c r="H644" s="180">
        <f>(H628/H612)*BX60</f>
        <v>5723.4410621874031</v>
      </c>
      <c r="I644" s="180">
        <f>(I629/I612)*BX78</f>
        <v>1541.1468284675375</v>
      </c>
      <c r="J644" s="180">
        <f>(J630/J612)*BX79</f>
        <v>0</v>
      </c>
      <c r="K644" s="180">
        <f>SUM(C631:J644)</f>
        <v>10707808.260936487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822172</v>
      </c>
      <c r="D645" s="180">
        <f>(D615/D612)*BY76</f>
        <v>148821.80553391099</v>
      </c>
      <c r="E645" s="180">
        <f>(E623/E612)*SUM(C645:D645)</f>
        <v>102993.23851275329</v>
      </c>
      <c r="F645" s="180">
        <f>(F624/F612)*BY64</f>
        <v>2146.2482415746672</v>
      </c>
      <c r="G645" s="180">
        <f>(G625/G612)*BY77</f>
        <v>0</v>
      </c>
      <c r="H645" s="180">
        <f>(H628/H612)*BY60</f>
        <v>14171.240069976009</v>
      </c>
      <c r="I645" s="180">
        <f>(I629/I612)*BY78</f>
        <v>21777.074750084772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251742.41</v>
      </c>
      <c r="D647" s="180">
        <f>(D615/D612)*CA76</f>
        <v>286018.90351109585</v>
      </c>
      <c r="E647" s="180">
        <f>(E623/E612)*SUM(C647:D647)</f>
        <v>57040.301297211001</v>
      </c>
      <c r="F647" s="180">
        <f>(F624/F612)*CA64</f>
        <v>2340.6452671273296</v>
      </c>
      <c r="G647" s="180">
        <f>(G625/G612)*CA77</f>
        <v>0</v>
      </c>
      <c r="H647" s="180">
        <f>(H628/H612)*CA60</f>
        <v>2289.3764248749612</v>
      </c>
      <c r="I647" s="180">
        <f>(I629/I612)*CA78</f>
        <v>41945.996287855589</v>
      </c>
      <c r="J647" s="180">
        <f>(J630/J612)*CA79</f>
        <v>0</v>
      </c>
      <c r="K647" s="180">
        <v>0</v>
      </c>
      <c r="L647" s="180">
        <f>SUM(C645:K647)</f>
        <v>1753459.2398964644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54807641.249999993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6168621</v>
      </c>
      <c r="D668" s="180">
        <f>(D615/D612)*C76</f>
        <v>1074582.8567821968</v>
      </c>
      <c r="E668" s="180">
        <f>(E623/E612)*SUM(C668:D668)</f>
        <v>768286.07779620891</v>
      </c>
      <c r="F668" s="180">
        <f>(F624/F612)*C64</f>
        <v>473044.1457877502</v>
      </c>
      <c r="G668" s="180">
        <f>(G625/G612)*C77</f>
        <v>654134.39627058501</v>
      </c>
      <c r="H668" s="180">
        <f>(H628/H612)*C60</f>
        <v>121749.03827485043</v>
      </c>
      <c r="I668" s="180">
        <f>(I629/I612)*C78</f>
        <v>157465.00203907449</v>
      </c>
      <c r="J668" s="180">
        <f>(J630/J612)*C79</f>
        <v>0</v>
      </c>
      <c r="K668" s="180">
        <f>(K644/K612)*C75</f>
        <v>582824.5292603554</v>
      </c>
      <c r="L668" s="180">
        <f>(L647/L612)*C80</f>
        <v>324616.62848432368</v>
      </c>
      <c r="M668" s="180">
        <f t="shared" ref="M668:M713" si="20">ROUND(SUM(D668:L668),0)</f>
        <v>4156703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4686386</v>
      </c>
      <c r="D670" s="180">
        <f>(D615/D612)*E76</f>
        <v>1526541.2670645805</v>
      </c>
      <c r="E670" s="180">
        <f>(E623/E612)*SUM(C670:D670)</f>
        <v>659004.71890994289</v>
      </c>
      <c r="F670" s="180">
        <f>(F624/F612)*E64</f>
        <v>398445.60072533181</v>
      </c>
      <c r="G670" s="180">
        <f>(G625/G612)*E77</f>
        <v>1207901.7201379603</v>
      </c>
      <c r="H670" s="180">
        <f>(H628/H612)*E60</f>
        <v>92971.576614172169</v>
      </c>
      <c r="I670" s="180">
        <f>(I629/I612)*E78</f>
        <v>223600.30289548577</v>
      </c>
      <c r="J670" s="180">
        <f>(J630/J612)*E79</f>
        <v>0</v>
      </c>
      <c r="K670" s="180">
        <f>(K644/K612)*E75</f>
        <v>335829.59982959722</v>
      </c>
      <c r="L670" s="180">
        <f>(L647/L612)*E80</f>
        <v>245596.80087774215</v>
      </c>
      <c r="M670" s="180">
        <f t="shared" si="20"/>
        <v>4689892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231325</v>
      </c>
      <c r="D675" s="180">
        <f>(D615/D612)*J76</f>
        <v>91081.499867535211</v>
      </c>
      <c r="E675" s="180">
        <f>(E623/E612)*SUM(C675:D675)</f>
        <v>34197.632723990988</v>
      </c>
      <c r="F675" s="180">
        <f>(F624/F612)*J64</f>
        <v>57720.154668150048</v>
      </c>
      <c r="G675" s="180">
        <f>(G625/G612)*J77</f>
        <v>4315.263305697672</v>
      </c>
      <c r="H675" s="180">
        <f>(H628/H612)*J60</f>
        <v>1808.6073756512194</v>
      </c>
      <c r="I675" s="180">
        <f>(I629/I612)*J78</f>
        <v>13401.276769282937</v>
      </c>
      <c r="J675" s="180">
        <f>(J630/J612)*J79</f>
        <v>0</v>
      </c>
      <c r="K675" s="180">
        <f>(K644/K612)*J75</f>
        <v>49178.411201024253</v>
      </c>
      <c r="L675" s="180">
        <f>(L647/L612)*J80</f>
        <v>4897.3762503241496</v>
      </c>
      <c r="M675" s="180">
        <f t="shared" si="20"/>
        <v>256600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4123409</v>
      </c>
      <c r="D680" s="180">
        <f>(D615/D612)*O76</f>
        <v>2881266.8015599675</v>
      </c>
      <c r="E680" s="180">
        <f>(E623/E612)*SUM(C680:D680)</f>
        <v>742985.42526529194</v>
      </c>
      <c r="F680" s="180">
        <f>(F624/F612)*O64</f>
        <v>361956.75363173068</v>
      </c>
      <c r="G680" s="180">
        <f>(G625/G612)*O77</f>
        <v>533679.02916843793</v>
      </c>
      <c r="H680" s="180">
        <f>(H628/H612)*O60</f>
        <v>51121.77556745788</v>
      </c>
      <c r="I680" s="180">
        <f>(I629/I612)*O78</f>
        <v>422073.21184856608</v>
      </c>
      <c r="J680" s="180">
        <f>(J630/J612)*O79</f>
        <v>0</v>
      </c>
      <c r="K680" s="180">
        <f>(K644/K612)*O75</f>
        <v>263478.1122235838</v>
      </c>
      <c r="L680" s="180">
        <f>(L647/L612)*O80</f>
        <v>128390.67467066013</v>
      </c>
      <c r="M680" s="180">
        <f t="shared" si="20"/>
        <v>5384952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5809304</v>
      </c>
      <c r="D681" s="180">
        <f>(D615/D612)*P76</f>
        <v>288573.78429279389</v>
      </c>
      <c r="E681" s="180">
        <f>(E623/E612)*SUM(C681:D681)</f>
        <v>646801.42909248825</v>
      </c>
      <c r="F681" s="180">
        <f>(F624/F612)*P64</f>
        <v>2885500.7249489664</v>
      </c>
      <c r="G681" s="180">
        <f>(G625/G612)*P77</f>
        <v>776226.58738523803</v>
      </c>
      <c r="H681" s="180">
        <f>(H628/H612)*P60</f>
        <v>79075.06171518116</v>
      </c>
      <c r="I681" s="180">
        <f>(I629/I612)*P78</f>
        <v>86974.286232646249</v>
      </c>
      <c r="J681" s="180">
        <f>(J630/J612)*P79</f>
        <v>0</v>
      </c>
      <c r="K681" s="180">
        <f>(K644/K612)*P75</f>
        <v>3500843.0141830947</v>
      </c>
      <c r="L681" s="180">
        <f>(L647/L612)*P80</f>
        <v>180342.57138017981</v>
      </c>
      <c r="M681" s="180">
        <f t="shared" si="20"/>
        <v>8444337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1002863</v>
      </c>
      <c r="D682" s="180">
        <f>(D615/D612)*Q76</f>
        <v>366880.88025183888</v>
      </c>
      <c r="E682" s="180">
        <f>(E623/E612)*SUM(C682:D682)</f>
        <v>145288.62836832477</v>
      </c>
      <c r="F682" s="180">
        <f>(F624/F612)*Q64</f>
        <v>123710.06388278364</v>
      </c>
      <c r="G682" s="180">
        <f>(G625/G612)*Q77</f>
        <v>0</v>
      </c>
      <c r="H682" s="180">
        <f>(H628/H612)*Q60</f>
        <v>14308.602655468509</v>
      </c>
      <c r="I682" s="180">
        <f>(I629/I612)*Q78</f>
        <v>25864.464164716064</v>
      </c>
      <c r="J682" s="180">
        <f>(J630/J612)*Q79</f>
        <v>0</v>
      </c>
      <c r="K682" s="180">
        <f>(K644/K612)*Q75</f>
        <v>398820.38667316193</v>
      </c>
      <c r="L682" s="180">
        <f>(L647/L612)*Q80</f>
        <v>38517.202401198039</v>
      </c>
      <c r="M682" s="180">
        <f t="shared" si="20"/>
        <v>1113390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904672</v>
      </c>
      <c r="D683" s="180">
        <f>(D615/D612)*R76</f>
        <v>43816.205406121429</v>
      </c>
      <c r="E683" s="180">
        <f>(E623/E612)*SUM(C683:D683)</f>
        <v>100606.07123256705</v>
      </c>
      <c r="F683" s="180">
        <f>(F624/F612)*R64</f>
        <v>274512.24296184577</v>
      </c>
      <c r="G683" s="180">
        <f>(G625/G612)*R77</f>
        <v>0</v>
      </c>
      <c r="H683" s="180">
        <f>(H628/H612)*R60</f>
        <v>4326.9214430136763</v>
      </c>
      <c r="I683" s="180">
        <f>(I629/I612)*R78</f>
        <v>7504.714990798444</v>
      </c>
      <c r="J683" s="180">
        <f>(J630/J612)*R79</f>
        <v>0</v>
      </c>
      <c r="K683" s="180">
        <f>(K644/K612)*R75</f>
        <v>307185.44541035267</v>
      </c>
      <c r="L683" s="180">
        <f>(L647/L612)*R80</f>
        <v>11581.633024415218</v>
      </c>
      <c r="M683" s="180">
        <f t="shared" si="20"/>
        <v>749533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1159834</v>
      </c>
      <c r="D684" s="180">
        <f>(D615/D612)*S76</f>
        <v>368797.04083811241</v>
      </c>
      <c r="E684" s="180">
        <f>(E623/E612)*SUM(C684:D684)</f>
        <v>162141.77731079215</v>
      </c>
      <c r="F684" s="180">
        <f>(F624/F612)*S64</f>
        <v>424549.96887285623</v>
      </c>
      <c r="G684" s="180">
        <f>(G625/G612)*S77</f>
        <v>0</v>
      </c>
      <c r="H684" s="180">
        <f>(H628/H612)*S60</f>
        <v>21130.944401595894</v>
      </c>
      <c r="I684" s="180">
        <f>(I629/I612)*S78</f>
        <v>47976.570834032907</v>
      </c>
      <c r="J684" s="180">
        <f>(J630/J612)*S79</f>
        <v>0</v>
      </c>
      <c r="K684" s="180">
        <f>(K644/K612)*S75</f>
        <v>0</v>
      </c>
      <c r="L684" s="180">
        <f>(L647/L612)*S80</f>
        <v>36730.321877431117</v>
      </c>
      <c r="M684" s="180">
        <f t="shared" si="20"/>
        <v>1061327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193031</v>
      </c>
      <c r="D685" s="180">
        <f>(D615/D612)*T76</f>
        <v>0</v>
      </c>
      <c r="E685" s="180">
        <f>(E623/E612)*SUM(C685:D685)</f>
        <v>20474.783371479458</v>
      </c>
      <c r="F685" s="180">
        <f>(F624/F612)*T64</f>
        <v>290042.98911140446</v>
      </c>
      <c r="G685" s="180">
        <f>(G625/G612)*T77</f>
        <v>0</v>
      </c>
      <c r="H685" s="180">
        <f>(H628/H612)*T60</f>
        <v>3594.3209870536894</v>
      </c>
      <c r="I685" s="180">
        <f>(I629/I612)*T78</f>
        <v>0</v>
      </c>
      <c r="J685" s="180">
        <f>(J630/J612)*T79</f>
        <v>0</v>
      </c>
      <c r="K685" s="180">
        <f>(K644/K612)*T75</f>
        <v>7710.911258734689</v>
      </c>
      <c r="L685" s="180">
        <f>(L647/L612)*T80</f>
        <v>10258.017821624908</v>
      </c>
      <c r="M685" s="180">
        <f t="shared" si="20"/>
        <v>332081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3300570</v>
      </c>
      <c r="D686" s="180">
        <f>(D615/D612)*U76</f>
        <v>350529.64324897144</v>
      </c>
      <c r="E686" s="180">
        <f>(E623/E612)*SUM(C686:D686)</f>
        <v>387271.85925166745</v>
      </c>
      <c r="F686" s="180">
        <f>(F624/F612)*U64</f>
        <v>2631681.2572611519</v>
      </c>
      <c r="G686" s="180">
        <f>(G625/G612)*U77</f>
        <v>24031.552547247378</v>
      </c>
      <c r="H686" s="180">
        <f>(H628/H612)*U60</f>
        <v>44528.371463817995</v>
      </c>
      <c r="I686" s="180">
        <f>(I629/I612)*U78</f>
        <v>51326.890026353642</v>
      </c>
      <c r="J686" s="180">
        <f>(J630/J612)*U79</f>
        <v>0</v>
      </c>
      <c r="K686" s="180">
        <f>(K644/K612)*U75</f>
        <v>544477.55889949005</v>
      </c>
      <c r="L686" s="180">
        <f>(L647/L612)*U80</f>
        <v>123162.39461963841</v>
      </c>
      <c r="M686" s="180">
        <f t="shared" si="20"/>
        <v>4157010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338764</v>
      </c>
      <c r="D688" s="180">
        <f>(D615/D612)*W76</f>
        <v>112670.24247288368</v>
      </c>
      <c r="E688" s="180">
        <f>(E623/E612)*SUM(C688:D688)</f>
        <v>47883.595490362815</v>
      </c>
      <c r="F688" s="180">
        <f>(F624/F612)*W64</f>
        <v>6711.9513552304461</v>
      </c>
      <c r="G688" s="180">
        <f>(G625/G612)*W77</f>
        <v>39358.177391621866</v>
      </c>
      <c r="H688" s="180">
        <f>(H628/H612)*W60</f>
        <v>3388.2771088149425</v>
      </c>
      <c r="I688" s="180">
        <f>(I629/I612)*W78</f>
        <v>16550.576810064427</v>
      </c>
      <c r="J688" s="180">
        <f>(J630/J612)*W79</f>
        <v>0</v>
      </c>
      <c r="K688" s="180">
        <f>(K644/K612)*W75</f>
        <v>113538.2440220251</v>
      </c>
      <c r="L688" s="180">
        <f>(L647/L612)*W80</f>
        <v>9860.933260787815</v>
      </c>
      <c r="M688" s="180">
        <f t="shared" si="20"/>
        <v>349962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1844387</v>
      </c>
      <c r="D689" s="180">
        <f>(D615/D612)*X76</f>
        <v>764420.32988405437</v>
      </c>
      <c r="E689" s="180">
        <f>(E623/E612)*SUM(C689:D689)</f>
        <v>276715.99347930518</v>
      </c>
      <c r="F689" s="180">
        <f>(F624/F612)*X64</f>
        <v>62417.207123395463</v>
      </c>
      <c r="G689" s="180">
        <f>(G625/G612)*X77</f>
        <v>0</v>
      </c>
      <c r="H689" s="180">
        <f>(H628/H612)*X60</f>
        <v>12912.083036294782</v>
      </c>
      <c r="I689" s="180">
        <f>(I629/I612)*X78</f>
        <v>111967.66740735892</v>
      </c>
      <c r="J689" s="180">
        <f>(J630/J612)*X79</f>
        <v>0</v>
      </c>
      <c r="K689" s="180">
        <f>(K644/K612)*X75</f>
        <v>1157137.7527359044</v>
      </c>
      <c r="L689" s="180">
        <f>(L647/L612)*X80</f>
        <v>13236.152027903107</v>
      </c>
      <c r="M689" s="180">
        <f t="shared" si="20"/>
        <v>2398807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4748648</v>
      </c>
      <c r="D690" s="180">
        <f>(D615/D612)*Y76</f>
        <v>1796208.9335728087</v>
      </c>
      <c r="E690" s="180">
        <f>(E623/E612)*SUM(C690:D690)</f>
        <v>694212.47318942845</v>
      </c>
      <c r="F690" s="180">
        <f>(F624/F612)*Y64</f>
        <v>515693.27700190526</v>
      </c>
      <c r="G690" s="180">
        <f>(G625/G612)*Y77</f>
        <v>408536.39330320543</v>
      </c>
      <c r="H690" s="180">
        <f>(H628/H612)*Y60</f>
        <v>65201.440580438888</v>
      </c>
      <c r="I690" s="180">
        <f>(I629/I612)*Y78</f>
        <v>263201.07574871683</v>
      </c>
      <c r="J690" s="180">
        <f>(J630/J612)*Y79</f>
        <v>0</v>
      </c>
      <c r="K690" s="180">
        <f>(K644/K612)*Y75</f>
        <v>1051039.6864232633</v>
      </c>
      <c r="L690" s="180">
        <f>(L647/L612)*Y80</f>
        <v>166510.79251102108</v>
      </c>
      <c r="M690" s="180">
        <f t="shared" si="20"/>
        <v>4960604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1649625</v>
      </c>
      <c r="D691" s="180">
        <f>(D615/D612)*Z76</f>
        <v>643063.49275339732</v>
      </c>
      <c r="E691" s="180">
        <f>(E623/E612)*SUM(C691:D691)</f>
        <v>243185.29265977774</v>
      </c>
      <c r="F691" s="180">
        <f>(F624/F612)*Z64</f>
        <v>42247.202228890819</v>
      </c>
      <c r="G691" s="180">
        <f>(G625/G612)*Z77</f>
        <v>0</v>
      </c>
      <c r="H691" s="180">
        <f>(H628/H612)*Z60</f>
        <v>11698.713531111052</v>
      </c>
      <c r="I691" s="180">
        <f>(I629/I612)*Z78</f>
        <v>94210.975688059043</v>
      </c>
      <c r="J691" s="180">
        <f>(J630/J612)*Z79</f>
        <v>0</v>
      </c>
      <c r="K691" s="180">
        <f>(K644/K612)*Z75</f>
        <v>606937.0298911162</v>
      </c>
      <c r="L691" s="180">
        <f>(L647/L612)*Z80</f>
        <v>32428.572468362614</v>
      </c>
      <c r="M691" s="180">
        <f t="shared" si="20"/>
        <v>1673771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240387</v>
      </c>
      <c r="D692" s="180">
        <f>(D615/D612)*AA76</f>
        <v>46498.830226904371</v>
      </c>
      <c r="E692" s="180">
        <f>(E623/E612)*SUM(C692:D692)</f>
        <v>30429.95801836441</v>
      </c>
      <c r="F692" s="180">
        <f>(F624/F612)*AA64</f>
        <v>4605.1079161326707</v>
      </c>
      <c r="G692" s="180">
        <f>(G625/G612)*AA77</f>
        <v>0</v>
      </c>
      <c r="H692" s="180">
        <f>(H628/H612)*AA60</f>
        <v>3113.5519378299473</v>
      </c>
      <c r="I692" s="180">
        <f>(I629/I612)*AA78</f>
        <v>6767.6447684878822</v>
      </c>
      <c r="J692" s="180">
        <f>(J630/J612)*AA79</f>
        <v>0</v>
      </c>
      <c r="K692" s="180">
        <f>(K644/K612)*AA75</f>
        <v>62135.821798116049</v>
      </c>
      <c r="L692" s="180">
        <f>(L647/L612)*AA80</f>
        <v>8934.4026188345979</v>
      </c>
      <c r="M692" s="180">
        <f t="shared" si="20"/>
        <v>162485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3954929</v>
      </c>
      <c r="D693" s="180">
        <f>(D615/D612)*AB76</f>
        <v>160702.00116880686</v>
      </c>
      <c r="E693" s="180">
        <f>(E623/E612)*SUM(C693:D693)</f>
        <v>436544.66477341176</v>
      </c>
      <c r="F693" s="180">
        <f>(F624/F612)*AB64</f>
        <v>6162585.3610186214</v>
      </c>
      <c r="G693" s="180">
        <f>(G625/G612)*AB77</f>
        <v>0</v>
      </c>
      <c r="H693" s="180">
        <f>(H628/H612)*AB60</f>
        <v>23374.53329797335</v>
      </c>
      <c r="I693" s="180">
        <f>(I629/I612)*AB78</f>
        <v>23586.247113937967</v>
      </c>
      <c r="J693" s="180">
        <f>(J630/J612)*AB79</f>
        <v>0</v>
      </c>
      <c r="K693" s="180">
        <f>(K644/K612)*AB75</f>
        <v>439278.77599788649</v>
      </c>
      <c r="L693" s="180">
        <f>(L647/L612)*AB80</f>
        <v>64129.156575190551</v>
      </c>
      <c r="M693" s="180">
        <f t="shared" si="20"/>
        <v>7310201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1178991.1600000001</v>
      </c>
      <c r="D694" s="180">
        <f>(D615/D612)*AC76</f>
        <v>540996.00552456046</v>
      </c>
      <c r="E694" s="180">
        <f>(E623/E612)*SUM(C694:D694)</f>
        <v>182438.90678616572</v>
      </c>
      <c r="F694" s="180">
        <f>(F624/F612)*AC64</f>
        <v>143699.22700378764</v>
      </c>
      <c r="G694" s="180">
        <f>(G625/G612)*AC77</f>
        <v>23882.750364292286</v>
      </c>
      <c r="H694" s="180">
        <f>(H628/H612)*AC60</f>
        <v>20306.768888640905</v>
      </c>
      <c r="I694" s="180">
        <f>(I629/I612)*AC78</f>
        <v>79201.545706462144</v>
      </c>
      <c r="J694" s="180">
        <f>(J630/J612)*AC79</f>
        <v>0</v>
      </c>
      <c r="K694" s="180">
        <f>(K644/K612)*AC75</f>
        <v>161664.6994824674</v>
      </c>
      <c r="L694" s="180">
        <f>(L647/L612)*AC80</f>
        <v>7147.5220950676776</v>
      </c>
      <c r="M694" s="180">
        <f t="shared" si="20"/>
        <v>1159337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1018394</v>
      </c>
      <c r="D696" s="180">
        <f>(D615/D612)*AE76</f>
        <v>538185.63666469266</v>
      </c>
      <c r="E696" s="180">
        <f>(E623/E612)*SUM(C696:D696)</f>
        <v>165106.28272746754</v>
      </c>
      <c r="F696" s="180">
        <f>(F624/F612)*AE64</f>
        <v>38495.865033090784</v>
      </c>
      <c r="G696" s="180">
        <f>(G625/G612)*AE77</f>
        <v>0</v>
      </c>
      <c r="H696" s="180">
        <f>(H628/H612)*AE60</f>
        <v>19253.655733198426</v>
      </c>
      <c r="I696" s="180">
        <f>(I629/I612)*AE78</f>
        <v>78866.513787230069</v>
      </c>
      <c r="J696" s="180">
        <f>(J630/J612)*AE79</f>
        <v>0</v>
      </c>
      <c r="K696" s="180">
        <f>(K644/K612)*AE75</f>
        <v>83121.435704847638</v>
      </c>
      <c r="L696" s="180">
        <f>(L647/L612)*AE80</f>
        <v>53672.596473147096</v>
      </c>
      <c r="M696" s="180">
        <f t="shared" si="20"/>
        <v>976702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3258609</v>
      </c>
      <c r="D698" s="180">
        <f>(D615/D612)*AG76</f>
        <v>542656.67803266423</v>
      </c>
      <c r="E698" s="180">
        <f>(E623/E612)*SUM(C698:D698)</f>
        <v>403199.9590488511</v>
      </c>
      <c r="F698" s="180">
        <f>(F624/F612)*AG64</f>
        <v>375467.34690764069</v>
      </c>
      <c r="G698" s="180">
        <f>(G625/G612)*AG77</f>
        <v>438371.23098570138</v>
      </c>
      <c r="H698" s="180">
        <f>(H628/H612)*AG60</f>
        <v>55425.803246222815</v>
      </c>
      <c r="I698" s="180">
        <f>(I629/I612)*AG78</f>
        <v>79536.577625694219</v>
      </c>
      <c r="J698" s="180">
        <f>(J630/J612)*AG79</f>
        <v>0</v>
      </c>
      <c r="K698" s="180">
        <f>(K644/K612)*AG75</f>
        <v>785795.13617451594</v>
      </c>
      <c r="L698" s="180">
        <f>(L647/L612)*AG80</f>
        <v>143876.97254330677</v>
      </c>
      <c r="M698" s="180">
        <f t="shared" si="20"/>
        <v>2824330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2334228</v>
      </c>
      <c r="D700" s="180">
        <f>(D615/D612)*AI76</f>
        <v>636037.57060372771</v>
      </c>
      <c r="E700" s="180">
        <f>(E623/E612)*SUM(C700:D700)</f>
        <v>315055.84136162145</v>
      </c>
      <c r="F700" s="180">
        <f>(F624/F612)*AI64</f>
        <v>513171.36964338424</v>
      </c>
      <c r="G700" s="180">
        <f>(G625/G612)*AI77</f>
        <v>311070.96346762008</v>
      </c>
      <c r="H700" s="180">
        <f>(H628/H612)*AI60</f>
        <v>43177.63937314177</v>
      </c>
      <c r="I700" s="180">
        <f>(I629/I612)*AI78</f>
        <v>66671.351927182608</v>
      </c>
      <c r="J700" s="180">
        <f>(J630/J612)*AI79</f>
        <v>0</v>
      </c>
      <c r="K700" s="180">
        <f>(K644/K612)*AI75</f>
        <v>135506.04655192487</v>
      </c>
      <c r="L700" s="180">
        <f>(L647/L612)*AI80</f>
        <v>122235.86397768518</v>
      </c>
      <c r="M700" s="180">
        <f t="shared" si="20"/>
        <v>2142927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119740</v>
      </c>
      <c r="D702" s="180">
        <f>(D615/D612)*AK76</f>
        <v>0</v>
      </c>
      <c r="E702" s="180">
        <f>(E623/E612)*SUM(C702:D702)</f>
        <v>12700.81262025763</v>
      </c>
      <c r="F702" s="180">
        <f>(F624/F612)*AK64</f>
        <v>29330.307976965923</v>
      </c>
      <c r="G702" s="180">
        <f>(G625/G612)*AK77</f>
        <v>0</v>
      </c>
      <c r="H702" s="180">
        <f>(H628/H612)*AK60</f>
        <v>2449.6327746162087</v>
      </c>
      <c r="I702" s="180">
        <f>(I629/I612)*AK78</f>
        <v>0</v>
      </c>
      <c r="J702" s="180">
        <f>(J630/J612)*AK79</f>
        <v>0</v>
      </c>
      <c r="K702" s="180">
        <f>(K644/K612)*AK75</f>
        <v>18516.560263182135</v>
      </c>
      <c r="L702" s="180">
        <f>(L647/L612)*AK80</f>
        <v>6684.256774091069</v>
      </c>
      <c r="M702" s="180">
        <f t="shared" si="20"/>
        <v>69682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64554</v>
      </c>
      <c r="D703" s="180">
        <f>(D615/D612)*AL76</f>
        <v>0</v>
      </c>
      <c r="E703" s="180">
        <f>(E623/E612)*SUM(C703:D703)</f>
        <v>6847.2378310348331</v>
      </c>
      <c r="F703" s="180">
        <f>(F624/F612)*AL64</f>
        <v>0</v>
      </c>
      <c r="G703" s="180">
        <f>(G625/G612)*AL77</f>
        <v>0</v>
      </c>
      <c r="H703" s="180">
        <f>(H628/H612)*AL60</f>
        <v>1190.47574093498</v>
      </c>
      <c r="I703" s="180">
        <f>(I629/I612)*AL78</f>
        <v>0</v>
      </c>
      <c r="J703" s="180">
        <f>(J630/J612)*AL79</f>
        <v>0</v>
      </c>
      <c r="K703" s="180">
        <f>(K644/K612)*AL75</f>
        <v>7809.1947015478117</v>
      </c>
      <c r="L703" s="180">
        <f>(L647/L612)*AL80</f>
        <v>0</v>
      </c>
      <c r="M703" s="180">
        <f t="shared" si="20"/>
        <v>15847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805396</v>
      </c>
      <c r="D713" s="180">
        <f>(D615/D612)*AV76</f>
        <v>0</v>
      </c>
      <c r="E713" s="180">
        <f>(E623/E612)*SUM(C713:D713)</f>
        <v>85428.291975154614</v>
      </c>
      <c r="F713" s="180">
        <f>(F624/F612)*AV64</f>
        <v>208046.84913065771</v>
      </c>
      <c r="G713" s="180">
        <f>(G625/G612)*AV77</f>
        <v>0</v>
      </c>
      <c r="H713" s="180">
        <f>(H628/H612)*AV60</f>
        <v>8058.6050155598632</v>
      </c>
      <c r="I713" s="180">
        <f>(I629/I612)*AV78</f>
        <v>0</v>
      </c>
      <c r="J713" s="180">
        <f>(J630/J612)*AV79</f>
        <v>0</v>
      </c>
      <c r="K713" s="180">
        <f>(K644/K612)*AV75</f>
        <v>94979.90825029611</v>
      </c>
      <c r="L713" s="180">
        <f>(L647/L612)*AV80</f>
        <v>20648.397163528847</v>
      </c>
      <c r="M713" s="180">
        <f t="shared" si="20"/>
        <v>417162</v>
      </c>
      <c r="N713" s="199" t="s">
        <v>741</v>
      </c>
    </row>
    <row r="715" spans="1:83" ht="12.6" customHeight="1" x14ac:dyDescent="0.25">
      <c r="C715" s="180">
        <f>SUM(C614:C647)+SUM(C668:C713)</f>
        <v>103944308.41</v>
      </c>
      <c r="D715" s="180">
        <f>SUM(D616:D647)+SUM(D668:D713)</f>
        <v>16394158.999999998</v>
      </c>
      <c r="E715" s="180">
        <f>SUM(E624:E647)+SUM(E668:E713)</f>
        <v>9968054.0910223201</v>
      </c>
      <c r="F715" s="180">
        <f>SUM(F625:F648)+SUM(F668:F713)</f>
        <v>18236406.403307829</v>
      </c>
      <c r="G715" s="180">
        <f>SUM(G626:G647)+SUM(G668:G713)</f>
        <v>4421508.0643276069</v>
      </c>
      <c r="H715" s="180">
        <f>SUM(H629:H647)+SUM(H668:H713)</f>
        <v>859706.63506904524</v>
      </c>
      <c r="I715" s="180">
        <f>SUM(I630:I647)+SUM(I668:I713)</f>
        <v>2051735.4733772175</v>
      </c>
      <c r="J715" s="180">
        <f>SUM(J631:J647)+SUM(J668:J713)</f>
        <v>0</v>
      </c>
      <c r="K715" s="180">
        <f>SUM(K668:K713)</f>
        <v>10707808.260936489</v>
      </c>
      <c r="L715" s="180">
        <f>SUM(L668:L713)</f>
        <v>1753459.2398964642</v>
      </c>
      <c r="M715" s="180">
        <f>SUM(M668:M713)</f>
        <v>54807642</v>
      </c>
      <c r="N715" s="198" t="s">
        <v>742</v>
      </c>
    </row>
    <row r="716" spans="1:83" ht="12.6" customHeight="1" x14ac:dyDescent="0.25">
      <c r="C716" s="180">
        <f>CE71</f>
        <v>103944308.41</v>
      </c>
      <c r="D716" s="180">
        <f>D615</f>
        <v>16394159</v>
      </c>
      <c r="E716" s="180">
        <f>E623</f>
        <v>9968054.0910223182</v>
      </c>
      <c r="F716" s="180">
        <f>F624</f>
        <v>18236406.403307829</v>
      </c>
      <c r="G716" s="180">
        <f>G625</f>
        <v>4421508.0643276069</v>
      </c>
      <c r="H716" s="180">
        <f>H628</f>
        <v>859706.63506904535</v>
      </c>
      <c r="I716" s="180">
        <f>I629</f>
        <v>2051735.4733772175</v>
      </c>
      <c r="J716" s="180">
        <f>J630</f>
        <v>0</v>
      </c>
      <c r="K716" s="180">
        <f>K644</f>
        <v>10707808.260936487</v>
      </c>
      <c r="L716" s="180">
        <f>L647</f>
        <v>1753459.2398964644</v>
      </c>
      <c r="M716" s="180">
        <f>C648</f>
        <v>54807641.249999993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197*2017*A</v>
      </c>
      <c r="B722" s="276">
        <f>ROUND(C165,0)</f>
        <v>2309998</v>
      </c>
      <c r="C722" s="276">
        <f>ROUND(C166,0)</f>
        <v>147587</v>
      </c>
      <c r="D722" s="276">
        <f>ROUND(C167,0)</f>
        <v>397083</v>
      </c>
      <c r="E722" s="276">
        <f>ROUND(C168,0)</f>
        <v>2381677</v>
      </c>
      <c r="F722" s="276">
        <f>ROUND(C169,0)</f>
        <v>9898</v>
      </c>
      <c r="G722" s="276">
        <f>ROUND(C170,0)</f>
        <v>0</v>
      </c>
      <c r="H722" s="276">
        <f>ROUND(C171+C172,0)</f>
        <v>124326</v>
      </c>
      <c r="I722" s="276">
        <f>ROUND(C175,0)</f>
        <v>623919</v>
      </c>
      <c r="J722" s="276">
        <f>ROUND(C176,0)</f>
        <v>1045081</v>
      </c>
      <c r="K722" s="276">
        <f>ROUND(C179,0)</f>
        <v>316892</v>
      </c>
      <c r="L722" s="276">
        <f>ROUND(C180,0)</f>
        <v>147090</v>
      </c>
      <c r="M722" s="276">
        <f>ROUND(C183,0)</f>
        <v>0</v>
      </c>
      <c r="N722" s="276">
        <f>ROUND(C184,0)</f>
        <v>2624066</v>
      </c>
      <c r="O722" s="276">
        <f>ROUND(C185,0)</f>
        <v>1847404</v>
      </c>
      <c r="P722" s="276">
        <f>ROUND(C188,0)</f>
        <v>0</v>
      </c>
      <c r="Q722" s="276">
        <f>ROUND(C189,0)</f>
        <v>8018586</v>
      </c>
      <c r="R722" s="276">
        <f>ROUND(B195,0)</f>
        <v>5690591</v>
      </c>
      <c r="S722" s="276">
        <f>ROUND(C195,0)</f>
        <v>1615988</v>
      </c>
      <c r="T722" s="276">
        <f>ROUND(D195,0)</f>
        <v>4016579</v>
      </c>
      <c r="U722" s="276">
        <f>ROUND(B196,0)</f>
        <v>305168</v>
      </c>
      <c r="V722" s="276">
        <f>ROUND(C196,0)</f>
        <v>670794</v>
      </c>
      <c r="W722" s="276">
        <f>ROUND(D196,0)</f>
        <v>195962</v>
      </c>
      <c r="X722" s="276">
        <f>ROUND(B197,0)</f>
        <v>23154746</v>
      </c>
      <c r="Y722" s="276">
        <f>ROUND(C197,0)</f>
        <v>31035644</v>
      </c>
      <c r="Z722" s="276">
        <f>ROUND(D197,0)</f>
        <v>15957521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5017562</v>
      </c>
      <c r="AE722" s="276">
        <f>ROUND(C199,0)</f>
        <v>0</v>
      </c>
      <c r="AF722" s="276">
        <f>ROUND(D199,0)</f>
        <v>4304488</v>
      </c>
      <c r="AG722" s="276">
        <f>ROUND(B200,0)</f>
        <v>21868969</v>
      </c>
      <c r="AH722" s="276">
        <f>ROUND(C200,0)</f>
        <v>206466</v>
      </c>
      <c r="AI722" s="276">
        <f>ROUND(D200,0)</f>
        <v>13805680</v>
      </c>
      <c r="AJ722" s="276">
        <f>ROUND(B201,0)</f>
        <v>5631267</v>
      </c>
      <c r="AK722" s="276">
        <f>ROUND(C201,0)</f>
        <v>0</v>
      </c>
      <c r="AL722" s="276">
        <f>ROUND(D201,0)</f>
        <v>341315</v>
      </c>
      <c r="AM722" s="276">
        <f>ROUND(B202,0)</f>
        <v>6848981</v>
      </c>
      <c r="AN722" s="276">
        <f>ROUND(C202,0)</f>
        <v>4137415</v>
      </c>
      <c r="AO722" s="276">
        <f>ROUND(D202,0)</f>
        <v>2394850</v>
      </c>
      <c r="AP722" s="276">
        <f>ROUND(B203,0)</f>
        <v>5337728</v>
      </c>
      <c r="AQ722" s="276">
        <f>ROUND(C203,0)</f>
        <v>14857308</v>
      </c>
      <c r="AR722" s="276">
        <f>ROUND(D203,0)</f>
        <v>0</v>
      </c>
      <c r="AS722" s="276"/>
      <c r="AT722" s="276"/>
      <c r="AU722" s="276"/>
      <c r="AV722" s="276">
        <f>ROUND(B209,0)</f>
        <v>324885</v>
      </c>
      <c r="AW722" s="276">
        <f>ROUND(C209,0)</f>
        <v>53002</v>
      </c>
      <c r="AX722" s="276">
        <f>ROUND(D209,0)</f>
        <v>215388</v>
      </c>
      <c r="AY722" s="276">
        <f>ROUND(B210,0)</f>
        <v>11125924</v>
      </c>
      <c r="AZ722" s="276">
        <f>ROUND(C210,0)</f>
        <v>0</v>
      </c>
      <c r="BA722" s="276">
        <f>ROUND(D210,0)</f>
        <v>8445122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2882027</v>
      </c>
      <c r="BF722" s="276">
        <f>ROUND(C212,0)</f>
        <v>0</v>
      </c>
      <c r="BG722" s="276">
        <f>ROUND(D212,0)</f>
        <v>2508278</v>
      </c>
      <c r="BH722" s="276">
        <f>ROUND(B213,0)</f>
        <v>17139587</v>
      </c>
      <c r="BI722" s="276">
        <f>ROUND(C213,0)</f>
        <v>67833</v>
      </c>
      <c r="BJ722" s="276">
        <f>ROUND(D213,0)</f>
        <v>14463645</v>
      </c>
      <c r="BK722" s="276">
        <f>ROUND(B214,0)</f>
        <v>4118406</v>
      </c>
      <c r="BL722" s="276">
        <f>ROUND(C214,0)</f>
        <v>28786</v>
      </c>
      <c r="BM722" s="276">
        <f>ROUND(D214,0)</f>
        <v>3400068</v>
      </c>
      <c r="BN722" s="276">
        <f>ROUND(B215,0)</f>
        <v>2242472</v>
      </c>
      <c r="BO722" s="276">
        <f>ROUND(C215,0)</f>
        <v>118909</v>
      </c>
      <c r="BP722" s="276">
        <f>ROUND(D215,0)</f>
        <v>1766661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176935216</v>
      </c>
      <c r="BU722" s="276">
        <f>ROUND(C224,0)</f>
        <v>3644021</v>
      </c>
      <c r="BV722" s="276">
        <f>ROUND(C225,0)</f>
        <v>6723226</v>
      </c>
      <c r="BW722" s="276">
        <f>ROUND(C226,0)</f>
        <v>10163913</v>
      </c>
      <c r="BX722" s="276">
        <f>ROUND(C227,0)</f>
        <v>0</v>
      </c>
      <c r="BY722" s="276">
        <f>ROUND(C228,0)</f>
        <v>222596041</v>
      </c>
      <c r="BZ722" s="276">
        <f>ROUND(C231,0)</f>
        <v>0</v>
      </c>
      <c r="CA722" s="276">
        <f>ROUND(C233,0)</f>
        <v>492849</v>
      </c>
      <c r="CB722" s="276">
        <f>ROUND(C234,0)</f>
        <v>553644</v>
      </c>
      <c r="CC722" s="276">
        <f>ROUND(C238+C239,0)</f>
        <v>6302</v>
      </c>
      <c r="CD722" s="276">
        <f>D221</f>
        <v>3059517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197*2017*A</v>
      </c>
      <c r="B726" s="276">
        <f>ROUND(C111,0)</f>
        <v>4245</v>
      </c>
      <c r="C726" s="276">
        <f>ROUND(C112,0)</f>
        <v>0</v>
      </c>
      <c r="D726" s="276">
        <f>ROUND(C113,0)</f>
        <v>0</v>
      </c>
      <c r="E726" s="276">
        <f>ROUND(C114,0)</f>
        <v>634</v>
      </c>
      <c r="F726" s="276">
        <f>ROUND(D111,0)</f>
        <v>13300</v>
      </c>
      <c r="G726" s="276">
        <f>ROUND(D112,0)</f>
        <v>0</v>
      </c>
      <c r="H726" s="276">
        <f>ROUND(D113,0)</f>
        <v>0</v>
      </c>
      <c r="I726" s="276">
        <f>ROUND(D114,0)</f>
        <v>994</v>
      </c>
      <c r="J726" s="276">
        <f>ROUND(C116,0)</f>
        <v>10</v>
      </c>
      <c r="K726" s="276">
        <f>ROUND(C117,0)</f>
        <v>20</v>
      </c>
      <c r="L726" s="276">
        <f>ROUND(C118,0)</f>
        <v>55</v>
      </c>
      <c r="M726" s="276">
        <f>ROUND(C119,0)</f>
        <v>0</v>
      </c>
      <c r="N726" s="276">
        <f>ROUND(C120,0)</f>
        <v>22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107</v>
      </c>
      <c r="W726" s="276">
        <f>ROUND(C129,0)</f>
        <v>22</v>
      </c>
      <c r="X726" s="276">
        <f>ROUND(B138,0)</f>
        <v>1697</v>
      </c>
      <c r="Y726" s="276">
        <f>ROUND(B139,0)</f>
        <v>5736</v>
      </c>
      <c r="Z726" s="276">
        <f>ROUND(B140,0)</f>
        <v>23091</v>
      </c>
      <c r="AA726" s="276">
        <f>ROUND(B141,0)</f>
        <v>115349074</v>
      </c>
      <c r="AB726" s="276">
        <f>ROUND(B142,0)</f>
        <v>95331674</v>
      </c>
      <c r="AC726" s="276">
        <f>ROUND(C138,0)</f>
        <v>138</v>
      </c>
      <c r="AD726" s="276">
        <f>ROUND(C139,0)</f>
        <v>331</v>
      </c>
      <c r="AE726" s="276">
        <f>ROUND(C140,0)</f>
        <v>912</v>
      </c>
      <c r="AF726" s="276">
        <f>ROUND(C141,0)</f>
        <v>4103621</v>
      </c>
      <c r="AG726" s="276">
        <f>ROUND(C142,0)</f>
        <v>3410085</v>
      </c>
      <c r="AH726" s="276">
        <f>ROUND(D138,0)</f>
        <v>3044</v>
      </c>
      <c r="AI726" s="276">
        <f>ROUND(D139,0)</f>
        <v>8227</v>
      </c>
      <c r="AJ726" s="276">
        <f>ROUND(D140,0)</f>
        <v>43524</v>
      </c>
      <c r="AK726" s="276">
        <f>ROUND(D141,0)</f>
        <v>135264226</v>
      </c>
      <c r="AL726" s="276">
        <f>ROUND(D142,0)</f>
        <v>177219257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197*2017*A</v>
      </c>
      <c r="B730" s="276">
        <f>ROUND(C250,0)</f>
        <v>-325930</v>
      </c>
      <c r="C730" s="276">
        <f>ROUND(C251,0)</f>
        <v>0</v>
      </c>
      <c r="D730" s="276">
        <f>ROUND(C252,0)</f>
        <v>19350355</v>
      </c>
      <c r="E730" s="276">
        <f>ROUND(C253,0)</f>
        <v>4320249</v>
      </c>
      <c r="F730" s="276">
        <f>ROUND(C254,0)</f>
        <v>-58000</v>
      </c>
      <c r="G730" s="276">
        <f>ROUND(C255,0)</f>
        <v>53160</v>
      </c>
      <c r="H730" s="276">
        <f>ROUND(C256,0)</f>
        <v>-70274</v>
      </c>
      <c r="I730" s="276">
        <f>ROUND(C257,0)</f>
        <v>3503631</v>
      </c>
      <c r="J730" s="276">
        <f>ROUND(C258,0)</f>
        <v>637281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3290000</v>
      </c>
      <c r="P730" s="276">
        <f>ROUND(C268,0)</f>
        <v>780000</v>
      </c>
      <c r="Q730" s="276">
        <f>ROUND(C269,0)</f>
        <v>44740539</v>
      </c>
      <c r="R730" s="276">
        <f>ROUND(C270,0)</f>
        <v>713074</v>
      </c>
      <c r="S730" s="276">
        <f>ROUND(C271,0)</f>
        <v>0</v>
      </c>
      <c r="T730" s="276">
        <f>ROUND(C272,0)</f>
        <v>15643582</v>
      </c>
      <c r="U730" s="276">
        <f>ROUND(C273,0)</f>
        <v>0</v>
      </c>
      <c r="V730" s="276">
        <f>ROUND(C274,0)</f>
        <v>20195037</v>
      </c>
      <c r="W730" s="276">
        <f>ROUND(C275,0)</f>
        <v>0</v>
      </c>
      <c r="X730" s="276">
        <f>ROUND(C276,0)</f>
        <v>7302669</v>
      </c>
      <c r="Y730" s="276">
        <f>ROUND(C279,0)</f>
        <v>0</v>
      </c>
      <c r="Z730" s="276">
        <f>ROUND(C280,0)</f>
        <v>0</v>
      </c>
      <c r="AA730" s="276">
        <f>ROUND(C281,0)</f>
        <v>448809</v>
      </c>
      <c r="AB730" s="276">
        <f>ROUND(C282,0)</f>
        <v>1209532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5480548</v>
      </c>
      <c r="AI730" s="276">
        <f>ROUND(C306,0)</f>
        <v>2390226</v>
      </c>
      <c r="AJ730" s="276">
        <f>ROUND(C307,0)</f>
        <v>258404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1251707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6222794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73786291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9097909</v>
      </c>
      <c r="BF730" s="276">
        <f>ROUND(C336,0)</f>
        <v>0</v>
      </c>
      <c r="BG730" s="276"/>
      <c r="BH730" s="276"/>
      <c r="BI730" s="276">
        <f>ROUND(CE60,2)</f>
        <v>423.85</v>
      </c>
      <c r="BJ730" s="276">
        <f>ROUND(C359,0)</f>
        <v>254716921</v>
      </c>
      <c r="BK730" s="276">
        <f>ROUND(C360,0)</f>
        <v>275861016</v>
      </c>
      <c r="BL730" s="276">
        <f>ROUND(C364,0)</f>
        <v>420062417</v>
      </c>
      <c r="BM730" s="276">
        <f>ROUND(C365,0)</f>
        <v>1046493</v>
      </c>
      <c r="BN730" s="276">
        <f>ROUND(C366,0)</f>
        <v>6302</v>
      </c>
      <c r="BO730" s="276">
        <f>ROUND(C370,0)</f>
        <v>303883</v>
      </c>
      <c r="BP730" s="276">
        <f>ROUND(C371,0)</f>
        <v>0</v>
      </c>
      <c r="BQ730" s="276">
        <f>ROUND(C378,0)</f>
        <v>32367618</v>
      </c>
      <c r="BR730" s="276">
        <f>ROUND(C379,0)</f>
        <v>5370569</v>
      </c>
      <c r="BS730" s="276">
        <f>ROUND(C380,0)</f>
        <v>1709580</v>
      </c>
      <c r="BT730" s="276">
        <f>ROUND(C381,0)</f>
        <v>22560725</v>
      </c>
      <c r="BU730" s="276">
        <f>ROUND(C382,0)</f>
        <v>1132077</v>
      </c>
      <c r="BV730" s="276">
        <f>ROUND(C383,0)</f>
        <v>8144462</v>
      </c>
      <c r="BW730" s="276">
        <f>ROUND(C384,0)</f>
        <v>9194928</v>
      </c>
      <c r="BX730" s="276">
        <f>ROUND(C385,0)</f>
        <v>1669000</v>
      </c>
      <c r="BY730" s="276">
        <f>ROUND(C386,0)</f>
        <v>463982</v>
      </c>
      <c r="BZ730" s="276">
        <f>ROUND(C387,0)</f>
        <v>4471470</v>
      </c>
      <c r="CA730" s="276">
        <f>ROUND(C388,0)</f>
        <v>8018586</v>
      </c>
      <c r="CB730" s="276">
        <f>C363</f>
        <v>3059517</v>
      </c>
      <c r="CC730" s="276">
        <f>ROUND(C389,0)</f>
        <v>12242177</v>
      </c>
      <c r="CD730" s="276">
        <f>ROUND(C392,0)</f>
        <v>0</v>
      </c>
      <c r="CE730" s="276">
        <f>ROUND(C394,0)</f>
        <v>-91110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197*2017*6010*A</v>
      </c>
      <c r="B734" s="276">
        <f>ROUND(C59,0)</f>
        <v>5905</v>
      </c>
      <c r="C734" s="276">
        <f>ROUND(C60,2)</f>
        <v>53.18</v>
      </c>
      <c r="D734" s="276">
        <f>ROUND(C61,0)</f>
        <v>4595061</v>
      </c>
      <c r="E734" s="276">
        <f>ROUND(C62,0)</f>
        <v>312881</v>
      </c>
      <c r="F734" s="276">
        <f>ROUND(C63,0)</f>
        <v>543725</v>
      </c>
      <c r="G734" s="276">
        <f>ROUND(C64,0)</f>
        <v>180071</v>
      </c>
      <c r="H734" s="276">
        <f>ROUND(C65,0)</f>
        <v>515</v>
      </c>
      <c r="I734" s="276">
        <f>ROUND(C66,0)</f>
        <v>777</v>
      </c>
      <c r="J734" s="276">
        <f>ROUND(C67,0)</f>
        <v>497816</v>
      </c>
      <c r="K734" s="276">
        <f>ROUND(C68,0)</f>
        <v>7984</v>
      </c>
      <c r="L734" s="276">
        <f>ROUND(C69,0)</f>
        <v>29791</v>
      </c>
      <c r="M734" s="276">
        <f>ROUND(C70,0)</f>
        <v>0</v>
      </c>
      <c r="N734" s="276">
        <f>ROUND(C75,0)</f>
        <v>28879284</v>
      </c>
      <c r="O734" s="276">
        <f>ROUND(C73,0)</f>
        <v>26731173</v>
      </c>
      <c r="P734" s="276">
        <f>IF(C76&gt;0,ROUND(C76,0),0)</f>
        <v>8412</v>
      </c>
      <c r="Q734" s="276">
        <f>IF(C77&gt;0,ROUND(C77,0),0)</f>
        <v>8792</v>
      </c>
      <c r="R734" s="276">
        <f>IF(C78&gt;0,ROUND(C78,0),0)</f>
        <v>2350</v>
      </c>
      <c r="S734" s="276">
        <f>IF(C79&gt;0,ROUND(C79,0),0)</f>
        <v>86180</v>
      </c>
      <c r="T734" s="276">
        <f>IF(C80&gt;0,ROUND(C80,2),0)</f>
        <v>49.05</v>
      </c>
      <c r="U734" s="276"/>
      <c r="V734" s="276"/>
      <c r="W734" s="276"/>
      <c r="X734" s="276"/>
      <c r="Y734" s="276">
        <f>IF(M668&lt;&gt;0,ROUND(M668,0),0)</f>
        <v>4156703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197*2017*6030*A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197*2017*6070*A</v>
      </c>
      <c r="B736" s="276">
        <f>ROUND(E59,0)</f>
        <v>7199</v>
      </c>
      <c r="C736" s="278">
        <f>ROUND(E60,2)</f>
        <v>40.61</v>
      </c>
      <c r="D736" s="276">
        <f>ROUND(E61,0)</f>
        <v>3519732</v>
      </c>
      <c r="E736" s="276">
        <f>ROUND(E62,0)</f>
        <v>238285</v>
      </c>
      <c r="F736" s="276">
        <f>ROUND(E63,0)</f>
        <v>0</v>
      </c>
      <c r="G736" s="276">
        <f>ROUND(E64,0)</f>
        <v>151674</v>
      </c>
      <c r="H736" s="276">
        <f>ROUND(E65,0)</f>
        <v>0</v>
      </c>
      <c r="I736" s="276">
        <f>ROUND(E66,0)</f>
        <v>522</v>
      </c>
      <c r="J736" s="276">
        <f>ROUND(E67,0)</f>
        <v>707193</v>
      </c>
      <c r="K736" s="276">
        <f>ROUND(E68,0)</f>
        <v>28428</v>
      </c>
      <c r="L736" s="276">
        <f>ROUND(E69,0)</f>
        <v>40552</v>
      </c>
      <c r="M736" s="276">
        <f>ROUND(E70,0)</f>
        <v>0</v>
      </c>
      <c r="N736" s="276">
        <f>ROUND(E75,0)</f>
        <v>16640546</v>
      </c>
      <c r="O736" s="276">
        <f>ROUND(E73,0)</f>
        <v>15134752</v>
      </c>
      <c r="P736" s="276">
        <f>IF(E76&gt;0,ROUND(E76,0),0)</f>
        <v>11950</v>
      </c>
      <c r="Q736" s="276">
        <f>IF(E77&gt;0,ROUND(E77,0),0)</f>
        <v>16235</v>
      </c>
      <c r="R736" s="276">
        <f>IF(E78&gt;0,ROUND(E78,0),0)</f>
        <v>3337</v>
      </c>
      <c r="S736" s="276">
        <f>IF(E79&gt;0,ROUND(E79,0),0)</f>
        <v>159133</v>
      </c>
      <c r="T736" s="278">
        <f>IF(E80&gt;0,ROUND(E80,2),0)</f>
        <v>37.11</v>
      </c>
      <c r="U736" s="276"/>
      <c r="V736" s="277"/>
      <c r="W736" s="276"/>
      <c r="X736" s="276"/>
      <c r="Y736" s="276">
        <f t="shared" si="21"/>
        <v>4689892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197*2017*6100*A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197*2017*6120*A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197*2017*6140*A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197*2017*6150*A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197*2017*6170*A</v>
      </c>
      <c r="B741" s="276">
        <f>ROUND(J59,0)</f>
        <v>1030</v>
      </c>
      <c r="C741" s="278">
        <f>ROUND(J60,2)</f>
        <v>0.79</v>
      </c>
      <c r="D741" s="276">
        <f>ROUND(J61,0)</f>
        <v>85600</v>
      </c>
      <c r="E741" s="276">
        <f>ROUND(J62,0)</f>
        <v>6494</v>
      </c>
      <c r="F741" s="276">
        <f>ROUND(J63,0)</f>
        <v>19300</v>
      </c>
      <c r="G741" s="276">
        <f>ROUND(J64,0)</f>
        <v>21972</v>
      </c>
      <c r="H741" s="276">
        <f>ROUND(J65,0)</f>
        <v>0</v>
      </c>
      <c r="I741" s="276">
        <f>ROUND(J66,0)</f>
        <v>54716</v>
      </c>
      <c r="J741" s="276">
        <f>ROUND(J67,0)</f>
        <v>42195</v>
      </c>
      <c r="K741" s="276">
        <f>ROUND(J68,0)</f>
        <v>0</v>
      </c>
      <c r="L741" s="276">
        <f>ROUND(J69,0)</f>
        <v>1048</v>
      </c>
      <c r="M741" s="276">
        <f>ROUND(J70,0)</f>
        <v>0</v>
      </c>
      <c r="N741" s="276">
        <f>ROUND(J75,0)</f>
        <v>2436818</v>
      </c>
      <c r="O741" s="276">
        <f>ROUND(J73,0)</f>
        <v>2435637</v>
      </c>
      <c r="P741" s="276">
        <f>IF(J76&gt;0,ROUND(J76,0),0)</f>
        <v>713</v>
      </c>
      <c r="Q741" s="276">
        <f>IF(J77&gt;0,ROUND(J77,0),0)</f>
        <v>58</v>
      </c>
      <c r="R741" s="276">
        <f>IF(J78&gt;0,ROUND(J78,0),0)</f>
        <v>200</v>
      </c>
      <c r="S741" s="276">
        <f>IF(J79&gt;0,ROUND(J79,0),0)</f>
        <v>569</v>
      </c>
      <c r="T741" s="278">
        <f>IF(J80&gt;0,ROUND(J80,2),0)</f>
        <v>0.74</v>
      </c>
      <c r="U741" s="276"/>
      <c r="V741" s="277"/>
      <c r="W741" s="276"/>
      <c r="X741" s="276"/>
      <c r="Y741" s="276">
        <f t="shared" si="21"/>
        <v>256600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197*2017*6200*A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197*2017*6210*A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197*2017*6330*A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197*2017*6400*A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197*2017*7010*A</v>
      </c>
      <c r="B746" s="276">
        <f>ROUND(O59,0)</f>
        <v>1291</v>
      </c>
      <c r="C746" s="278">
        <f>ROUND(O60,2)</f>
        <v>22.33</v>
      </c>
      <c r="D746" s="276">
        <f>ROUND(O61,0)</f>
        <v>2341845</v>
      </c>
      <c r="E746" s="276">
        <f>ROUND(O62,0)</f>
        <v>157872</v>
      </c>
      <c r="F746" s="276">
        <f>ROUND(O63,0)</f>
        <v>98820</v>
      </c>
      <c r="G746" s="276">
        <f>ROUND(O64,0)</f>
        <v>137784</v>
      </c>
      <c r="H746" s="276">
        <f>ROUND(O65,0)</f>
        <v>91</v>
      </c>
      <c r="I746" s="276">
        <f>ROUND(O66,0)</f>
        <v>592</v>
      </c>
      <c r="J746" s="276">
        <f>ROUND(O67,0)</f>
        <v>1334790</v>
      </c>
      <c r="K746" s="276">
        <f>ROUND(O68,0)</f>
        <v>3367</v>
      </c>
      <c r="L746" s="276">
        <f>ROUND(O69,0)</f>
        <v>48248</v>
      </c>
      <c r="M746" s="276">
        <f>ROUND(O70,0)</f>
        <v>0</v>
      </c>
      <c r="N746" s="276">
        <f>ROUND(O75,0)</f>
        <v>13055489</v>
      </c>
      <c r="O746" s="276">
        <f>ROUND(O73,0)</f>
        <v>12178383</v>
      </c>
      <c r="P746" s="276">
        <f>IF(O76&gt;0,ROUND(O76,0),0)</f>
        <v>22555</v>
      </c>
      <c r="Q746" s="276">
        <f>IF(O77&gt;0,ROUND(O77,0),0)</f>
        <v>7173</v>
      </c>
      <c r="R746" s="276">
        <f>IF(O78&gt;0,ROUND(O78,0),0)</f>
        <v>6299</v>
      </c>
      <c r="S746" s="276">
        <f>IF(O79&gt;0,ROUND(O79,0),0)</f>
        <v>70305</v>
      </c>
      <c r="T746" s="278">
        <f>IF(O80&gt;0,ROUND(O80,2),0)</f>
        <v>19.399999999999999</v>
      </c>
      <c r="U746" s="276"/>
      <c r="V746" s="277"/>
      <c r="W746" s="276"/>
      <c r="X746" s="276"/>
      <c r="Y746" s="276">
        <f t="shared" si="21"/>
        <v>5384952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197*2017*7020*A</v>
      </c>
      <c r="B747" s="276">
        <f>ROUND(P59,0)</f>
        <v>470107</v>
      </c>
      <c r="C747" s="278">
        <f>ROUND(P60,2)</f>
        <v>34.54</v>
      </c>
      <c r="D747" s="276">
        <f>ROUND(P61,0)</f>
        <v>2836520</v>
      </c>
      <c r="E747" s="276">
        <f>ROUND(P62,0)</f>
        <v>150442</v>
      </c>
      <c r="F747" s="276">
        <f>ROUND(P63,0)</f>
        <v>32688</v>
      </c>
      <c r="G747" s="276">
        <f>ROUND(P64,0)</f>
        <v>1098407</v>
      </c>
      <c r="H747" s="276">
        <f>ROUND(P65,0)</f>
        <v>2855</v>
      </c>
      <c r="I747" s="276">
        <f>ROUND(P66,0)</f>
        <v>733856</v>
      </c>
      <c r="J747" s="276">
        <f>ROUND(P67,0)</f>
        <v>133686</v>
      </c>
      <c r="K747" s="276">
        <f>ROUND(P68,0)</f>
        <v>336588</v>
      </c>
      <c r="L747" s="276">
        <f>ROUND(P69,0)</f>
        <v>484262</v>
      </c>
      <c r="M747" s="276">
        <f>ROUND(P70,0)</f>
        <v>0</v>
      </c>
      <c r="N747" s="276">
        <f>ROUND(P75,0)</f>
        <v>173468745</v>
      </c>
      <c r="O747" s="276">
        <f>ROUND(P73,0)</f>
        <v>115072107</v>
      </c>
      <c r="P747" s="276">
        <f>IF(P76&gt;0,ROUND(P76,0),0)</f>
        <v>2259</v>
      </c>
      <c r="Q747" s="276">
        <f>IF(P77&gt;0,ROUND(P77,0),0)</f>
        <v>10433</v>
      </c>
      <c r="R747" s="276">
        <f>IF(P78&gt;0,ROUND(P78,0),0)</f>
        <v>1298</v>
      </c>
      <c r="S747" s="276">
        <f>IF(P79&gt;0,ROUND(P79,0),0)</f>
        <v>102264</v>
      </c>
      <c r="T747" s="278">
        <f>IF(P80&gt;0,ROUND(P80,2),0)</f>
        <v>27.25</v>
      </c>
      <c r="U747" s="276"/>
      <c r="V747" s="277"/>
      <c r="W747" s="276"/>
      <c r="X747" s="276"/>
      <c r="Y747" s="276">
        <f t="shared" si="21"/>
        <v>8444337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197*2017*7030*A</v>
      </c>
      <c r="B748" s="276">
        <f>ROUND(Q59,0)</f>
        <v>320922</v>
      </c>
      <c r="C748" s="278">
        <f>ROUND(Q60,2)</f>
        <v>6.25</v>
      </c>
      <c r="D748" s="276">
        <f>ROUND(Q61,0)</f>
        <v>727020</v>
      </c>
      <c r="E748" s="276">
        <f>ROUND(Q62,0)</f>
        <v>52878</v>
      </c>
      <c r="F748" s="276">
        <f>ROUND(Q63,0)</f>
        <v>0</v>
      </c>
      <c r="G748" s="276">
        <f>ROUND(Q64,0)</f>
        <v>47092</v>
      </c>
      <c r="H748" s="276">
        <f>ROUND(Q65,0)</f>
        <v>0</v>
      </c>
      <c r="I748" s="276">
        <f>ROUND(Q66,0)</f>
        <v>113</v>
      </c>
      <c r="J748" s="276">
        <f>ROUND(Q67,0)</f>
        <v>169963</v>
      </c>
      <c r="K748" s="276">
        <f>ROUND(Q68,0)</f>
        <v>0</v>
      </c>
      <c r="L748" s="276">
        <f>ROUND(Q69,0)</f>
        <v>5797</v>
      </c>
      <c r="M748" s="276">
        <f>ROUND(Q70,0)</f>
        <v>0</v>
      </c>
      <c r="N748" s="276">
        <f>ROUND(Q75,0)</f>
        <v>19761775</v>
      </c>
      <c r="O748" s="276">
        <f>ROUND(Q73,0)</f>
        <v>9100013</v>
      </c>
      <c r="P748" s="276">
        <f>IF(Q76&gt;0,ROUND(Q76,0),0)</f>
        <v>2872</v>
      </c>
      <c r="Q748" s="276">
        <f>IF(Q77&gt;0,ROUND(Q77,0),0)</f>
        <v>0</v>
      </c>
      <c r="R748" s="276">
        <f>IF(Q78&gt;0,ROUND(Q78,0),0)</f>
        <v>386</v>
      </c>
      <c r="S748" s="276">
        <f>IF(Q79&gt;0,ROUND(Q79,0),0)</f>
        <v>0</v>
      </c>
      <c r="T748" s="278">
        <f>IF(Q80&gt;0,ROUND(Q80,2),0)</f>
        <v>5.82</v>
      </c>
      <c r="U748" s="276"/>
      <c r="V748" s="277"/>
      <c r="W748" s="276"/>
      <c r="X748" s="276"/>
      <c r="Y748" s="276">
        <f t="shared" si="21"/>
        <v>1113390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197*2017*7040*A</v>
      </c>
      <c r="B749" s="276">
        <f>ROUND(R59,0)</f>
        <v>491281</v>
      </c>
      <c r="C749" s="278">
        <f>ROUND(R60,2)</f>
        <v>1.89</v>
      </c>
      <c r="D749" s="276">
        <f>ROUND(R61,0)</f>
        <v>154163</v>
      </c>
      <c r="E749" s="276">
        <f>ROUND(R62,0)</f>
        <v>11330</v>
      </c>
      <c r="F749" s="276">
        <f>ROUND(R63,0)</f>
        <v>600000</v>
      </c>
      <c r="G749" s="276">
        <f>ROUND(R64,0)</f>
        <v>104497</v>
      </c>
      <c r="H749" s="276">
        <f>ROUND(R65,0)</f>
        <v>0</v>
      </c>
      <c r="I749" s="276">
        <f>ROUND(R66,0)</f>
        <v>5000</v>
      </c>
      <c r="J749" s="276">
        <f>ROUND(R67,0)</f>
        <v>20299</v>
      </c>
      <c r="K749" s="276">
        <f>ROUND(R68,0)</f>
        <v>4095</v>
      </c>
      <c r="L749" s="276">
        <f>ROUND(R69,0)</f>
        <v>5288</v>
      </c>
      <c r="M749" s="276">
        <f>ROUND(R70,0)</f>
        <v>0</v>
      </c>
      <c r="N749" s="276">
        <f>ROUND(R75,0)</f>
        <v>15221212</v>
      </c>
      <c r="O749" s="276">
        <f>ROUND(R73,0)</f>
        <v>7863704</v>
      </c>
      <c r="P749" s="276">
        <f>IF(R76&gt;0,ROUND(R76,0),0)</f>
        <v>343</v>
      </c>
      <c r="Q749" s="276">
        <f>IF(R77&gt;0,ROUND(R77,0),0)</f>
        <v>0</v>
      </c>
      <c r="R749" s="276">
        <f>IF(R78&gt;0,ROUND(R78,0),0)</f>
        <v>112</v>
      </c>
      <c r="S749" s="276">
        <f>IF(R79&gt;0,ROUND(R79,0),0)</f>
        <v>0</v>
      </c>
      <c r="T749" s="278">
        <f>IF(R80&gt;0,ROUND(R80,2),0)</f>
        <v>1.75</v>
      </c>
      <c r="U749" s="276"/>
      <c r="V749" s="277"/>
      <c r="W749" s="276"/>
      <c r="X749" s="276"/>
      <c r="Y749" s="276">
        <f t="shared" si="21"/>
        <v>749533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197*2017*7050*A</v>
      </c>
      <c r="B750" s="276"/>
      <c r="C750" s="278">
        <f>ROUND(S60,2)</f>
        <v>9.23</v>
      </c>
      <c r="D750" s="276">
        <f>ROUND(S61,0)</f>
        <v>699378</v>
      </c>
      <c r="E750" s="276">
        <f>ROUND(S62,0)</f>
        <v>23918</v>
      </c>
      <c r="F750" s="276">
        <f>ROUND(S63,0)</f>
        <v>0</v>
      </c>
      <c r="G750" s="276">
        <f>ROUND(S64,0)</f>
        <v>161611</v>
      </c>
      <c r="H750" s="276">
        <f>ROUND(S65,0)</f>
        <v>0</v>
      </c>
      <c r="I750" s="276">
        <f>ROUND(S66,0)</f>
        <v>5988</v>
      </c>
      <c r="J750" s="276">
        <f>ROUND(S67,0)</f>
        <v>170851</v>
      </c>
      <c r="K750" s="276">
        <f>ROUND(S68,0)</f>
        <v>0</v>
      </c>
      <c r="L750" s="276">
        <f>ROUND(S69,0)</f>
        <v>98088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2887</v>
      </c>
      <c r="Q750" s="276">
        <f>IF(S77&gt;0,ROUND(S77,0),0)</f>
        <v>0</v>
      </c>
      <c r="R750" s="276">
        <f>IF(S78&gt;0,ROUND(S78,0),0)</f>
        <v>716</v>
      </c>
      <c r="S750" s="276">
        <f>IF(S79&gt;0,ROUND(S79,0),0)</f>
        <v>0</v>
      </c>
      <c r="T750" s="278">
        <f>IF(S80&gt;0,ROUND(S80,2),0)</f>
        <v>5.55</v>
      </c>
      <c r="U750" s="276"/>
      <c r="V750" s="277"/>
      <c r="W750" s="276"/>
      <c r="X750" s="276"/>
      <c r="Y750" s="276">
        <f t="shared" si="21"/>
        <v>1061327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197*2017*7060*A</v>
      </c>
      <c r="B751" s="276"/>
      <c r="C751" s="278">
        <f>ROUND(T60,2)</f>
        <v>1.57</v>
      </c>
      <c r="D751" s="276">
        <f>ROUND(T61,0)</f>
        <v>76792</v>
      </c>
      <c r="E751" s="276">
        <f>ROUND(T62,0)</f>
        <v>5714</v>
      </c>
      <c r="F751" s="276">
        <f>ROUND(T63,0)</f>
        <v>0</v>
      </c>
      <c r="G751" s="276">
        <f>ROUND(T64,0)</f>
        <v>110409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116</v>
      </c>
      <c r="M751" s="276">
        <f>ROUND(T70,0)</f>
        <v>0</v>
      </c>
      <c r="N751" s="276">
        <f>ROUND(T75,0)</f>
        <v>382080</v>
      </c>
      <c r="O751" s="276">
        <f>ROUND(T73,0)</f>
        <v>309473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1.55</v>
      </c>
      <c r="U751" s="276"/>
      <c r="V751" s="277"/>
      <c r="W751" s="276"/>
      <c r="X751" s="276"/>
      <c r="Y751" s="276">
        <f t="shared" si="21"/>
        <v>332081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197*2017*7070*A</v>
      </c>
      <c r="B752" s="276">
        <f>ROUND(U59,0)</f>
        <v>240842</v>
      </c>
      <c r="C752" s="278">
        <f>ROUND(U60,2)</f>
        <v>19.45</v>
      </c>
      <c r="D752" s="276">
        <f>ROUND(U61,0)</f>
        <v>1318438</v>
      </c>
      <c r="E752" s="276">
        <f>ROUND(U62,0)</f>
        <v>96696</v>
      </c>
      <c r="F752" s="276">
        <f>ROUND(U63,0)</f>
        <v>18164</v>
      </c>
      <c r="G752" s="276">
        <f>ROUND(U64,0)</f>
        <v>1001787</v>
      </c>
      <c r="H752" s="276">
        <f>ROUND(U65,0)</f>
        <v>185</v>
      </c>
      <c r="I752" s="276">
        <f>ROUND(U66,0)</f>
        <v>444498</v>
      </c>
      <c r="J752" s="276">
        <f>ROUND(U67,0)</f>
        <v>162388</v>
      </c>
      <c r="K752" s="276">
        <f>ROUND(U68,0)</f>
        <v>193236</v>
      </c>
      <c r="L752" s="276">
        <f>ROUND(U69,0)</f>
        <v>65178</v>
      </c>
      <c r="M752" s="276">
        <f>ROUND(U70,0)</f>
        <v>0</v>
      </c>
      <c r="N752" s="276">
        <f>ROUND(U75,0)</f>
        <v>26979170</v>
      </c>
      <c r="O752" s="276">
        <f>ROUND(U73,0)</f>
        <v>13601731</v>
      </c>
      <c r="P752" s="276">
        <f>IF(U76&gt;0,ROUND(U76,0),0)</f>
        <v>2744</v>
      </c>
      <c r="Q752" s="276">
        <f>IF(U77&gt;0,ROUND(U77,0),0)</f>
        <v>323</v>
      </c>
      <c r="R752" s="276">
        <f>IF(U78&gt;0,ROUND(U78,0),0)</f>
        <v>766</v>
      </c>
      <c r="S752" s="276">
        <f>IF(U79&gt;0,ROUND(U79,0),0)</f>
        <v>3170</v>
      </c>
      <c r="T752" s="278">
        <f>IF(U80&gt;0,ROUND(U80,2),0)</f>
        <v>18.61</v>
      </c>
      <c r="U752" s="276"/>
      <c r="V752" s="277"/>
      <c r="W752" s="276"/>
      <c r="X752" s="276"/>
      <c r="Y752" s="276">
        <f t="shared" si="21"/>
        <v>4157010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197*2017*7110*A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197*2017*7120*A</v>
      </c>
      <c r="B754" s="276">
        <f>ROUND(W59,0)</f>
        <v>860</v>
      </c>
      <c r="C754" s="278">
        <f>ROUND(W60,2)</f>
        <v>1.48</v>
      </c>
      <c r="D754" s="276">
        <f>ROUND(W61,0)</f>
        <v>164820</v>
      </c>
      <c r="E754" s="276">
        <f>ROUND(W62,0)</f>
        <v>11719</v>
      </c>
      <c r="F754" s="276">
        <f>ROUND(W63,0)</f>
        <v>0</v>
      </c>
      <c r="G754" s="276">
        <f>ROUND(W64,0)</f>
        <v>2555</v>
      </c>
      <c r="H754" s="276">
        <f>ROUND(W65,0)</f>
        <v>0</v>
      </c>
      <c r="I754" s="276">
        <f>ROUND(W66,0)</f>
        <v>0</v>
      </c>
      <c r="J754" s="276">
        <f>ROUND(W67,0)</f>
        <v>52196</v>
      </c>
      <c r="K754" s="276">
        <f>ROUND(W68,0)</f>
        <v>0</v>
      </c>
      <c r="L754" s="276">
        <f>ROUND(W69,0)</f>
        <v>107474</v>
      </c>
      <c r="M754" s="276">
        <f>ROUND(W70,0)</f>
        <v>0</v>
      </c>
      <c r="N754" s="276">
        <f>ROUND(W75,0)</f>
        <v>5625884</v>
      </c>
      <c r="O754" s="276">
        <f>ROUND(W73,0)</f>
        <v>2288318</v>
      </c>
      <c r="P754" s="276">
        <f>IF(W76&gt;0,ROUND(W76,0),0)</f>
        <v>882</v>
      </c>
      <c r="Q754" s="276">
        <f>IF(W77&gt;0,ROUND(W77,0),0)</f>
        <v>529</v>
      </c>
      <c r="R754" s="276">
        <f>IF(W78&gt;0,ROUND(W78,0),0)</f>
        <v>247</v>
      </c>
      <c r="S754" s="276">
        <f>IF(W79&gt;0,ROUND(W79,0),0)</f>
        <v>5187</v>
      </c>
      <c r="T754" s="278">
        <f>IF(W80&gt;0,ROUND(W80,2),0)</f>
        <v>1.49</v>
      </c>
      <c r="U754" s="276"/>
      <c r="V754" s="277"/>
      <c r="W754" s="276"/>
      <c r="X754" s="276"/>
      <c r="Y754" s="276">
        <f t="shared" si="21"/>
        <v>349962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197*2017*7130*A</v>
      </c>
      <c r="B755" s="276">
        <f>ROUND(X59,0)</f>
        <v>17518</v>
      </c>
      <c r="C755" s="278">
        <f>ROUND(X60,2)</f>
        <v>5.64</v>
      </c>
      <c r="D755" s="276">
        <f>ROUND(X61,0)</f>
        <v>497740</v>
      </c>
      <c r="E755" s="276">
        <f>ROUND(X62,0)</f>
        <v>36153</v>
      </c>
      <c r="F755" s="276">
        <f>ROUND(X63,0)</f>
        <v>0</v>
      </c>
      <c r="G755" s="276">
        <f>ROUND(X64,0)</f>
        <v>23760</v>
      </c>
      <c r="H755" s="276">
        <f>ROUND(X65,0)</f>
        <v>4269</v>
      </c>
      <c r="I755" s="276">
        <f>ROUND(X66,0)</f>
        <v>77464</v>
      </c>
      <c r="J755" s="276">
        <f>ROUND(X67,0)</f>
        <v>354129</v>
      </c>
      <c r="K755" s="276">
        <f>ROUND(X68,0)</f>
        <v>547786</v>
      </c>
      <c r="L755" s="276">
        <f>ROUND(X69,0)</f>
        <v>303086</v>
      </c>
      <c r="M755" s="276">
        <f>ROUND(X70,0)</f>
        <v>0</v>
      </c>
      <c r="N755" s="276">
        <f>ROUND(X75,0)</f>
        <v>57336828</v>
      </c>
      <c r="O755" s="276">
        <f>ROUND(X73,0)</f>
        <v>8366203</v>
      </c>
      <c r="P755" s="276">
        <f>IF(X76&gt;0,ROUND(X76,0),0)</f>
        <v>5984</v>
      </c>
      <c r="Q755" s="276">
        <f>IF(X77&gt;0,ROUND(X77,0),0)</f>
        <v>0</v>
      </c>
      <c r="R755" s="276">
        <f>IF(X78&gt;0,ROUND(X78,0),0)</f>
        <v>1671</v>
      </c>
      <c r="S755" s="276">
        <f>IF(X79&gt;0,ROUND(X79,0),0)</f>
        <v>22864</v>
      </c>
      <c r="T755" s="278">
        <f>IF(X80&gt;0,ROUND(X80,2),0)</f>
        <v>2</v>
      </c>
      <c r="U755" s="276"/>
      <c r="V755" s="277"/>
      <c r="W755" s="276"/>
      <c r="X755" s="276"/>
      <c r="Y755" s="276">
        <f t="shared" si="21"/>
        <v>2398807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197*2017*7140*A</v>
      </c>
      <c r="B756" s="276">
        <f>ROUND(Y59,0)</f>
        <v>29164</v>
      </c>
      <c r="C756" s="278">
        <f>ROUND(Y60,2)</f>
        <v>28.48</v>
      </c>
      <c r="D756" s="276">
        <f>ROUND(Y61,0)</f>
        <v>2686939</v>
      </c>
      <c r="E756" s="276">
        <f>ROUND(Y62,0)</f>
        <v>188260</v>
      </c>
      <c r="F756" s="276">
        <f>ROUND(Y63,0)</f>
        <v>11950</v>
      </c>
      <c r="G756" s="276">
        <f>ROUND(Y64,0)</f>
        <v>196306</v>
      </c>
      <c r="H756" s="276">
        <f>ROUND(Y65,0)</f>
        <v>5257</v>
      </c>
      <c r="I756" s="276">
        <f>ROUND(Y66,0)</f>
        <v>298638</v>
      </c>
      <c r="J756" s="276">
        <f>ROUND(Y67,0)</f>
        <v>832120</v>
      </c>
      <c r="K756" s="276">
        <f>ROUND(Y68,0)</f>
        <v>20610</v>
      </c>
      <c r="L756" s="276">
        <f>ROUND(Y69,0)</f>
        <v>508568</v>
      </c>
      <c r="M756" s="276">
        <f>ROUND(Y70,0)</f>
        <v>0</v>
      </c>
      <c r="N756" s="276">
        <f>ROUND(Y75,0)</f>
        <v>52079609</v>
      </c>
      <c r="O756" s="276">
        <f>ROUND(Y73,0)</f>
        <v>13364432</v>
      </c>
      <c r="P756" s="276">
        <f>IF(Y76&gt;0,ROUND(Y76,0),0)</f>
        <v>14061</v>
      </c>
      <c r="Q756" s="276">
        <f>IF(Y77&gt;0,ROUND(Y77,0),0)</f>
        <v>5491</v>
      </c>
      <c r="R756" s="276">
        <f>IF(Y78&gt;0,ROUND(Y78,0),0)</f>
        <v>3928</v>
      </c>
      <c r="S756" s="276">
        <f>IF(Y79&gt;0,ROUND(Y79,0),0)</f>
        <v>53821</v>
      </c>
      <c r="T756" s="278">
        <f>IF(Y80&gt;0,ROUND(Y80,2),0)</f>
        <v>25.16</v>
      </c>
      <c r="U756" s="276"/>
      <c r="V756" s="277"/>
      <c r="W756" s="276"/>
      <c r="X756" s="276"/>
      <c r="Y756" s="276">
        <f t="shared" si="21"/>
        <v>4960604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197*2017*7150*A</v>
      </c>
      <c r="B757" s="276">
        <f>ROUND(Z59,0)</f>
        <v>12993</v>
      </c>
      <c r="C757" s="278">
        <f>ROUND(Z60,2)</f>
        <v>5.1100000000000003</v>
      </c>
      <c r="D757" s="276">
        <f>ROUND(Z61,0)</f>
        <v>454832</v>
      </c>
      <c r="E757" s="276">
        <f>ROUND(Z62,0)</f>
        <v>33031</v>
      </c>
      <c r="F757" s="276">
        <f>ROUND(Z63,0)</f>
        <v>0</v>
      </c>
      <c r="G757" s="276">
        <f>ROUND(Z64,0)</f>
        <v>16082</v>
      </c>
      <c r="H757" s="276">
        <f>ROUND(Z65,0)</f>
        <v>185</v>
      </c>
      <c r="I757" s="276">
        <f>ROUND(Z66,0)</f>
        <v>515904</v>
      </c>
      <c r="J757" s="276">
        <f>ROUND(Z67,0)</f>
        <v>297909</v>
      </c>
      <c r="K757" s="276">
        <f>ROUND(Z68,0)</f>
        <v>1822</v>
      </c>
      <c r="L757" s="276">
        <f>ROUND(Z69,0)</f>
        <v>329860</v>
      </c>
      <c r="M757" s="276">
        <f>ROUND(Z70,0)</f>
        <v>0</v>
      </c>
      <c r="N757" s="276">
        <f>ROUND(Z75,0)</f>
        <v>30074072</v>
      </c>
      <c r="O757" s="276">
        <f>ROUND(Z73,0)</f>
        <v>253191</v>
      </c>
      <c r="P757" s="276">
        <f>IF(Z76&gt;0,ROUND(Z76,0),0)</f>
        <v>5034</v>
      </c>
      <c r="Q757" s="276">
        <f>IF(Z77&gt;0,ROUND(Z77,0),0)</f>
        <v>0</v>
      </c>
      <c r="R757" s="276">
        <f>IF(Z78&gt;0,ROUND(Z78,0),0)</f>
        <v>1406</v>
      </c>
      <c r="S757" s="276">
        <f>IF(Z79&gt;0,ROUND(Z79,0),0)</f>
        <v>0</v>
      </c>
      <c r="T757" s="278">
        <f>IF(Z80&gt;0,ROUND(Z80,2),0)</f>
        <v>4.9000000000000004</v>
      </c>
      <c r="U757" s="276"/>
      <c r="V757" s="277"/>
      <c r="W757" s="276"/>
      <c r="X757" s="276"/>
      <c r="Y757" s="276">
        <f t="shared" si="21"/>
        <v>1673771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197*2017*7160*A</v>
      </c>
      <c r="B758" s="276">
        <f>ROUND(AA59,0)</f>
        <v>2204</v>
      </c>
      <c r="C758" s="278">
        <f>ROUND(AA60,2)</f>
        <v>1.36</v>
      </c>
      <c r="D758" s="276">
        <f>ROUND(AA61,0)</f>
        <v>175596</v>
      </c>
      <c r="E758" s="276">
        <f>ROUND(AA62,0)</f>
        <v>13218</v>
      </c>
      <c r="F758" s="276">
        <f>ROUND(AA63,0)</f>
        <v>0</v>
      </c>
      <c r="G758" s="276">
        <f>ROUND(AA64,0)</f>
        <v>1753</v>
      </c>
      <c r="H758" s="276">
        <f>ROUND(AA65,0)</f>
        <v>87</v>
      </c>
      <c r="I758" s="276">
        <f>ROUND(AA66,0)</f>
        <v>962</v>
      </c>
      <c r="J758" s="276">
        <f>ROUND(AA67,0)</f>
        <v>21541</v>
      </c>
      <c r="K758" s="276">
        <f>ROUND(AA68,0)</f>
        <v>0</v>
      </c>
      <c r="L758" s="276">
        <f>ROUND(AA69,0)</f>
        <v>27230</v>
      </c>
      <c r="M758" s="276">
        <f>ROUND(AA70,0)</f>
        <v>0</v>
      </c>
      <c r="N758" s="276">
        <f>ROUND(AA75,0)</f>
        <v>3078865</v>
      </c>
      <c r="O758" s="276">
        <f>ROUND(AA73,0)</f>
        <v>776877</v>
      </c>
      <c r="P758" s="276">
        <f>IF(AA76&gt;0,ROUND(AA76,0),0)</f>
        <v>364</v>
      </c>
      <c r="Q758" s="276">
        <f>IF(AA77&gt;0,ROUND(AA77,0),0)</f>
        <v>0</v>
      </c>
      <c r="R758" s="276">
        <f>IF(AA78&gt;0,ROUND(AA78,0),0)</f>
        <v>101</v>
      </c>
      <c r="S758" s="276">
        <f>IF(AA79&gt;0,ROUND(AA79,0),0)</f>
        <v>0</v>
      </c>
      <c r="T758" s="278">
        <f>IF(AA80&gt;0,ROUND(AA80,2),0)</f>
        <v>1.35</v>
      </c>
      <c r="U758" s="276"/>
      <c r="V758" s="277"/>
      <c r="W758" s="276"/>
      <c r="X758" s="276"/>
      <c r="Y758" s="276">
        <f t="shared" si="21"/>
        <v>162485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197*2017*7170*A</v>
      </c>
      <c r="B759" s="276"/>
      <c r="C759" s="278">
        <f>ROUND(AB60,2)</f>
        <v>10.210000000000001</v>
      </c>
      <c r="D759" s="276">
        <f>ROUND(AB61,0)</f>
        <v>1129096</v>
      </c>
      <c r="E759" s="276">
        <f>ROUND(AB62,0)</f>
        <v>81060</v>
      </c>
      <c r="F759" s="276">
        <f>ROUND(AB63,0)</f>
        <v>0</v>
      </c>
      <c r="G759" s="276">
        <f>ROUND(AB64,0)</f>
        <v>2345876</v>
      </c>
      <c r="H759" s="276">
        <f>ROUND(AB65,0)</f>
        <v>109</v>
      </c>
      <c r="I759" s="276">
        <f>ROUND(AB66,0)</f>
        <v>34265</v>
      </c>
      <c r="J759" s="276">
        <f>ROUND(AB67,0)</f>
        <v>74448</v>
      </c>
      <c r="K759" s="276">
        <f>ROUND(AB68,0)</f>
        <v>225301</v>
      </c>
      <c r="L759" s="276">
        <f>ROUND(AB69,0)</f>
        <v>64774</v>
      </c>
      <c r="M759" s="276">
        <f>ROUND(AB70,0)</f>
        <v>0</v>
      </c>
      <c r="N759" s="276">
        <f>ROUND(AB75,0)</f>
        <v>21766511</v>
      </c>
      <c r="O759" s="276">
        <f>ROUND(AB73,0)</f>
        <v>12325084</v>
      </c>
      <c r="P759" s="276">
        <f>IF(AB76&gt;0,ROUND(AB76,0),0)</f>
        <v>1258</v>
      </c>
      <c r="Q759" s="276">
        <f>IF(AB77&gt;0,ROUND(AB77,0),0)</f>
        <v>0</v>
      </c>
      <c r="R759" s="276">
        <f>IF(AB78&gt;0,ROUND(AB78,0),0)</f>
        <v>352</v>
      </c>
      <c r="S759" s="276">
        <f>IF(AB79&gt;0,ROUND(AB79,0),0)</f>
        <v>0</v>
      </c>
      <c r="T759" s="278">
        <f>IF(AB80&gt;0,ROUND(AB80,2),0)</f>
        <v>9.69</v>
      </c>
      <c r="U759" s="276"/>
      <c r="V759" s="277"/>
      <c r="W759" s="276"/>
      <c r="X759" s="276"/>
      <c r="Y759" s="276">
        <f t="shared" si="21"/>
        <v>7310201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197*2017*7180*A</v>
      </c>
      <c r="B760" s="276">
        <f>ROUND(AC59,0)</f>
        <v>15183</v>
      </c>
      <c r="C760" s="278">
        <f>ROUND(AC60,2)</f>
        <v>8.8699999999999992</v>
      </c>
      <c r="D760" s="276">
        <f>ROUND(AC61,0)</f>
        <v>727325</v>
      </c>
      <c r="E760" s="276">
        <f>ROUND(AC62,0)</f>
        <v>52594</v>
      </c>
      <c r="F760" s="276">
        <f>ROUND(AC63,0)</f>
        <v>40416</v>
      </c>
      <c r="G760" s="276">
        <f>ROUND(AC64,0)</f>
        <v>54701</v>
      </c>
      <c r="H760" s="276">
        <f>ROUND(AC65,0)</f>
        <v>0</v>
      </c>
      <c r="I760" s="276">
        <f>ROUND(AC66,0)</f>
        <v>3072</v>
      </c>
      <c r="J760" s="276">
        <f>ROUND(AC67,0)</f>
        <v>250624</v>
      </c>
      <c r="K760" s="276">
        <f>ROUND(AC68,0)</f>
        <v>26742</v>
      </c>
      <c r="L760" s="276">
        <f>ROUND(AC69,0)</f>
        <v>23517</v>
      </c>
      <c r="M760" s="276">
        <f>ROUND(AC70,0)</f>
        <v>0</v>
      </c>
      <c r="N760" s="276">
        <f>ROUND(AC75,0)</f>
        <v>8010577</v>
      </c>
      <c r="O760" s="276">
        <f>ROUND(AC73,0)</f>
        <v>4627227</v>
      </c>
      <c r="P760" s="276">
        <f>IF(AC76&gt;0,ROUND(AC76,0),0)</f>
        <v>4235</v>
      </c>
      <c r="Q760" s="276">
        <f>IF(AC77&gt;0,ROUND(AC77,0),0)</f>
        <v>321</v>
      </c>
      <c r="R760" s="276">
        <f>IF(AC78&gt;0,ROUND(AC78,0),0)</f>
        <v>1182</v>
      </c>
      <c r="S760" s="276">
        <f>IF(AC79&gt;0,ROUND(AC79,0),0)</f>
        <v>3150</v>
      </c>
      <c r="T760" s="278">
        <f>IF(AC80&gt;0,ROUND(AC80,2),0)</f>
        <v>1.08</v>
      </c>
      <c r="U760" s="276"/>
      <c r="V760" s="277"/>
      <c r="W760" s="276"/>
      <c r="X760" s="276"/>
      <c r="Y760" s="276">
        <f t="shared" si="21"/>
        <v>1159337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197*2017*7190*A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197*2017*7200*A</v>
      </c>
      <c r="B762" s="276">
        <f>ROUND(AE59,0)</f>
        <v>26876</v>
      </c>
      <c r="C762" s="278">
        <f>ROUND(AE60,2)</f>
        <v>8.41</v>
      </c>
      <c r="D762" s="276">
        <f>ROUND(AE61,0)</f>
        <v>601440</v>
      </c>
      <c r="E762" s="276">
        <f>ROUND(AE62,0)</f>
        <v>42918</v>
      </c>
      <c r="F762" s="276">
        <f>ROUND(AE63,0)</f>
        <v>0</v>
      </c>
      <c r="G762" s="276">
        <f>ROUND(AE64,0)</f>
        <v>14654</v>
      </c>
      <c r="H762" s="276">
        <f>ROUND(AE65,0)</f>
        <v>5243</v>
      </c>
      <c r="I762" s="276">
        <f>ROUND(AE66,0)</f>
        <v>12594</v>
      </c>
      <c r="J762" s="276">
        <f>ROUND(AE67,0)</f>
        <v>249322</v>
      </c>
      <c r="K762" s="276">
        <f>ROUND(AE68,0)</f>
        <v>80251</v>
      </c>
      <c r="L762" s="276">
        <f>ROUND(AE69,0)</f>
        <v>11972</v>
      </c>
      <c r="M762" s="276">
        <f>ROUND(AE70,0)</f>
        <v>0</v>
      </c>
      <c r="N762" s="276">
        <f>ROUND(AE75,0)</f>
        <v>4118714</v>
      </c>
      <c r="O762" s="276">
        <f>ROUND(AE73,0)</f>
        <v>1897081</v>
      </c>
      <c r="P762" s="276">
        <f>IF(AE76&gt;0,ROUND(AE76,0),0)</f>
        <v>4213</v>
      </c>
      <c r="Q762" s="276">
        <f>IF(AE77&gt;0,ROUND(AE77,0),0)</f>
        <v>0</v>
      </c>
      <c r="R762" s="276">
        <f>IF(AE78&gt;0,ROUND(AE78,0),0)</f>
        <v>1177</v>
      </c>
      <c r="S762" s="276">
        <f>IF(AE79&gt;0,ROUND(AE79,0),0)</f>
        <v>6411</v>
      </c>
      <c r="T762" s="278">
        <f>IF(AE80&gt;0,ROUND(AE80,2),0)</f>
        <v>8.11</v>
      </c>
      <c r="U762" s="276"/>
      <c r="V762" s="277"/>
      <c r="W762" s="276"/>
      <c r="X762" s="276"/>
      <c r="Y762" s="276">
        <f t="shared" si="21"/>
        <v>976702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197*2017*7220*A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197*2017*7230*A</v>
      </c>
      <c r="B764" s="276">
        <f>ROUND(AG59,0)</f>
        <v>19802</v>
      </c>
      <c r="C764" s="278">
        <f>ROUND(AG60,2)</f>
        <v>24.21</v>
      </c>
      <c r="D764" s="276">
        <f>ROUND(AG61,0)</f>
        <v>2440724</v>
      </c>
      <c r="E764" s="276">
        <f>ROUND(AG62,0)</f>
        <v>159639</v>
      </c>
      <c r="F764" s="276">
        <f>ROUND(AG63,0)</f>
        <v>243305</v>
      </c>
      <c r="G764" s="276">
        <f>ROUND(AG64,0)</f>
        <v>142927</v>
      </c>
      <c r="H764" s="276">
        <f>ROUND(AG65,0)</f>
        <v>171</v>
      </c>
      <c r="I764" s="276">
        <f>ROUND(AG66,0)</f>
        <v>425</v>
      </c>
      <c r="J764" s="276">
        <f>ROUND(AG67,0)</f>
        <v>251394</v>
      </c>
      <c r="K764" s="276">
        <f>ROUND(AG68,0)</f>
        <v>1644</v>
      </c>
      <c r="L764" s="276">
        <f>ROUND(AG69,0)</f>
        <v>18380</v>
      </c>
      <c r="M764" s="276">
        <f>ROUND(AG70,0)</f>
        <v>0</v>
      </c>
      <c r="N764" s="276">
        <f>ROUND(AG75,0)</f>
        <v>38936592</v>
      </c>
      <c r="O764" s="276">
        <f>ROUND(AG73,0)</f>
        <v>6841144</v>
      </c>
      <c r="P764" s="276">
        <f>IF(AG76&gt;0,ROUND(AG76,0),0)</f>
        <v>4248</v>
      </c>
      <c r="Q764" s="276">
        <f>IF(AG77&gt;0,ROUND(AG77,0),0)</f>
        <v>5892</v>
      </c>
      <c r="R764" s="276">
        <f>IF(AG78&gt;0,ROUND(AG78,0),0)</f>
        <v>1187</v>
      </c>
      <c r="S764" s="276">
        <f>IF(AG79&gt;0,ROUND(AG79,0),0)</f>
        <v>57749</v>
      </c>
      <c r="T764" s="278">
        <f>IF(AG80&gt;0,ROUND(AG80,2),0)</f>
        <v>21.74</v>
      </c>
      <c r="U764" s="276"/>
      <c r="V764" s="277"/>
      <c r="W764" s="276"/>
      <c r="X764" s="276"/>
      <c r="Y764" s="276">
        <f t="shared" si="21"/>
        <v>2824330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197*2017*7240*A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197*2017*7250*A</v>
      </c>
      <c r="B766" s="276">
        <f>ROUND(AI59,0)</f>
        <v>7642</v>
      </c>
      <c r="C766" s="278">
        <f>ROUND(AI60,2)</f>
        <v>18.86</v>
      </c>
      <c r="D766" s="276">
        <f>ROUND(AI61,0)</f>
        <v>1704747</v>
      </c>
      <c r="E766" s="276">
        <f>ROUND(AI62,0)</f>
        <v>118798</v>
      </c>
      <c r="F766" s="276">
        <f>ROUND(AI63,0)</f>
        <v>0</v>
      </c>
      <c r="G766" s="276">
        <f>ROUND(AI64,0)</f>
        <v>195346</v>
      </c>
      <c r="H766" s="276">
        <f>ROUND(AI65,0)</f>
        <v>2613</v>
      </c>
      <c r="I766" s="276">
        <f>ROUND(AI66,0)</f>
        <v>410</v>
      </c>
      <c r="J766" s="276">
        <f>ROUND(AI67,0)</f>
        <v>294654</v>
      </c>
      <c r="K766" s="276">
        <f>ROUND(AI68,0)</f>
        <v>5</v>
      </c>
      <c r="L766" s="276">
        <f>ROUND(AI69,0)</f>
        <v>17655</v>
      </c>
      <c r="M766" s="276">
        <f>ROUND(AI70,0)</f>
        <v>0</v>
      </c>
      <c r="N766" s="276">
        <f>ROUND(AI75,0)</f>
        <v>6714401</v>
      </c>
      <c r="O766" s="276">
        <f>ROUND(AI73,0)</f>
        <v>1069067</v>
      </c>
      <c r="P766" s="276">
        <f>IF(AI76&gt;0,ROUND(AI76,0),0)</f>
        <v>4979</v>
      </c>
      <c r="Q766" s="276">
        <f>IF(AI77&gt;0,ROUND(AI77,0),0)</f>
        <v>4181</v>
      </c>
      <c r="R766" s="276">
        <f>IF(AI78&gt;0,ROUND(AI78,0),0)</f>
        <v>995</v>
      </c>
      <c r="S766" s="276">
        <f>IF(AI79&gt;0,ROUND(AI79,0),0)</f>
        <v>40977</v>
      </c>
      <c r="T766" s="278">
        <f>IF(AI80&gt;0,ROUND(AI80,2),0)</f>
        <v>18.47</v>
      </c>
      <c r="U766" s="276"/>
      <c r="V766" s="277"/>
      <c r="W766" s="276"/>
      <c r="X766" s="276"/>
      <c r="Y766" s="276">
        <f t="shared" si="21"/>
        <v>2142927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197*2017*7260*A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197*2017*7310*A</v>
      </c>
      <c r="B768" s="276">
        <f>ROUND(AK59,0)</f>
        <v>5292</v>
      </c>
      <c r="C768" s="278">
        <f>ROUND(AK60,2)</f>
        <v>1.07</v>
      </c>
      <c r="D768" s="276">
        <f>ROUND(AK61,0)</f>
        <v>99994</v>
      </c>
      <c r="E768" s="276">
        <f>ROUND(AK62,0)</f>
        <v>7405</v>
      </c>
      <c r="F768" s="276">
        <f>ROUND(AK63,0)</f>
        <v>0</v>
      </c>
      <c r="G768" s="276">
        <f>ROUND(AK64,0)</f>
        <v>11165</v>
      </c>
      <c r="H768" s="276">
        <f>ROUND(AK65,0)</f>
        <v>571</v>
      </c>
      <c r="I768" s="276">
        <f>ROUND(AK66,0)</f>
        <v>5</v>
      </c>
      <c r="J768" s="276">
        <f>ROUND(AK67,0)</f>
        <v>0</v>
      </c>
      <c r="K768" s="276">
        <f>ROUND(AK68,0)</f>
        <v>2</v>
      </c>
      <c r="L768" s="276">
        <f>ROUND(AK69,0)</f>
        <v>598</v>
      </c>
      <c r="M768" s="276">
        <f>ROUND(AK70,0)</f>
        <v>0</v>
      </c>
      <c r="N768" s="276">
        <f>ROUND(AK75,0)</f>
        <v>917506</v>
      </c>
      <c r="O768" s="276">
        <f>ROUND(AK73,0)</f>
        <v>386114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1.01</v>
      </c>
      <c r="U768" s="276"/>
      <c r="V768" s="277"/>
      <c r="W768" s="276"/>
      <c r="X768" s="276"/>
      <c r="Y768" s="276">
        <f t="shared" si="21"/>
        <v>69682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197*2017*7320*A</v>
      </c>
      <c r="B769" s="276">
        <f>ROUND(AL59,0)</f>
        <v>998</v>
      </c>
      <c r="C769" s="278">
        <f>ROUND(AL60,2)</f>
        <v>0.52</v>
      </c>
      <c r="D769" s="276">
        <f>ROUND(AL61,0)</f>
        <v>64554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386950</v>
      </c>
      <c r="O769" s="276">
        <f>ROUND(AL73,0)</f>
        <v>87508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15847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197*2017*7330*A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197*2017*7340*A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197*2017*7350*A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197*2017*7380*A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197*2017*7390*A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197*2017*7400*A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197*2017*7410*A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197*2017*7420*A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197*2017*7430*A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197*2017*7490*A</v>
      </c>
      <c r="B779" s="276"/>
      <c r="C779" s="278">
        <f>ROUND(AV60,2)</f>
        <v>3.52</v>
      </c>
      <c r="D779" s="276">
        <f>ROUND(AV61,0)</f>
        <v>249410</v>
      </c>
      <c r="E779" s="276">
        <f>ROUND(AV62,0)</f>
        <v>18900</v>
      </c>
      <c r="F779" s="276">
        <f>ROUND(AV63,0)</f>
        <v>413</v>
      </c>
      <c r="G779" s="276">
        <f>ROUND(AV64,0)</f>
        <v>79196</v>
      </c>
      <c r="H779" s="276">
        <f>ROUND(AV65,0)</f>
        <v>1024</v>
      </c>
      <c r="I779" s="276">
        <f>ROUND(AV66,0)</f>
        <v>444436</v>
      </c>
      <c r="J779" s="276">
        <f>ROUND(AV67,0)</f>
        <v>0</v>
      </c>
      <c r="K779" s="276">
        <f>ROUND(AV68,0)</f>
        <v>13711</v>
      </c>
      <c r="L779" s="276">
        <f>ROUND(AV69,0)</f>
        <v>-1694</v>
      </c>
      <c r="M779" s="276">
        <f>ROUND(AV70,0)</f>
        <v>0</v>
      </c>
      <c r="N779" s="276">
        <f>ROUND(AV75,0)</f>
        <v>4706308</v>
      </c>
      <c r="O779" s="276">
        <f>ROUND(AV73,0)</f>
        <v>7702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7844</v>
      </c>
      <c r="T779" s="278">
        <f>IF(AV80&gt;0,ROUND(AV80,2),0)</f>
        <v>3.12</v>
      </c>
      <c r="U779" s="276"/>
      <c r="V779" s="277"/>
      <c r="W779" s="276"/>
      <c r="X779" s="276"/>
      <c r="Y779" s="276">
        <f t="shared" si="21"/>
        <v>417162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197*2017*8200*A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197*2017*8310*A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197*2017*8320*A</v>
      </c>
      <c r="B782" s="276">
        <f>ROUND(AY59,0)</f>
        <v>178174</v>
      </c>
      <c r="C782" s="278">
        <f>ROUND(AY60,2)</f>
        <v>17.12</v>
      </c>
      <c r="D782" s="276">
        <f>ROUND(AY61,0)</f>
        <v>805123</v>
      </c>
      <c r="E782" s="276">
        <f>ROUND(AY62,0)</f>
        <v>58765</v>
      </c>
      <c r="F782" s="276">
        <f>ROUND(AY63,0)</f>
        <v>0</v>
      </c>
      <c r="G782" s="276">
        <f>ROUND(AY64,0)</f>
        <v>618568</v>
      </c>
      <c r="H782" s="276">
        <f>ROUND(AY65,0)</f>
        <v>92</v>
      </c>
      <c r="I782" s="276">
        <f>ROUND(AY66,0)</f>
        <v>4092</v>
      </c>
      <c r="J782" s="276">
        <f>ROUND(AY67,0)</f>
        <v>324244</v>
      </c>
      <c r="K782" s="276">
        <f>ROUND(AY68,0)</f>
        <v>0</v>
      </c>
      <c r="L782" s="276">
        <f>ROUND(AY69,0)</f>
        <v>17562</v>
      </c>
      <c r="M782" s="276">
        <f>ROUND(AY70,0)</f>
        <v>0</v>
      </c>
      <c r="N782" s="276"/>
      <c r="O782" s="276"/>
      <c r="P782" s="276">
        <f>IF(AY76&gt;0,ROUND(AY76,0),0)</f>
        <v>5479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197*2017*8330*A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197*2017*8350*A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197*2017*8360*A</v>
      </c>
      <c r="B785" s="276"/>
      <c r="C785" s="278">
        <f>ROUND(BB60,2)</f>
        <v>6.98</v>
      </c>
      <c r="D785" s="276">
        <f>ROUND(BB61,0)</f>
        <v>757971</v>
      </c>
      <c r="E785" s="276">
        <f>ROUND(BB62,0)</f>
        <v>38249</v>
      </c>
      <c r="F785" s="276">
        <f>ROUND(BB63,0)</f>
        <v>60000</v>
      </c>
      <c r="G785" s="276">
        <f>ROUND(BB64,0)</f>
        <v>3509</v>
      </c>
      <c r="H785" s="276">
        <f>ROUND(BB65,0)</f>
        <v>4969</v>
      </c>
      <c r="I785" s="276">
        <f>ROUND(BB66,0)</f>
        <v>53100</v>
      </c>
      <c r="J785" s="276">
        <f>ROUND(BB67,0)</f>
        <v>43793</v>
      </c>
      <c r="K785" s="276">
        <f>ROUND(BB68,0)</f>
        <v>112</v>
      </c>
      <c r="L785" s="276">
        <f>ROUND(BB69,0)</f>
        <v>135450</v>
      </c>
      <c r="M785" s="276">
        <f>ROUND(BB70,0)</f>
        <v>0</v>
      </c>
      <c r="N785" s="276"/>
      <c r="O785" s="276"/>
      <c r="P785" s="276">
        <f>IF(BB76&gt;0,ROUND(BB76,0),0)</f>
        <v>740</v>
      </c>
      <c r="Q785" s="276">
        <f>IF(BB77&gt;0,ROUND(BB77,0),0)</f>
        <v>0</v>
      </c>
      <c r="R785" s="276">
        <f>IF(BB78&gt;0,ROUND(BB78,0),0)</f>
        <v>206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197*2017*8370*A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197*2017*8420*A</v>
      </c>
      <c r="B787" s="276"/>
      <c r="C787" s="278">
        <f>ROUND(BD60,2)</f>
        <v>4.49</v>
      </c>
      <c r="D787" s="276">
        <f>ROUND(BD61,0)</f>
        <v>266651</v>
      </c>
      <c r="E787" s="276">
        <f>ROUND(BD62,0)</f>
        <v>18870</v>
      </c>
      <c r="F787" s="276">
        <f>ROUND(BD63,0)</f>
        <v>0</v>
      </c>
      <c r="G787" s="276">
        <f>ROUND(BD64,0)</f>
        <v>15574760</v>
      </c>
      <c r="H787" s="276">
        <f>ROUND(BD65,0)</f>
        <v>0</v>
      </c>
      <c r="I787" s="276">
        <f>ROUND(BD66,0)</f>
        <v>52518</v>
      </c>
      <c r="J787" s="276">
        <f>ROUND(BD67,0)</f>
        <v>151795</v>
      </c>
      <c r="K787" s="276">
        <f>ROUND(BD68,0)</f>
        <v>1958</v>
      </c>
      <c r="L787" s="276">
        <f>ROUND(BD69,0)</f>
        <v>93355</v>
      </c>
      <c r="M787" s="276">
        <f>ROUND(BD70,0)</f>
        <v>0</v>
      </c>
      <c r="N787" s="276"/>
      <c r="O787" s="276"/>
      <c r="P787" s="276">
        <f>IF(BD76&gt;0,ROUND(BD76,0),0)</f>
        <v>2565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197*2017*8430*A</v>
      </c>
      <c r="B788" s="276">
        <f>ROUND(BE59,0)</f>
        <v>155374</v>
      </c>
      <c r="C788" s="278">
        <f>ROUND(BE60,2)</f>
        <v>7.74</v>
      </c>
      <c r="D788" s="276">
        <f>ROUND(BE61,0)</f>
        <v>662576</v>
      </c>
      <c r="E788" s="276">
        <f>ROUND(BE62,0)</f>
        <v>50558</v>
      </c>
      <c r="F788" s="276">
        <f>ROUND(BE63,0)</f>
        <v>0</v>
      </c>
      <c r="G788" s="276">
        <f>ROUND(BE64,0)</f>
        <v>9290</v>
      </c>
      <c r="H788" s="276">
        <f>ROUND(BE65,0)</f>
        <v>1019727</v>
      </c>
      <c r="I788" s="276">
        <f>ROUND(BE66,0)</f>
        <v>115609</v>
      </c>
      <c r="J788" s="276">
        <f>ROUND(BE67,0)</f>
        <v>1600091</v>
      </c>
      <c r="K788" s="276">
        <f>ROUND(BE68,0)</f>
        <v>4570</v>
      </c>
      <c r="L788" s="276">
        <f>ROUND(BE69,0)</f>
        <v>281583</v>
      </c>
      <c r="M788" s="276">
        <f>ROUND(BE70,0)</f>
        <v>0</v>
      </c>
      <c r="N788" s="276"/>
      <c r="O788" s="276"/>
      <c r="P788" s="276">
        <f>IF(BE76&gt;0,ROUND(BE76,0),0)</f>
        <v>27038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197*2017*8460*A</v>
      </c>
      <c r="B789" s="276"/>
      <c r="C789" s="278">
        <f>ROUND(BF60,2)</f>
        <v>14.73</v>
      </c>
      <c r="D789" s="276">
        <f>ROUND(BF61,0)</f>
        <v>546542</v>
      </c>
      <c r="E789" s="276">
        <f>ROUND(BF62,0)</f>
        <v>40745</v>
      </c>
      <c r="F789" s="276">
        <f>ROUND(BF63,0)</f>
        <v>0</v>
      </c>
      <c r="G789" s="276">
        <f>ROUND(BF64,0)</f>
        <v>84280</v>
      </c>
      <c r="H789" s="276">
        <f>ROUND(BF65,0)</f>
        <v>1589</v>
      </c>
      <c r="I789" s="276">
        <f>ROUND(BF66,0)</f>
        <v>520954</v>
      </c>
      <c r="J789" s="276">
        <f>ROUND(BF67,0)</f>
        <v>135461</v>
      </c>
      <c r="K789" s="276">
        <f>ROUND(BF68,0)</f>
        <v>-2740</v>
      </c>
      <c r="L789" s="276">
        <f>ROUND(BF69,0)</f>
        <v>5082</v>
      </c>
      <c r="M789" s="276">
        <f>ROUND(BF70,0)</f>
        <v>0</v>
      </c>
      <c r="N789" s="276"/>
      <c r="O789" s="276"/>
      <c r="P789" s="276">
        <f>IF(BF76&gt;0,ROUND(BF76,0),0)</f>
        <v>2289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197*2017*8470*A</v>
      </c>
      <c r="B790" s="276"/>
      <c r="C790" s="278">
        <f>ROUND(BG60,2)</f>
        <v>2.64</v>
      </c>
      <c r="D790" s="276">
        <f>ROUND(BG61,0)</f>
        <v>90719</v>
      </c>
      <c r="E790" s="276">
        <f>ROUND(BG62,0)</f>
        <v>6375</v>
      </c>
      <c r="F790" s="276">
        <f>ROUND(BG63,0)</f>
        <v>0</v>
      </c>
      <c r="G790" s="276">
        <f>ROUND(BG64,0)</f>
        <v>182</v>
      </c>
      <c r="H790" s="276">
        <f>ROUND(BG65,0)</f>
        <v>0</v>
      </c>
      <c r="I790" s="276">
        <f>ROUND(BG66,0)</f>
        <v>0</v>
      </c>
      <c r="J790" s="276">
        <f>ROUND(BG67,0)</f>
        <v>19943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337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197*2017*8480*A</v>
      </c>
      <c r="B791" s="276"/>
      <c r="C791" s="278">
        <f>ROUND(BH60,2)</f>
        <v>4.08</v>
      </c>
      <c r="D791" s="276">
        <f>ROUND(BH61,0)</f>
        <v>337029</v>
      </c>
      <c r="E791" s="276">
        <f>ROUND(BH62,0)</f>
        <v>25466</v>
      </c>
      <c r="F791" s="276">
        <f>ROUND(BH63,0)</f>
        <v>0</v>
      </c>
      <c r="G791" s="276">
        <f>ROUND(BH64,0)</f>
        <v>48801</v>
      </c>
      <c r="H791" s="276">
        <f>ROUND(BH65,0)</f>
        <v>80099</v>
      </c>
      <c r="I791" s="276">
        <f>ROUND(BH66,0)</f>
        <v>1344115</v>
      </c>
      <c r="J791" s="276">
        <f>ROUND(BH67,0)</f>
        <v>44503</v>
      </c>
      <c r="K791" s="276">
        <f>ROUND(BH68,0)</f>
        <v>0</v>
      </c>
      <c r="L791" s="276">
        <f>ROUND(BH69,0)</f>
        <v>265180</v>
      </c>
      <c r="M791" s="276">
        <f>ROUND(BH70,0)</f>
        <v>0</v>
      </c>
      <c r="N791" s="276"/>
      <c r="O791" s="276"/>
      <c r="P791" s="276">
        <f>IF(BH76&gt;0,ROUND(BH76,0),0)</f>
        <v>752</v>
      </c>
      <c r="Q791" s="276">
        <f>IF(BH77&gt;0,ROUND(BH77,0),0)</f>
        <v>0</v>
      </c>
      <c r="R791" s="276">
        <f>IF(BH78&gt;0,ROUND(BH78,0),0)</f>
        <v>210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197*2017*8490*A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10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197*2017*8510*A</v>
      </c>
      <c r="B793" s="276"/>
      <c r="C793" s="278">
        <f>ROUND(BJ60,2)</f>
        <v>4.47</v>
      </c>
      <c r="D793" s="276">
        <f>ROUND(BJ61,0)</f>
        <v>308611</v>
      </c>
      <c r="E793" s="276">
        <f>ROUND(BJ62,0)</f>
        <v>17536</v>
      </c>
      <c r="F793" s="276">
        <f>ROUND(BJ63,0)</f>
        <v>0</v>
      </c>
      <c r="G793" s="276">
        <f>ROUND(BJ64,0)</f>
        <v>5934</v>
      </c>
      <c r="H793" s="276">
        <f>ROUND(BJ65,0)</f>
        <v>0</v>
      </c>
      <c r="I793" s="276">
        <f>ROUND(BJ66,0)</f>
        <v>38</v>
      </c>
      <c r="J793" s="276">
        <f>ROUND(BJ67,0)</f>
        <v>96758</v>
      </c>
      <c r="K793" s="276">
        <f>ROUND(BJ68,0)</f>
        <v>63</v>
      </c>
      <c r="L793" s="276">
        <f>ROUND(BJ69,0)</f>
        <v>6013</v>
      </c>
      <c r="M793" s="276">
        <f>ROUND(BJ70,0)</f>
        <v>0</v>
      </c>
      <c r="N793" s="276"/>
      <c r="O793" s="276"/>
      <c r="P793" s="276">
        <f>IF(BJ76&gt;0,ROUND(BJ76,0),0)</f>
        <v>1635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197*2017*8530*A</v>
      </c>
      <c r="B794" s="276"/>
      <c r="C794" s="278">
        <f>ROUND(BK60,2)</f>
        <v>17.34</v>
      </c>
      <c r="D794" s="276">
        <f>ROUND(BK61,0)</f>
        <v>770605</v>
      </c>
      <c r="E794" s="276">
        <f>ROUND(BK62,0)</f>
        <v>56732</v>
      </c>
      <c r="F794" s="276">
        <f>ROUND(BK63,0)</f>
        <v>0</v>
      </c>
      <c r="G794" s="276">
        <f>ROUND(BK64,0)</f>
        <v>46867</v>
      </c>
      <c r="H794" s="276">
        <f>ROUND(BK65,0)</f>
        <v>647</v>
      </c>
      <c r="I794" s="276">
        <f>ROUND(BK66,0)</f>
        <v>2163196</v>
      </c>
      <c r="J794" s="276">
        <f>ROUND(BK67,0)</f>
        <v>0</v>
      </c>
      <c r="K794" s="276">
        <f>ROUND(BK68,0)</f>
        <v>1106</v>
      </c>
      <c r="L794" s="276">
        <f>ROUND(BK69,0)</f>
        <v>5792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197*2017*8560*A</v>
      </c>
      <c r="B795" s="276"/>
      <c r="C795" s="278">
        <f>ROUND(BL60,2)</f>
        <v>2.95</v>
      </c>
      <c r="D795" s="276">
        <f>ROUND(BL61,0)</f>
        <v>140735</v>
      </c>
      <c r="E795" s="276">
        <f>ROUND(BL62,0)</f>
        <v>10402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38</v>
      </c>
      <c r="J795" s="276">
        <f>ROUND(BL67,0)</f>
        <v>0</v>
      </c>
      <c r="K795" s="276">
        <f>ROUND(BL68,0)</f>
        <v>0</v>
      </c>
      <c r="L795" s="276">
        <f>ROUND(BL69,0)</f>
        <v>38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503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197*2017*8590*A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106582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1801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197*2017*8610*A</v>
      </c>
      <c r="B797" s="276"/>
      <c r="C797" s="278">
        <f>ROUND(BN60,2)</f>
        <v>7.17</v>
      </c>
      <c r="D797" s="276">
        <f>ROUND(BN61,0)</f>
        <v>1399118</v>
      </c>
      <c r="E797" s="276">
        <f>ROUND(BN62,0)</f>
        <v>40769</v>
      </c>
      <c r="F797" s="276">
        <f>ROUND(BN63,0)</f>
        <v>7799</v>
      </c>
      <c r="G797" s="276">
        <f>ROUND(BN64,0)</f>
        <v>28468</v>
      </c>
      <c r="H797" s="276">
        <f>ROUND(BN65,0)</f>
        <v>558</v>
      </c>
      <c r="I797" s="276">
        <f>ROUND(BN66,0)</f>
        <v>766215</v>
      </c>
      <c r="J797" s="276">
        <f>ROUND(BN67,0)</f>
        <v>229320</v>
      </c>
      <c r="K797" s="276">
        <f>ROUND(BN68,0)</f>
        <v>95630</v>
      </c>
      <c r="L797" s="276">
        <f>ROUND(BN69,0)</f>
        <v>2599770</v>
      </c>
      <c r="M797" s="276">
        <f>ROUND(BN70,0)</f>
        <v>0</v>
      </c>
      <c r="N797" s="276"/>
      <c r="O797" s="276"/>
      <c r="P797" s="276">
        <f>IF(BN76&gt;0,ROUND(BN76,0),0)</f>
        <v>3875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197*2017*8620*A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197*2017*8630*A</v>
      </c>
      <c r="B799" s="276"/>
      <c r="C799" s="278">
        <f>ROUND(BP60,2)</f>
        <v>1.25</v>
      </c>
      <c r="D799" s="276">
        <f>ROUND(BP61,0)</f>
        <v>137141</v>
      </c>
      <c r="E799" s="276">
        <f>ROUND(BP62,0)</f>
        <v>9542</v>
      </c>
      <c r="F799" s="276">
        <f>ROUND(BP63,0)</f>
        <v>0</v>
      </c>
      <c r="G799" s="276">
        <f>ROUND(BP64,0)</f>
        <v>143</v>
      </c>
      <c r="H799" s="276">
        <f>ROUND(BP65,0)</f>
        <v>0</v>
      </c>
      <c r="I799" s="276">
        <f>ROUND(BP66,0)</f>
        <v>14040</v>
      </c>
      <c r="J799" s="276">
        <f>ROUND(BP67,0)</f>
        <v>43142</v>
      </c>
      <c r="K799" s="276">
        <f>ROUND(BP68,0)</f>
        <v>0</v>
      </c>
      <c r="L799" s="276">
        <f>ROUND(BP69,0)</f>
        <v>167590</v>
      </c>
      <c r="M799" s="276">
        <f>ROUND(BP70,0)</f>
        <v>0</v>
      </c>
      <c r="N799" s="276"/>
      <c r="O799" s="276"/>
      <c r="P799" s="276">
        <f>IF(BP76&gt;0,ROUND(BP76,0),0)</f>
        <v>729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197*2017*8640*A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197*2017*8650*A</v>
      </c>
      <c r="B801" s="276"/>
      <c r="C801" s="278">
        <f>ROUND(BR60,2)</f>
        <v>3.45</v>
      </c>
      <c r="D801" s="276">
        <f>ROUND(BR61,0)</f>
        <v>250222</v>
      </c>
      <c r="E801" s="276">
        <f>ROUND(BR62,0)</f>
        <v>15698</v>
      </c>
      <c r="F801" s="276">
        <f>ROUND(BR63,0)</f>
        <v>0</v>
      </c>
      <c r="G801" s="276">
        <f>ROUND(BR64,0)</f>
        <v>11776</v>
      </c>
      <c r="H801" s="276">
        <f>ROUND(BR65,0)</f>
        <v>0</v>
      </c>
      <c r="I801" s="276">
        <f>ROUND(BR66,0)</f>
        <v>127708</v>
      </c>
      <c r="J801" s="276">
        <f>ROUND(BR67,0)</f>
        <v>59949</v>
      </c>
      <c r="K801" s="276">
        <f>ROUND(BR68,0)</f>
        <v>8</v>
      </c>
      <c r="L801" s="276">
        <f>ROUND(BR69,0)</f>
        <v>154528</v>
      </c>
      <c r="M801" s="276">
        <f>ROUND(BR70,0)</f>
        <v>0</v>
      </c>
      <c r="N801" s="276"/>
      <c r="O801" s="276"/>
      <c r="P801" s="276">
        <f>IF(BR76&gt;0,ROUND(BR76,0),0)</f>
        <v>1013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197*2017*8660*A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16925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286</v>
      </c>
      <c r="Q802" s="276">
        <f>IF(BS77&gt;0,ROUND(BS77,0),0)</f>
        <v>0</v>
      </c>
      <c r="R802" s="276">
        <f>IF(BS78&gt;0,ROUND(BS78,0),0)</f>
        <v>80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197*2017*8670*A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197*2017*8680*A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197*2017*8690*A</v>
      </c>
      <c r="B805" s="276"/>
      <c r="C805" s="278">
        <f>ROUND(BV60,2)</f>
        <v>11.16</v>
      </c>
      <c r="D805" s="276">
        <f>ROUND(BV61,0)</f>
        <v>592071</v>
      </c>
      <c r="E805" s="276">
        <f>ROUND(BV62,0)</f>
        <v>42007</v>
      </c>
      <c r="F805" s="276">
        <f>ROUND(BV63,0)</f>
        <v>0</v>
      </c>
      <c r="G805" s="276">
        <f>ROUND(BV64,0)</f>
        <v>18999</v>
      </c>
      <c r="H805" s="276">
        <f>ROUND(BV65,0)</f>
        <v>0</v>
      </c>
      <c r="I805" s="276">
        <f>ROUND(BV66,0)</f>
        <v>260913</v>
      </c>
      <c r="J805" s="276">
        <f>ROUND(BV67,0)</f>
        <v>198547</v>
      </c>
      <c r="K805" s="276">
        <f>ROUND(BV68,0)</f>
        <v>75878</v>
      </c>
      <c r="L805" s="276">
        <f>ROUND(BV69,0)</f>
        <v>7289</v>
      </c>
      <c r="M805" s="276">
        <f>ROUND(BV70,0)</f>
        <v>0</v>
      </c>
      <c r="N805" s="276"/>
      <c r="O805" s="276"/>
      <c r="P805" s="276">
        <f>IF(BV76&gt;0,ROUND(BV76,0),0)</f>
        <v>3355</v>
      </c>
      <c r="Q805" s="276">
        <f>IF(BV77&gt;0,ROUND(BV77,0),0)</f>
        <v>0</v>
      </c>
      <c r="R805" s="276">
        <f>IF(BV78&gt;0,ROUND(BV78,0),0)</f>
        <v>937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197*2017*8700*A</v>
      </c>
      <c r="B806" s="276"/>
      <c r="C806" s="278">
        <f>ROUND(BW60,2)</f>
        <v>1.01</v>
      </c>
      <c r="D806" s="276">
        <f>ROUND(BW61,0)</f>
        <v>84887</v>
      </c>
      <c r="E806" s="276">
        <f>ROUND(BW62,0)</f>
        <v>6476</v>
      </c>
      <c r="F806" s="276">
        <f>ROUND(BW63,0)</f>
        <v>0</v>
      </c>
      <c r="G806" s="276">
        <f>ROUND(BW64,0)</f>
        <v>1602</v>
      </c>
      <c r="H806" s="276">
        <f>ROUND(BW65,0)</f>
        <v>0</v>
      </c>
      <c r="I806" s="276">
        <f>ROUND(BW66,0)</f>
        <v>5575</v>
      </c>
      <c r="J806" s="276">
        <f>ROUND(BW67,0)</f>
        <v>0</v>
      </c>
      <c r="K806" s="276">
        <f>ROUND(BW68,0)</f>
        <v>639</v>
      </c>
      <c r="L806" s="276">
        <f>ROUND(BW69,0)</f>
        <v>7151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197*2017*8710*A</v>
      </c>
      <c r="B807" s="276"/>
      <c r="C807" s="278">
        <f>ROUND(BX60,2)</f>
        <v>2.5</v>
      </c>
      <c r="D807" s="276">
        <f>ROUND(BX61,0)</f>
        <v>222229</v>
      </c>
      <c r="E807" s="276">
        <f>ROUND(BX62,0)</f>
        <v>17386</v>
      </c>
      <c r="F807" s="276">
        <f>ROUND(BX63,0)</f>
        <v>33000</v>
      </c>
      <c r="G807" s="276">
        <f>ROUND(BX64,0)</f>
        <v>6213</v>
      </c>
      <c r="H807" s="276">
        <f>ROUND(BX65,0)</f>
        <v>131</v>
      </c>
      <c r="I807" s="276">
        <f>ROUND(BX66,0)</f>
        <v>79847</v>
      </c>
      <c r="J807" s="276">
        <f>ROUND(BX67,0)</f>
        <v>4912</v>
      </c>
      <c r="K807" s="276">
        <f>ROUND(BX68,0)</f>
        <v>0</v>
      </c>
      <c r="L807" s="276">
        <f>ROUND(BX69,0)</f>
        <v>43630</v>
      </c>
      <c r="M807" s="276">
        <f>ROUND(BX70,0)</f>
        <v>0</v>
      </c>
      <c r="N807" s="276"/>
      <c r="O807" s="276"/>
      <c r="P807" s="276">
        <f>IF(BX76&gt;0,ROUND(BX76,0),0)</f>
        <v>83</v>
      </c>
      <c r="Q807" s="276">
        <f>IF(BX77&gt;0,ROUND(BX77,0),0)</f>
        <v>0</v>
      </c>
      <c r="R807" s="276">
        <f>IF(BX78&gt;0,ROUND(BX78,0),0)</f>
        <v>23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197*2017*8720*A</v>
      </c>
      <c r="B808" s="276"/>
      <c r="C808" s="278">
        <f>ROUND(BY60,2)</f>
        <v>6.19</v>
      </c>
      <c r="D808" s="276">
        <f>ROUND(BY61,0)</f>
        <v>698021</v>
      </c>
      <c r="E808" s="276">
        <f>ROUND(BY62,0)</f>
        <v>50823</v>
      </c>
      <c r="F808" s="276">
        <f>ROUND(BY63,0)</f>
        <v>0</v>
      </c>
      <c r="G808" s="276">
        <f>ROUND(BY64,0)</f>
        <v>817</v>
      </c>
      <c r="H808" s="276">
        <f>ROUND(BY65,0)</f>
        <v>988</v>
      </c>
      <c r="I808" s="276">
        <f>ROUND(BY66,0)</f>
        <v>2267</v>
      </c>
      <c r="J808" s="276">
        <f>ROUND(BY67,0)</f>
        <v>68944</v>
      </c>
      <c r="K808" s="276">
        <f>ROUND(BY68,0)</f>
        <v>206</v>
      </c>
      <c r="L808" s="276">
        <f>ROUND(BY69,0)</f>
        <v>106</v>
      </c>
      <c r="M808" s="276">
        <f>ROUND(BY70,0)</f>
        <v>0</v>
      </c>
      <c r="N808" s="276"/>
      <c r="O808" s="276"/>
      <c r="P808" s="276">
        <f>IF(BY76&gt;0,ROUND(BY76,0),0)</f>
        <v>1165</v>
      </c>
      <c r="Q808" s="276">
        <f>IF(BY77&gt;0,ROUND(BY77,0),0)</f>
        <v>0</v>
      </c>
      <c r="R808" s="276">
        <f>IF(BY78&gt;0,ROUND(BY78,0),0)</f>
        <v>325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197*2017*8730*A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197*2017*8740*A</v>
      </c>
      <c r="B810" s="276"/>
      <c r="C810" s="278">
        <f>ROUND(CA60,2)</f>
        <v>1</v>
      </c>
      <c r="D810" s="276">
        <f>ROUND(CA61,0)</f>
        <v>99511</v>
      </c>
      <c r="E810" s="276">
        <f>ROUND(CA62,0)</f>
        <v>7373</v>
      </c>
      <c r="F810" s="276">
        <f>ROUND(CA63,0)</f>
        <v>0</v>
      </c>
      <c r="G810" s="276">
        <f>ROUND(CA64,0)</f>
        <v>891</v>
      </c>
      <c r="H810" s="276">
        <f>ROUND(CA65,0)</f>
        <v>92</v>
      </c>
      <c r="I810" s="276">
        <f>ROUND(CA66,0)</f>
        <v>0</v>
      </c>
      <c r="J810" s="276">
        <f>ROUND(CA67,0)</f>
        <v>132503</v>
      </c>
      <c r="K810" s="276">
        <f>ROUND(CA68,0)</f>
        <v>0</v>
      </c>
      <c r="L810" s="276">
        <f>ROUND(CA69,0)</f>
        <v>11372</v>
      </c>
      <c r="M810" s="276">
        <f>ROUND(CA70,0)</f>
        <v>0</v>
      </c>
      <c r="N810" s="276"/>
      <c r="O810" s="276"/>
      <c r="P810" s="276">
        <f>IF(CA76&gt;0,ROUND(CA76,0),0)</f>
        <v>2239</v>
      </c>
      <c r="Q810" s="276">
        <f>IF(CA77&gt;0,ROUND(CA77,0),0)</f>
        <v>0</v>
      </c>
      <c r="R810" s="276">
        <f>IF(CA78&gt;0,ROUND(CA78,0),0)</f>
        <v>626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197*2017*8770*A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197*2017*8790*A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3036592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0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197*2017*9000*A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12954038</v>
      </c>
      <c r="V813" s="277">
        <f>ROUND(CD70,0)</f>
        <v>303883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423.84999999999997</v>
      </c>
      <c r="D815" s="277">
        <f t="shared" si="22"/>
        <v>35521528</v>
      </c>
      <c r="E815" s="277">
        <f t="shared" si="22"/>
        <v>5370569</v>
      </c>
      <c r="F815" s="277">
        <f t="shared" si="22"/>
        <v>1709580</v>
      </c>
      <c r="G815" s="277">
        <f t="shared" si="22"/>
        <v>22560725</v>
      </c>
      <c r="H815" s="277">
        <f t="shared" si="22"/>
        <v>1132077</v>
      </c>
      <c r="I815" s="277">
        <f t="shared" si="22"/>
        <v>8144462</v>
      </c>
      <c r="J815" s="277">
        <f t="shared" si="22"/>
        <v>9194930</v>
      </c>
      <c r="K815" s="277">
        <f t="shared" si="22"/>
        <v>1669002</v>
      </c>
      <c r="L815" s="277">
        <f>SUM(L734:L813)+SUM(U734:U813)</f>
        <v>18945317</v>
      </c>
      <c r="M815" s="277">
        <f>SUM(M734:M813)+SUM(V734:V813)</f>
        <v>303883</v>
      </c>
      <c r="N815" s="277">
        <f t="shared" ref="N815:Y815" si="23">SUM(N734:N813)</f>
        <v>530577936</v>
      </c>
      <c r="O815" s="277">
        <f t="shared" si="23"/>
        <v>254716921</v>
      </c>
      <c r="P815" s="277">
        <f t="shared" si="23"/>
        <v>155374</v>
      </c>
      <c r="Q815" s="277">
        <f t="shared" si="23"/>
        <v>59428</v>
      </c>
      <c r="R815" s="277">
        <f t="shared" si="23"/>
        <v>30620</v>
      </c>
      <c r="S815" s="277">
        <f t="shared" si="23"/>
        <v>619624</v>
      </c>
      <c r="T815" s="281">
        <f t="shared" si="23"/>
        <v>264.95000000000005</v>
      </c>
      <c r="U815" s="277">
        <f t="shared" si="23"/>
        <v>12954038</v>
      </c>
      <c r="V815" s="277">
        <f t="shared" si="23"/>
        <v>303883</v>
      </c>
      <c r="W815" s="277">
        <f t="shared" si="23"/>
        <v>0</v>
      </c>
      <c r="X815" s="277">
        <f t="shared" si="23"/>
        <v>0</v>
      </c>
      <c r="Y815" s="277">
        <f t="shared" si="23"/>
        <v>54807642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423.84999999999997</v>
      </c>
      <c r="D816" s="277">
        <f>CE61</f>
        <v>35521528</v>
      </c>
      <c r="E816" s="277">
        <f>CE62</f>
        <v>5370569</v>
      </c>
      <c r="F816" s="277">
        <f>CE63</f>
        <v>1709580</v>
      </c>
      <c r="G816" s="277">
        <f>CE64</f>
        <v>22560725.34</v>
      </c>
      <c r="H816" s="280">
        <f>CE65</f>
        <v>1132077</v>
      </c>
      <c r="I816" s="280">
        <f>CE66</f>
        <v>8144462</v>
      </c>
      <c r="J816" s="280">
        <f>CE67</f>
        <v>9194930</v>
      </c>
      <c r="K816" s="280">
        <f>CE68</f>
        <v>1669002</v>
      </c>
      <c r="L816" s="280">
        <f>CE69</f>
        <v>18945318.07</v>
      </c>
      <c r="M816" s="280">
        <f>CE70</f>
        <v>303883</v>
      </c>
      <c r="N816" s="277">
        <f>CE75</f>
        <v>530577936</v>
      </c>
      <c r="O816" s="277">
        <f>CE73</f>
        <v>254716921</v>
      </c>
      <c r="P816" s="277">
        <f>CE76</f>
        <v>155374</v>
      </c>
      <c r="Q816" s="277">
        <f>CE77</f>
        <v>59428</v>
      </c>
      <c r="R816" s="277">
        <f>CE78</f>
        <v>30620</v>
      </c>
      <c r="S816" s="277">
        <f>CE79</f>
        <v>619624</v>
      </c>
      <c r="T816" s="281">
        <f>CE80</f>
        <v>264.95000000000005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54807641.249999993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32367618</v>
      </c>
      <c r="E817" s="180">
        <f>C379</f>
        <v>5370569</v>
      </c>
      <c r="F817" s="180">
        <f>C380</f>
        <v>1709580</v>
      </c>
      <c r="G817" s="240">
        <f>C381</f>
        <v>22560725</v>
      </c>
      <c r="H817" s="240">
        <f>C382</f>
        <v>1132077</v>
      </c>
      <c r="I817" s="240">
        <f>C383</f>
        <v>8144462</v>
      </c>
      <c r="J817" s="240">
        <f>C384</f>
        <v>9194928</v>
      </c>
      <c r="K817" s="240">
        <f>C385</f>
        <v>1669000</v>
      </c>
      <c r="L817" s="240">
        <f>C386+C387+C388+C389</f>
        <v>25196215</v>
      </c>
      <c r="M817" s="240">
        <f>C370</f>
        <v>303883</v>
      </c>
      <c r="N817" s="180">
        <f>D361</f>
        <v>530577937</v>
      </c>
      <c r="O817" s="180">
        <f>C359</f>
        <v>254716921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E17" sqref="E17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Capital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H-197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3900 Capital Mall Drive SW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Olympia, WA 98502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F25" sqref="F25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H-197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Capital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Thurston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Mark Turner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Jennifer Weldon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Colleen Gillespie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360-956-2597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360-956-3540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 xml:space="preserve"> X</v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4781</v>
      </c>
      <c r="G23" s="21">
        <f>data!D111</f>
        <v>15130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593</v>
      </c>
      <c r="G26" s="13">
        <f>data!D114</f>
        <v>923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20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39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15</v>
      </c>
      <c r="E34" s="49" t="s">
        <v>291</v>
      </c>
      <c r="F34" s="24"/>
      <c r="G34" s="21">
        <f>data!E127</f>
        <v>84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107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8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D25" sqref="D25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Capital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1963</v>
      </c>
      <c r="C7" s="48">
        <f>data!B139</f>
        <v>6811</v>
      </c>
      <c r="D7" s="48">
        <f>data!B140</f>
        <v>23820</v>
      </c>
      <c r="E7" s="48">
        <f>data!B141</f>
        <v>132106306</v>
      </c>
      <c r="F7" s="48">
        <f>data!B142</f>
        <v>97474297.060000002</v>
      </c>
      <c r="G7" s="48">
        <f>data!B141+data!B142</f>
        <v>229580603.06</v>
      </c>
    </row>
    <row r="8" spans="1:13" ht="20.100000000000001" customHeight="1" x14ac:dyDescent="0.25">
      <c r="A8" s="23" t="s">
        <v>297</v>
      </c>
      <c r="B8" s="48">
        <f>data!C138</f>
        <v>108</v>
      </c>
      <c r="C8" s="48">
        <f>data!C139</f>
        <v>298</v>
      </c>
      <c r="D8" s="48">
        <f>data!C140</f>
        <v>792</v>
      </c>
      <c r="E8" s="48">
        <f>data!C141</f>
        <v>4404698</v>
      </c>
      <c r="F8" s="48">
        <f>data!C142</f>
        <v>3700648.23</v>
      </c>
      <c r="G8" s="48">
        <f>data!C141+data!C142</f>
        <v>8105346.2300000004</v>
      </c>
    </row>
    <row r="9" spans="1:13" ht="20.100000000000001" customHeight="1" x14ac:dyDescent="0.25">
      <c r="A9" s="23" t="s">
        <v>1058</v>
      </c>
      <c r="B9" s="48">
        <f>data!D138</f>
        <v>2710</v>
      </c>
      <c r="C9" s="48">
        <f>data!D139</f>
        <v>8021</v>
      </c>
      <c r="D9" s="48">
        <f>data!D140</f>
        <v>45501</v>
      </c>
      <c r="E9" s="48">
        <f>data!D141</f>
        <v>154331998</v>
      </c>
      <c r="F9" s="48">
        <f>data!D142</f>
        <v>204374562.16</v>
      </c>
      <c r="G9" s="48">
        <f>data!D141+data!D142</f>
        <v>358706560.15999997</v>
      </c>
    </row>
    <row r="10" spans="1:13" ht="20.100000000000001" customHeight="1" x14ac:dyDescent="0.25">
      <c r="A10" s="111" t="s">
        <v>203</v>
      </c>
      <c r="B10" s="48">
        <f>data!E138</f>
        <v>4781</v>
      </c>
      <c r="C10" s="48">
        <f>data!E139</f>
        <v>15130</v>
      </c>
      <c r="D10" s="48">
        <f>data!E140</f>
        <v>70113</v>
      </c>
      <c r="E10" s="48">
        <f>data!E141</f>
        <v>290843002</v>
      </c>
      <c r="F10" s="48">
        <f>data!E142</f>
        <v>305549507.44999999</v>
      </c>
      <c r="G10" s="48">
        <f>data!E141+data!E142</f>
        <v>596392509.45000005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9" sqref="C9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Capital Medical Center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2667419.7999999998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138153.51999999999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513194.06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2706968.33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106482.97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0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115194.59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6247413.2699999996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679302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1180967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1860269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1051290.96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190425.60000000001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1241716.56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2893875.58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1943287.52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4837163.0999999996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9716684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9716684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E23" sqref="E23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Capital Medical Center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3290000</v>
      </c>
      <c r="D7" s="21">
        <f>data!C195</f>
        <v>0</v>
      </c>
      <c r="E7" s="21">
        <f>data!D195</f>
        <v>130000</v>
      </c>
      <c r="F7" s="21">
        <f>data!E195</f>
        <v>3160000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779999.66</v>
      </c>
      <c r="D8" s="21">
        <f>data!C196</f>
        <v>0</v>
      </c>
      <c r="E8" s="21">
        <f>data!D196</f>
        <v>70000</v>
      </c>
      <c r="F8" s="21">
        <f>data!E196</f>
        <v>709999.66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38232869</v>
      </c>
      <c r="D9" s="21">
        <f>data!C197</f>
        <v>4074352</v>
      </c>
      <c r="E9" s="21">
        <f>data!D197</f>
        <v>3870000</v>
      </c>
      <c r="F9" s="21">
        <f>data!E197</f>
        <v>38437221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713074</v>
      </c>
      <c r="D11" s="21">
        <f>data!C199</f>
        <v>19930416.839999996</v>
      </c>
      <c r="E11" s="21">
        <f>data!D199</f>
        <v>0</v>
      </c>
      <c r="F11" s="21">
        <f>data!E199</f>
        <v>20643490.839999996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8269755</v>
      </c>
      <c r="D12" s="21">
        <f>data!C200</f>
        <v>3079719.0700000003</v>
      </c>
      <c r="E12" s="21">
        <f>data!D200</f>
        <v>0</v>
      </c>
      <c r="F12" s="21">
        <f>data!E200</f>
        <v>11349474.07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5289952</v>
      </c>
      <c r="D13" s="21">
        <f>data!C201</f>
        <v>1099562.55</v>
      </c>
      <c r="E13" s="21">
        <f>data!D201</f>
        <v>0</v>
      </c>
      <c r="F13" s="21">
        <f>data!E201</f>
        <v>6389514.5499999998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8591546</v>
      </c>
      <c r="D14" s="21">
        <f>data!C202</f>
        <v>0</v>
      </c>
      <c r="E14" s="21">
        <f>data!D202</f>
        <v>4070000</v>
      </c>
      <c r="F14" s="21">
        <f>data!E202</f>
        <v>4521546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20195036</v>
      </c>
      <c r="D15" s="21">
        <f>data!C203</f>
        <v>-19216602</v>
      </c>
      <c r="E15" s="21">
        <f>data!D203</f>
        <v>0</v>
      </c>
      <c r="F15" s="21">
        <f>data!E203</f>
        <v>978434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85362231.659999996</v>
      </c>
      <c r="D16" s="21">
        <f>data!C204</f>
        <v>8967448.4599999972</v>
      </c>
      <c r="E16" s="21">
        <f>data!D204</f>
        <v>8140000</v>
      </c>
      <c r="F16" s="21">
        <f>data!E204</f>
        <v>86189680.11999999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162499</v>
      </c>
      <c r="D24" s="21">
        <f>data!C209</f>
        <v>88750</v>
      </c>
      <c r="E24" s="21">
        <f>data!D209</f>
        <v>14583.33</v>
      </c>
      <c r="F24" s="21">
        <f>data!E209</f>
        <v>236665.67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2680802</v>
      </c>
      <c r="D25" s="21">
        <f>data!C210</f>
        <v>1710925</v>
      </c>
      <c r="E25" s="21">
        <f>data!D210</f>
        <v>145499.97999999998</v>
      </c>
      <c r="F25" s="21">
        <f>data!E210</f>
        <v>4246227.0199999996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373749</v>
      </c>
      <c r="D27" s="21">
        <f>data!C212</f>
        <v>1079591</v>
      </c>
      <c r="E27" s="21">
        <f>data!D212</f>
        <v>0</v>
      </c>
      <c r="F27" s="21">
        <f>data!E212</f>
        <v>1453340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2743775</v>
      </c>
      <c r="D28" s="21">
        <f>data!C213</f>
        <v>1695016</v>
      </c>
      <c r="E28" s="21">
        <f>data!D213</f>
        <v>67833.33</v>
      </c>
      <c r="F28" s="21">
        <f>data!E213</f>
        <v>4370957.67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747124</v>
      </c>
      <c r="D29" s="21">
        <f>data!C214</f>
        <v>698228</v>
      </c>
      <c r="E29" s="21">
        <f>data!D214</f>
        <v>0</v>
      </c>
      <c r="F29" s="21">
        <f>data!E214</f>
        <v>1445352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594720</v>
      </c>
      <c r="D30" s="21">
        <f>data!C215</f>
        <v>329254</v>
      </c>
      <c r="E30" s="21">
        <f>data!D215</f>
        <v>0</v>
      </c>
      <c r="F30" s="21">
        <f>data!E215</f>
        <v>923974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7302669</v>
      </c>
      <c r="D32" s="21">
        <f>data!C217</f>
        <v>5601764</v>
      </c>
      <c r="E32" s="21">
        <f>data!D217</f>
        <v>227916.63999999996</v>
      </c>
      <c r="F32" s="21">
        <f>data!E217</f>
        <v>12676516.359999999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D15" sqref="D15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Capital Medical Center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3347463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192130725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3567370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9262715.5899999999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13254432.49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252791765.40000001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471007008.48000002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1891383.33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2813891.7399999998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4705275.07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28576.99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479088323.54000002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34" zoomScale="75" workbookViewId="0">
      <selection activeCell="C101" sqref="C101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Capital Medical Center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-846664.77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23209457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5017444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-59000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321761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18930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3966862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658402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22252303.23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3160000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710000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44944890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20643492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15752863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978435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86189680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12676537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73513143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448809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1188383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1637192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97402638.230000004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Capital Medical Center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8269327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3084487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219344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594012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12167170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2547120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2547120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72862172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72862172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72862172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9826176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9826176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97402638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Capital Medical Center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290843002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305549507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596392509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3347463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469941191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5771094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28576.99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479088324.99000001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117304184.00999999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301063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301063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117605247.00999999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37832041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6247413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4232829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22233671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1174662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9046487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9443867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1860269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1241717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4837163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9716684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9613177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117479980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125267.00999999046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125267.00999999046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603000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728267.00999999046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F21" sqref="F21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Capital Medical Center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6656</v>
      </c>
      <c r="D9" s="14">
        <f>data!D59</f>
        <v>0</v>
      </c>
      <c r="E9" s="14">
        <f>data!E59</f>
        <v>8085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57.13</v>
      </c>
      <c r="D10" s="26">
        <f>data!D60</f>
        <v>0</v>
      </c>
      <c r="E10" s="26">
        <f>data!E60</f>
        <v>46.07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4994303</v>
      </c>
      <c r="D11" s="14">
        <f>data!D61</f>
        <v>0</v>
      </c>
      <c r="E11" s="14">
        <f>data!E61</f>
        <v>4049881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369883</v>
      </c>
      <c r="D12" s="14">
        <f>data!D62</f>
        <v>0</v>
      </c>
      <c r="E12" s="14">
        <f>data!E62</f>
        <v>276096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542963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233323</v>
      </c>
      <c r="D14" s="14">
        <f>data!D64</f>
        <v>0</v>
      </c>
      <c r="E14" s="14">
        <f>data!E64</f>
        <v>187820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176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340</v>
      </c>
      <c r="D16" s="14">
        <f>data!D66</f>
        <v>0</v>
      </c>
      <c r="E16" s="14">
        <f>data!E66</f>
        <v>6128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511294</v>
      </c>
      <c r="D17" s="14">
        <f>data!D67</f>
        <v>0</v>
      </c>
      <c r="E17" s="14">
        <f>data!E67</f>
        <v>726339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13571</v>
      </c>
      <c r="D18" s="14">
        <f>data!D68</f>
        <v>0</v>
      </c>
      <c r="E18" s="14">
        <f>data!E68</f>
        <v>27941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30433</v>
      </c>
      <c r="D19" s="14">
        <f>data!D69</f>
        <v>0</v>
      </c>
      <c r="E19" s="14">
        <f>data!E69</f>
        <v>32960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6696286</v>
      </c>
      <c r="D21" s="14">
        <f>data!D71</f>
        <v>0</v>
      </c>
      <c r="E21" s="14">
        <f>data!E71</f>
        <v>5307165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6153167</v>
      </c>
      <c r="D23" s="48">
        <f>+data!M669</f>
        <v>0</v>
      </c>
      <c r="E23" s="48">
        <f>+data!M670</f>
        <v>6512139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33023648</v>
      </c>
      <c r="D24" s="14">
        <f>data!D73</f>
        <v>0</v>
      </c>
      <c r="E24" s="14">
        <f>data!E73</f>
        <v>18485432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1798145</v>
      </c>
      <c r="D25" s="14">
        <f>data!D74</f>
        <v>0</v>
      </c>
      <c r="E25" s="14">
        <f>data!E74</f>
        <v>1158432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34821793</v>
      </c>
      <c r="D26" s="14">
        <f>data!D75</f>
        <v>0</v>
      </c>
      <c r="E26" s="14">
        <f>data!E75</f>
        <v>19643864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8412</v>
      </c>
      <c r="D28" s="14">
        <f>data!D76</f>
        <v>0</v>
      </c>
      <c r="E28" s="14">
        <f>data!E76</f>
        <v>11950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18975</v>
      </c>
      <c r="D29" s="14">
        <f>data!D77</f>
        <v>0</v>
      </c>
      <c r="E29" s="14">
        <f>data!E77</f>
        <v>23301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1700</v>
      </c>
      <c r="D30" s="14">
        <f>data!D78</f>
        <v>0</v>
      </c>
      <c r="E30" s="14">
        <f>data!E78</f>
        <v>2416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79150</v>
      </c>
      <c r="D31" s="14">
        <f>data!D79</f>
        <v>0</v>
      </c>
      <c r="E31" s="14">
        <f>data!E79</f>
        <v>146152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45.72</v>
      </c>
      <c r="D32" s="84">
        <f>data!D80</f>
        <v>0</v>
      </c>
      <c r="E32" s="84">
        <f>data!E80</f>
        <v>39.83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Capital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985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1288</v>
      </c>
      <c r="I41" s="14">
        <f>data!P59</f>
        <v>478339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1.61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3.29</v>
      </c>
      <c r="H42" s="26">
        <f>data!O60</f>
        <v>21.76</v>
      </c>
      <c r="I42" s="26">
        <f>data!P60</f>
        <v>30.67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230917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302443</v>
      </c>
      <c r="H43" s="14">
        <f>data!O61</f>
        <v>2422393</v>
      </c>
      <c r="I43" s="14">
        <f>data!P61</f>
        <v>2456061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17962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22351</v>
      </c>
      <c r="H44" s="14">
        <f>data!O62</f>
        <v>165598</v>
      </c>
      <c r="I44" s="14">
        <f>data!P62</f>
        <v>169390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18000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88320</v>
      </c>
      <c r="I45" s="14">
        <f>data!P63</f>
        <v>362137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5821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395</v>
      </c>
      <c r="H46" s="14">
        <f>data!O64</f>
        <v>150643</v>
      </c>
      <c r="I46" s="14">
        <f>data!P64</f>
        <v>651025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87</v>
      </c>
      <c r="I47" s="14">
        <f>data!P65</f>
        <v>2692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57448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1855</v>
      </c>
      <c r="I48" s="14">
        <f>data!P66</f>
        <v>693317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43337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1370927</v>
      </c>
      <c r="I49" s="14">
        <f>data!P67</f>
        <v>137305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1399</v>
      </c>
      <c r="I50" s="14">
        <f>data!P68</f>
        <v>450918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768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4560</v>
      </c>
      <c r="H51" s="14">
        <f>data!O69</f>
        <v>74196</v>
      </c>
      <c r="I51" s="14">
        <f>data!P69</f>
        <v>468799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374253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329749</v>
      </c>
      <c r="H53" s="14">
        <f>data!O71</f>
        <v>4275418</v>
      </c>
      <c r="I53" s="14">
        <f>data!P71</f>
        <v>5391644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547570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84498</v>
      </c>
      <c r="H55" s="48">
        <f>+data!M680</f>
        <v>6091164</v>
      </c>
      <c r="I55" s="48">
        <f>+data!M681</f>
        <v>6627115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3140515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16614812</v>
      </c>
      <c r="I56" s="14">
        <f>data!P73</f>
        <v>113705189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5334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1170184</v>
      </c>
      <c r="I57" s="14">
        <f>data!P74</f>
        <v>63689237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3145849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17784996</v>
      </c>
      <c r="I58" s="14">
        <f>data!P75</f>
        <v>177394426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713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22555</v>
      </c>
      <c r="I60" s="14">
        <f>data!P76</f>
        <v>2259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3003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3857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144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4559</v>
      </c>
      <c r="I62" s="14">
        <f>data!P78</f>
        <v>457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522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64569</v>
      </c>
      <c r="I63" s="14">
        <f>data!P79</f>
        <v>92375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1.47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2.71</v>
      </c>
      <c r="H64" s="26">
        <f>data!O80</f>
        <v>17.600000000000001</v>
      </c>
      <c r="I64" s="26">
        <f>data!P80</f>
        <v>26.68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Capital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354162</v>
      </c>
      <c r="D73" s="48">
        <f>data!R59</f>
        <v>531120</v>
      </c>
      <c r="E73" s="212"/>
      <c r="F73" s="212"/>
      <c r="G73" s="14">
        <f>data!U59</f>
        <v>257767</v>
      </c>
      <c r="H73" s="14">
        <f>data!V59</f>
        <v>0</v>
      </c>
      <c r="I73" s="14">
        <f>data!W59</f>
        <v>791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7.14</v>
      </c>
      <c r="D74" s="26">
        <f>data!R60</f>
        <v>1.89</v>
      </c>
      <c r="E74" s="26">
        <f>data!S60</f>
        <v>8.77</v>
      </c>
      <c r="F74" s="26">
        <f>data!T60</f>
        <v>0</v>
      </c>
      <c r="G74" s="26">
        <f>data!U60</f>
        <v>20.079999999999998</v>
      </c>
      <c r="H74" s="26">
        <f>data!V60</f>
        <v>0</v>
      </c>
      <c r="I74" s="26">
        <f>data!W60</f>
        <v>1.38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909066</v>
      </c>
      <c r="D75" s="14">
        <f>data!R61</f>
        <v>164118</v>
      </c>
      <c r="E75" s="14">
        <f>data!S61</f>
        <v>587593</v>
      </c>
      <c r="F75" s="14">
        <f>data!T61</f>
        <v>0</v>
      </c>
      <c r="G75" s="14">
        <f>data!U61</f>
        <v>1437833</v>
      </c>
      <c r="H75" s="14">
        <f>data!V61</f>
        <v>0</v>
      </c>
      <c r="I75" s="14">
        <f>data!W61</f>
        <v>163239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68074</v>
      </c>
      <c r="D76" s="14">
        <f>data!R62</f>
        <v>11811</v>
      </c>
      <c r="E76" s="14">
        <f>data!S62</f>
        <v>23191</v>
      </c>
      <c r="F76" s="14">
        <f>data!T62</f>
        <v>0</v>
      </c>
      <c r="G76" s="14">
        <f>data!U62</f>
        <v>106267</v>
      </c>
      <c r="H76" s="14">
        <f>data!V62</f>
        <v>0</v>
      </c>
      <c r="I76" s="14">
        <f>data!W62</f>
        <v>12144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600000</v>
      </c>
      <c r="E77" s="14">
        <f>data!S63</f>
        <v>0</v>
      </c>
      <c r="F77" s="14">
        <f>data!T63</f>
        <v>0</v>
      </c>
      <c r="G77" s="14">
        <f>data!U63</f>
        <v>27577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35783</v>
      </c>
      <c r="D78" s="14">
        <f>data!R64</f>
        <v>178552</v>
      </c>
      <c r="E78" s="14">
        <f>data!S64</f>
        <v>142280</v>
      </c>
      <c r="F78" s="14">
        <f>data!T64</f>
        <v>0</v>
      </c>
      <c r="G78" s="14">
        <f>data!U64</f>
        <v>1005210</v>
      </c>
      <c r="H78" s="14">
        <f>data!V64</f>
        <v>0</v>
      </c>
      <c r="I78" s="14">
        <f>data!W64</f>
        <v>5087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174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10000</v>
      </c>
      <c r="E80" s="14">
        <f>data!S66</f>
        <v>19902</v>
      </c>
      <c r="F80" s="14">
        <f>data!T66</f>
        <v>0</v>
      </c>
      <c r="G80" s="14">
        <f>data!U66</f>
        <v>341518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174565</v>
      </c>
      <c r="D81" s="14">
        <f>data!R67</f>
        <v>20848</v>
      </c>
      <c r="E81" s="14">
        <f>data!S67</f>
        <v>175476</v>
      </c>
      <c r="F81" s="14">
        <f>data!T67</f>
        <v>0</v>
      </c>
      <c r="G81" s="14">
        <f>data!U67</f>
        <v>166784</v>
      </c>
      <c r="H81" s="14">
        <f>data!V67</f>
        <v>0</v>
      </c>
      <c r="I81" s="14">
        <f>data!W67</f>
        <v>53609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5976</v>
      </c>
      <c r="E82" s="14">
        <f>data!S68</f>
        <v>2287</v>
      </c>
      <c r="F82" s="14">
        <f>data!T68</f>
        <v>0</v>
      </c>
      <c r="G82" s="14">
        <f>data!U68</f>
        <v>194603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5884</v>
      </c>
      <c r="D83" s="14">
        <f>data!R69</f>
        <v>2253</v>
      </c>
      <c r="E83" s="14">
        <f>data!S69</f>
        <v>61088</v>
      </c>
      <c r="F83" s="14">
        <f>data!T69</f>
        <v>0</v>
      </c>
      <c r="G83" s="14">
        <f>data!U69</f>
        <v>159891</v>
      </c>
      <c r="H83" s="14">
        <f>data!V69</f>
        <v>0</v>
      </c>
      <c r="I83" s="14">
        <f>data!W69</f>
        <v>100976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1193372</v>
      </c>
      <c r="D85" s="14">
        <f>data!R71</f>
        <v>993558</v>
      </c>
      <c r="E85" s="14">
        <f>data!S71</f>
        <v>1011817</v>
      </c>
      <c r="F85" s="14">
        <f>data!T71</f>
        <v>0</v>
      </c>
      <c r="G85" s="14">
        <f>data!U71</f>
        <v>3439857</v>
      </c>
      <c r="H85" s="14">
        <f>data!V71</f>
        <v>0</v>
      </c>
      <c r="I85" s="14">
        <f>data!W71</f>
        <v>335055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1370231</v>
      </c>
      <c r="D87" s="48">
        <f>+data!M683</f>
        <v>976434</v>
      </c>
      <c r="E87" s="48">
        <f>+data!M684</f>
        <v>1138089</v>
      </c>
      <c r="F87" s="48">
        <f>+data!M685</f>
        <v>0</v>
      </c>
      <c r="G87" s="48">
        <f>+data!M686</f>
        <v>4555243</v>
      </c>
      <c r="H87" s="48">
        <f>+data!M687</f>
        <v>0</v>
      </c>
      <c r="I87" s="48">
        <f>+data!M688</f>
        <v>335411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11623694</v>
      </c>
      <c r="D88" s="14">
        <f>data!R73</f>
        <v>8319434</v>
      </c>
      <c r="E88" s="14">
        <f>data!S73</f>
        <v>0</v>
      </c>
      <c r="F88" s="14">
        <f>data!T73</f>
        <v>0</v>
      </c>
      <c r="G88" s="14">
        <f>data!U73</f>
        <v>21665695</v>
      </c>
      <c r="H88" s="14">
        <f>data!V73</f>
        <v>0</v>
      </c>
      <c r="I88" s="14">
        <f>data!W73</f>
        <v>2170153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14151010</v>
      </c>
      <c r="D89" s="14">
        <f>data!R74</f>
        <v>8373799</v>
      </c>
      <c r="E89" s="14">
        <f>data!S74</f>
        <v>0</v>
      </c>
      <c r="F89" s="14">
        <f>data!T74</f>
        <v>0</v>
      </c>
      <c r="G89" s="14">
        <f>data!U74</f>
        <v>18057633</v>
      </c>
      <c r="H89" s="14">
        <f>data!V74</f>
        <v>0</v>
      </c>
      <c r="I89" s="14">
        <f>data!W74</f>
        <v>3011446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25774704</v>
      </c>
      <c r="D90" s="14">
        <f>data!R75</f>
        <v>16693233</v>
      </c>
      <c r="E90" s="14">
        <f>data!S75</f>
        <v>0</v>
      </c>
      <c r="F90" s="14">
        <f>data!T75</f>
        <v>0</v>
      </c>
      <c r="G90" s="14">
        <f>data!U75</f>
        <v>39723328</v>
      </c>
      <c r="H90" s="14">
        <f>data!V75</f>
        <v>0</v>
      </c>
      <c r="I90" s="14">
        <f>data!W75</f>
        <v>5181599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2872</v>
      </c>
      <c r="D92" s="14">
        <f>data!R76</f>
        <v>343</v>
      </c>
      <c r="E92" s="14">
        <f>data!S76</f>
        <v>2887</v>
      </c>
      <c r="F92" s="14">
        <f>data!T76</f>
        <v>0</v>
      </c>
      <c r="G92" s="14">
        <f>data!U76</f>
        <v>2744</v>
      </c>
      <c r="H92" s="14">
        <f>data!V76</f>
        <v>0</v>
      </c>
      <c r="I92" s="14">
        <f>data!W76</f>
        <v>882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581</v>
      </c>
      <c r="D94" s="14">
        <f>data!R78</f>
        <v>69</v>
      </c>
      <c r="E94" s="14">
        <f>data!S78</f>
        <v>584</v>
      </c>
      <c r="F94" s="14">
        <f>data!T78</f>
        <v>0</v>
      </c>
      <c r="G94" s="14">
        <f>data!U78</f>
        <v>555</v>
      </c>
      <c r="H94" s="14">
        <f>data!V78</f>
        <v>0</v>
      </c>
      <c r="I94" s="14">
        <f>data!W78</f>
        <v>178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2911</v>
      </c>
      <c r="H95" s="14">
        <f>data!V79</f>
        <v>0</v>
      </c>
      <c r="I95" s="14">
        <f>data!W79</f>
        <v>4763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5.84</v>
      </c>
      <c r="D96" s="84">
        <f>data!R80</f>
        <v>1.66</v>
      </c>
      <c r="E96" s="84">
        <f>data!S80</f>
        <v>5.29</v>
      </c>
      <c r="F96" s="84">
        <f>data!T80</f>
        <v>0</v>
      </c>
      <c r="G96" s="84">
        <f>data!U80</f>
        <v>18.36</v>
      </c>
      <c r="H96" s="84">
        <f>data!V80</f>
        <v>0</v>
      </c>
      <c r="I96" s="84">
        <f>data!W80</f>
        <v>1.26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Capital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16993</v>
      </c>
      <c r="D105" s="14">
        <f>data!Y59</f>
        <v>30480</v>
      </c>
      <c r="E105" s="14">
        <f>data!Z59</f>
        <v>13549</v>
      </c>
      <c r="F105" s="14">
        <f>data!AA59</f>
        <v>2549</v>
      </c>
      <c r="G105" s="212"/>
      <c r="H105" s="14">
        <f>data!AC59</f>
        <v>19492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5.42</v>
      </c>
      <c r="D106" s="26">
        <f>data!Y60</f>
        <v>28.61</v>
      </c>
      <c r="E106" s="26">
        <f>data!Z60</f>
        <v>5.15</v>
      </c>
      <c r="F106" s="26">
        <f>data!AA60</f>
        <v>1.24</v>
      </c>
      <c r="G106" s="26">
        <f>data!AB60</f>
        <v>12.420000000000002</v>
      </c>
      <c r="H106" s="26">
        <f>data!AC60</f>
        <v>9.6999999999999993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502391</v>
      </c>
      <c r="D107" s="14">
        <f>data!Y61</f>
        <v>2886098</v>
      </c>
      <c r="E107" s="14">
        <f>data!Z61</f>
        <v>488312</v>
      </c>
      <c r="F107" s="14">
        <f>data!AA61</f>
        <v>169980</v>
      </c>
      <c r="G107" s="14">
        <f>data!AB61</f>
        <v>1280501</v>
      </c>
      <c r="H107" s="14">
        <f>data!AC61</f>
        <v>872475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36741</v>
      </c>
      <c r="D108" s="14">
        <f>data!Y62</f>
        <v>208227</v>
      </c>
      <c r="E108" s="14">
        <f>data!Z62</f>
        <v>35661</v>
      </c>
      <c r="F108" s="14">
        <f>data!AA62</f>
        <v>12674</v>
      </c>
      <c r="G108" s="14">
        <f>data!AB62</f>
        <v>95160</v>
      </c>
      <c r="H108" s="14">
        <f>data!AC62</f>
        <v>63934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26563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45981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41192</v>
      </c>
      <c r="D110" s="14">
        <f>data!Y64</f>
        <v>213290</v>
      </c>
      <c r="E110" s="14">
        <f>data!Z64</f>
        <v>20679</v>
      </c>
      <c r="F110" s="14">
        <f>data!AA64</f>
        <v>-3695</v>
      </c>
      <c r="G110" s="14">
        <f>data!AB64</f>
        <v>2610543</v>
      </c>
      <c r="H110" s="14">
        <f>data!AC64</f>
        <v>67048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4145</v>
      </c>
      <c r="D111" s="14">
        <f>data!Y65</f>
        <v>5326</v>
      </c>
      <c r="E111" s="14">
        <f>data!Z65</f>
        <v>174</v>
      </c>
      <c r="F111" s="14">
        <f>data!AA65</f>
        <v>56</v>
      </c>
      <c r="G111" s="14">
        <f>data!AB65</f>
        <v>88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75292</v>
      </c>
      <c r="D112" s="14">
        <f>data!Y66</f>
        <v>373687</v>
      </c>
      <c r="E112" s="14">
        <f>data!Z66</f>
        <v>429668</v>
      </c>
      <c r="F112" s="14">
        <f>data!AA66</f>
        <v>23</v>
      </c>
      <c r="G112" s="14">
        <f>data!AB66</f>
        <v>40098</v>
      </c>
      <c r="H112" s="14">
        <f>data!AC66</f>
        <v>2152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363717</v>
      </c>
      <c r="D113" s="14">
        <f>data!Y67</f>
        <v>854649</v>
      </c>
      <c r="E113" s="14">
        <f>data!Z67</f>
        <v>305974</v>
      </c>
      <c r="F113" s="14">
        <f>data!AA67</f>
        <v>22124</v>
      </c>
      <c r="G113" s="14">
        <f>data!AB67</f>
        <v>76463</v>
      </c>
      <c r="H113" s="14">
        <f>data!AC67</f>
        <v>257410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606208</v>
      </c>
      <c r="D114" s="14">
        <f>data!Y68</f>
        <v>5129</v>
      </c>
      <c r="E114" s="14">
        <f>data!Z68</f>
        <v>1082</v>
      </c>
      <c r="F114" s="14">
        <f>data!AA68</f>
        <v>0</v>
      </c>
      <c r="G114" s="14">
        <f>data!AB68</f>
        <v>242086</v>
      </c>
      <c r="H114" s="14">
        <f>data!AC68</f>
        <v>39416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295623</v>
      </c>
      <c r="D115" s="14">
        <f>data!Y69</f>
        <v>508785</v>
      </c>
      <c r="E115" s="14">
        <f>data!Z69</f>
        <v>286662</v>
      </c>
      <c r="F115" s="14">
        <f>data!AA69</f>
        <v>41685</v>
      </c>
      <c r="G115" s="14">
        <f>data!AB69</f>
        <v>80025</v>
      </c>
      <c r="H115" s="14">
        <f>data!AC69</f>
        <v>19096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1925309</v>
      </c>
      <c r="D117" s="14">
        <f>data!Y71</f>
        <v>5081754</v>
      </c>
      <c r="E117" s="14">
        <f>data!Z71</f>
        <v>1568212</v>
      </c>
      <c r="F117" s="14">
        <f>data!AA71</f>
        <v>242847</v>
      </c>
      <c r="G117" s="14">
        <f>data!AB71</f>
        <v>4424964</v>
      </c>
      <c r="H117" s="14">
        <f>data!AC71</f>
        <v>1367512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2723422</v>
      </c>
      <c r="D119" s="48">
        <f>+data!M690</f>
        <v>5249324</v>
      </c>
      <c r="E119" s="48">
        <f>+data!M691</f>
        <v>1855705</v>
      </c>
      <c r="F119" s="48">
        <f>+data!M692</f>
        <v>177614</v>
      </c>
      <c r="G119" s="48">
        <f>+data!M693</f>
        <v>8049582</v>
      </c>
      <c r="H119" s="48">
        <f>+data!M694</f>
        <v>1483859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9862408</v>
      </c>
      <c r="D120" s="14">
        <f>data!Y73</f>
        <v>17287488</v>
      </c>
      <c r="E120" s="14">
        <f>data!Z73</f>
        <v>284025</v>
      </c>
      <c r="F120" s="14">
        <f>data!AA73</f>
        <v>903465</v>
      </c>
      <c r="G120" s="14">
        <f>data!AB73</f>
        <v>13318700</v>
      </c>
      <c r="H120" s="14">
        <f>data!AC73</f>
        <v>7138318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51708778</v>
      </c>
      <c r="D121" s="14">
        <f>data!Y74</f>
        <v>38911750</v>
      </c>
      <c r="E121" s="14">
        <f>data!Z74</f>
        <v>31289081</v>
      </c>
      <c r="F121" s="14">
        <f>data!AA74</f>
        <v>2919384</v>
      </c>
      <c r="G121" s="14">
        <f>data!AB74</f>
        <v>9532721</v>
      </c>
      <c r="H121" s="14">
        <f>data!AC74</f>
        <v>4292857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61571186</v>
      </c>
      <c r="D122" s="14">
        <f>data!Y75</f>
        <v>56199238</v>
      </c>
      <c r="E122" s="14">
        <f>data!Z75</f>
        <v>31573106</v>
      </c>
      <c r="F122" s="14">
        <f>data!AA75</f>
        <v>3822849</v>
      </c>
      <c r="G122" s="14">
        <f>data!AB75</f>
        <v>22851421</v>
      </c>
      <c r="H122" s="14">
        <f>data!AC75</f>
        <v>11431175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5984</v>
      </c>
      <c r="D124" s="14">
        <f>data!Y76</f>
        <v>14061</v>
      </c>
      <c r="E124" s="14">
        <f>data!Z76</f>
        <v>5034</v>
      </c>
      <c r="F124" s="14">
        <f>data!AA76</f>
        <v>364</v>
      </c>
      <c r="G124" s="14">
        <f>data!AB76</f>
        <v>1258</v>
      </c>
      <c r="H124" s="14">
        <f>data!AC76</f>
        <v>4235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1209</v>
      </c>
      <c r="D126" s="14">
        <f>data!Y78</f>
        <v>2842</v>
      </c>
      <c r="E126" s="14">
        <f>data!Z78</f>
        <v>1018</v>
      </c>
      <c r="F126" s="14">
        <f>data!AA78</f>
        <v>74</v>
      </c>
      <c r="G126" s="14">
        <f>data!AB78</f>
        <v>254</v>
      </c>
      <c r="H126" s="14">
        <f>data!AC78</f>
        <v>856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7156</v>
      </c>
      <c r="D127" s="14">
        <f>data!Y79</f>
        <v>41944</v>
      </c>
      <c r="E127" s="14">
        <f>data!Z79</f>
        <v>0</v>
      </c>
      <c r="F127" s="14">
        <f>data!AA79</f>
        <v>1410</v>
      </c>
      <c r="G127" s="14">
        <f>data!AB79</f>
        <v>12920</v>
      </c>
      <c r="H127" s="14">
        <f>data!AC79</f>
        <v>2893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5.43</v>
      </c>
      <c r="D128" s="26">
        <f>data!Y80</f>
        <v>24.61</v>
      </c>
      <c r="E128" s="26">
        <f>data!Z80</f>
        <v>4.62</v>
      </c>
      <c r="F128" s="26">
        <f>data!AA80</f>
        <v>1.1599999999999999</v>
      </c>
      <c r="G128" s="26">
        <f>data!AB80</f>
        <v>11.309999999999999</v>
      </c>
      <c r="H128" s="26">
        <f>data!AC80</f>
        <v>8.379999999999999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Capital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29730</v>
      </c>
      <c r="D137" s="14">
        <f>data!AF59</f>
        <v>0</v>
      </c>
      <c r="E137" s="14">
        <f>data!AG59</f>
        <v>19607</v>
      </c>
      <c r="F137" s="14">
        <f>data!AH59</f>
        <v>0</v>
      </c>
      <c r="G137" s="14">
        <f>data!AI59</f>
        <v>9065</v>
      </c>
      <c r="H137" s="14">
        <f>data!AJ59</f>
        <v>0</v>
      </c>
      <c r="I137" s="14">
        <f>data!AK59</f>
        <v>4992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9.2799999999999994</v>
      </c>
      <c r="D138" s="26">
        <f>data!AF60</f>
        <v>0</v>
      </c>
      <c r="E138" s="26">
        <f>data!AG60</f>
        <v>24.87</v>
      </c>
      <c r="F138" s="26">
        <f>data!AH60</f>
        <v>0</v>
      </c>
      <c r="G138" s="26">
        <f>data!AI60</f>
        <v>22.580000000000002</v>
      </c>
      <c r="H138" s="26">
        <f>data!AJ60</f>
        <v>0</v>
      </c>
      <c r="I138" s="26">
        <f>data!AK60</f>
        <v>1.02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713075</v>
      </c>
      <c r="D139" s="14">
        <f>data!AF61</f>
        <v>0</v>
      </c>
      <c r="E139" s="14">
        <f>data!AG61</f>
        <v>2527847</v>
      </c>
      <c r="F139" s="14">
        <f>data!AH61</f>
        <v>0</v>
      </c>
      <c r="G139" s="14">
        <f>data!AI61</f>
        <v>1958454</v>
      </c>
      <c r="H139" s="14">
        <f>data!AJ61</f>
        <v>0</v>
      </c>
      <c r="I139" s="14">
        <f>data!AK61</f>
        <v>100292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50999</v>
      </c>
      <c r="D140" s="14">
        <f>data!AF62</f>
        <v>0</v>
      </c>
      <c r="E140" s="14">
        <f>data!AG62</f>
        <v>186451</v>
      </c>
      <c r="F140" s="14">
        <f>data!AH62</f>
        <v>0</v>
      </c>
      <c r="G140" s="14">
        <f>data!AI62</f>
        <v>143969</v>
      </c>
      <c r="H140" s="14">
        <f>data!AJ62</f>
        <v>0</v>
      </c>
      <c r="I140" s="14">
        <f>data!AK62</f>
        <v>7424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345205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13141</v>
      </c>
      <c r="D142" s="14">
        <f>data!AF64</f>
        <v>0</v>
      </c>
      <c r="E142" s="14">
        <f>data!AG64</f>
        <v>123243</v>
      </c>
      <c r="F142" s="14">
        <f>data!AH64</f>
        <v>0</v>
      </c>
      <c r="G142" s="14">
        <f>data!AI64</f>
        <v>247652</v>
      </c>
      <c r="H142" s="14">
        <f>data!AJ64</f>
        <v>0</v>
      </c>
      <c r="I142" s="14">
        <f>data!AK64</f>
        <v>2164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5473</v>
      </c>
      <c r="D143" s="14">
        <f>data!AF65</f>
        <v>0</v>
      </c>
      <c r="E143" s="14">
        <f>data!AG65</f>
        <v>177</v>
      </c>
      <c r="F143" s="14">
        <f>data!AH65</f>
        <v>0</v>
      </c>
      <c r="G143" s="14">
        <f>data!AI65</f>
        <v>2814</v>
      </c>
      <c r="H143" s="14">
        <f>data!AJ65</f>
        <v>0</v>
      </c>
      <c r="I143" s="14">
        <f>data!AK65</f>
        <v>583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14760</v>
      </c>
      <c r="D144" s="14">
        <f>data!AF66</f>
        <v>0</v>
      </c>
      <c r="E144" s="14">
        <f>data!AG66</f>
        <v>26490</v>
      </c>
      <c r="F144" s="14">
        <f>data!AH66</f>
        <v>0</v>
      </c>
      <c r="G144" s="14">
        <f>data!AI66</f>
        <v>637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256073</v>
      </c>
      <c r="D145" s="14">
        <f>data!AF67</f>
        <v>0</v>
      </c>
      <c r="E145" s="14">
        <f>data!AG67</f>
        <v>258200</v>
      </c>
      <c r="F145" s="14">
        <f>data!AH67</f>
        <v>0</v>
      </c>
      <c r="G145" s="14">
        <f>data!AI67</f>
        <v>302631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91447</v>
      </c>
      <c r="D146" s="14">
        <f>data!AF68</f>
        <v>0</v>
      </c>
      <c r="E146" s="14">
        <f>data!AG68</f>
        <v>6447</v>
      </c>
      <c r="F146" s="14">
        <f>data!AH68</f>
        <v>0</v>
      </c>
      <c r="G146" s="14">
        <f>data!AI68</f>
        <v>2</v>
      </c>
      <c r="H146" s="14">
        <f>data!AJ68</f>
        <v>0</v>
      </c>
      <c r="I146" s="14">
        <f>data!AK68</f>
        <v>4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15955</v>
      </c>
      <c r="D147" s="14">
        <f>data!AF69</f>
        <v>0</v>
      </c>
      <c r="E147" s="14">
        <f>data!AG69</f>
        <v>40380</v>
      </c>
      <c r="F147" s="14">
        <f>data!AH69</f>
        <v>0</v>
      </c>
      <c r="G147" s="14">
        <f>data!AI69</f>
        <v>22029</v>
      </c>
      <c r="H147" s="14">
        <f>data!AJ69</f>
        <v>0</v>
      </c>
      <c r="I147" s="14">
        <f>data!AK69</f>
        <v>711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1160923</v>
      </c>
      <c r="D149" s="14">
        <f>data!AF71</f>
        <v>0</v>
      </c>
      <c r="E149" s="14">
        <f>data!AG71</f>
        <v>3514440</v>
      </c>
      <c r="F149" s="14">
        <f>data!AH71</f>
        <v>0</v>
      </c>
      <c r="G149" s="14">
        <f>data!AI71</f>
        <v>2678188</v>
      </c>
      <c r="H149" s="14">
        <f>data!AJ71</f>
        <v>0</v>
      </c>
      <c r="I149" s="14">
        <f>data!AK71</f>
        <v>111178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1188637</v>
      </c>
      <c r="D151" s="48">
        <f>+data!M697</f>
        <v>0</v>
      </c>
      <c r="E151" s="48">
        <f>+data!M698</f>
        <v>2798306</v>
      </c>
      <c r="F151" s="48">
        <f>+data!M699</f>
        <v>0</v>
      </c>
      <c r="G151" s="48">
        <f>+data!M700</f>
        <v>2356736</v>
      </c>
      <c r="H151" s="48">
        <f>+data!M701</f>
        <v>0</v>
      </c>
      <c r="I151" s="48">
        <f>+data!M702</f>
        <v>52157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2138365</v>
      </c>
      <c r="D152" s="14">
        <f>data!AF73</f>
        <v>0</v>
      </c>
      <c r="E152" s="14">
        <f>data!AG73</f>
        <v>9408065</v>
      </c>
      <c r="F152" s="14">
        <f>data!AH73</f>
        <v>0</v>
      </c>
      <c r="G152" s="14">
        <f>data!AI73</f>
        <v>1208215</v>
      </c>
      <c r="H152" s="14">
        <f>data!AJ73</f>
        <v>0</v>
      </c>
      <c r="I152" s="14">
        <f>data!AK73</f>
        <v>427209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2895940</v>
      </c>
      <c r="D153" s="14">
        <f>data!AF74</f>
        <v>0</v>
      </c>
      <c r="E153" s="14">
        <f>data!AG74</f>
        <v>38241151</v>
      </c>
      <c r="F153" s="14">
        <f>data!AH74</f>
        <v>0</v>
      </c>
      <c r="G153" s="14">
        <f>data!AI74</f>
        <v>6613216</v>
      </c>
      <c r="H153" s="14">
        <f>data!AJ74</f>
        <v>0</v>
      </c>
      <c r="I153" s="14">
        <f>data!AK74</f>
        <v>543378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5034305</v>
      </c>
      <c r="D154" s="14">
        <f>data!AF75</f>
        <v>0</v>
      </c>
      <c r="E154" s="14">
        <f>data!AG75</f>
        <v>47649216</v>
      </c>
      <c r="F154" s="14">
        <f>data!AH75</f>
        <v>0</v>
      </c>
      <c r="G154" s="14">
        <f>data!AI75</f>
        <v>7821431</v>
      </c>
      <c r="H154" s="14">
        <f>data!AJ75</f>
        <v>0</v>
      </c>
      <c r="I154" s="14">
        <f>data!AK75</f>
        <v>970587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4213</v>
      </c>
      <c r="D156" s="14">
        <f>data!AF76</f>
        <v>0</v>
      </c>
      <c r="E156" s="14">
        <f>data!AG76</f>
        <v>4248</v>
      </c>
      <c r="F156" s="14">
        <f>data!AH76</f>
        <v>0</v>
      </c>
      <c r="G156" s="14">
        <f>data!AI76</f>
        <v>4979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852</v>
      </c>
      <c r="D158" s="14">
        <f>data!AF78</f>
        <v>0</v>
      </c>
      <c r="E158" s="14">
        <f>data!AG78</f>
        <v>859</v>
      </c>
      <c r="F158" s="14">
        <f>data!AH78</f>
        <v>0</v>
      </c>
      <c r="G158" s="14">
        <f>data!AI78</f>
        <v>1006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6269</v>
      </c>
      <c r="D159" s="14">
        <f>data!AF79</f>
        <v>0</v>
      </c>
      <c r="E159" s="14">
        <f>data!AG79</f>
        <v>53037</v>
      </c>
      <c r="F159" s="14">
        <f>data!AH79</f>
        <v>0</v>
      </c>
      <c r="G159" s="14">
        <f>data!AI79</f>
        <v>37634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8.1300000000000008</v>
      </c>
      <c r="D160" s="26">
        <f>data!AF80</f>
        <v>0</v>
      </c>
      <c r="E160" s="26">
        <f>data!AG80</f>
        <v>22.28</v>
      </c>
      <c r="F160" s="26">
        <f>data!AH80</f>
        <v>0</v>
      </c>
      <c r="G160" s="26">
        <f>data!AI80</f>
        <v>20.36</v>
      </c>
      <c r="H160" s="26">
        <f>data!AJ80</f>
        <v>0</v>
      </c>
      <c r="I160" s="26">
        <f>data!AK80</f>
        <v>0.95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Capital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0.51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63885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63885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19833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91832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314637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406469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Capital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49136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5.0799999999999992</v>
      </c>
      <c r="G202" s="26">
        <f>data!AW60</f>
        <v>0</v>
      </c>
      <c r="H202" s="26">
        <f>data!AX60</f>
        <v>0</v>
      </c>
      <c r="I202" s="26">
        <f>data!AY60</f>
        <v>16.89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366540</v>
      </c>
      <c r="G203" s="14">
        <f>data!AW61</f>
        <v>0</v>
      </c>
      <c r="H203" s="14">
        <f>data!AX61</f>
        <v>0</v>
      </c>
      <c r="I203" s="14">
        <f>data!AY61</f>
        <v>854353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27508</v>
      </c>
      <c r="G204" s="14">
        <f>data!AW62</f>
        <v>0</v>
      </c>
      <c r="H204" s="14">
        <f>data!AX62</f>
        <v>0</v>
      </c>
      <c r="I204" s="14">
        <f>data!AY62</f>
        <v>62216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2084286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107840</v>
      </c>
      <c r="G206" s="14">
        <f>data!AW64</f>
        <v>0</v>
      </c>
      <c r="H206" s="14">
        <f>data!AX64</f>
        <v>0</v>
      </c>
      <c r="I206" s="14">
        <f>data!AY64</f>
        <v>588474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576</v>
      </c>
      <c r="G207" s="14">
        <f>data!AW65</f>
        <v>0</v>
      </c>
      <c r="H207" s="14">
        <f>data!AX65</f>
        <v>0</v>
      </c>
      <c r="I207" s="14">
        <f>data!AY65</f>
        <v>87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690607</v>
      </c>
      <c r="G208" s="14">
        <f>data!AW66</f>
        <v>0</v>
      </c>
      <c r="H208" s="14">
        <f>data!AX66</f>
        <v>0</v>
      </c>
      <c r="I208" s="14">
        <f>data!AY66</f>
        <v>4427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333022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9530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7805</v>
      </c>
      <c r="G211" s="14">
        <f>data!AW69</f>
        <v>0</v>
      </c>
      <c r="H211" s="14">
        <f>data!AX69</f>
        <v>0</v>
      </c>
      <c r="I211" s="14">
        <f>data!AY69</f>
        <v>25539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3294692</v>
      </c>
      <c r="G213" s="14">
        <f>data!AW71</f>
        <v>0</v>
      </c>
      <c r="H213" s="14">
        <f>data!AX71</f>
        <v>0</v>
      </c>
      <c r="I213" s="14">
        <f>data!AY71</f>
        <v>1868118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2050603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26339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6871392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6897731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5479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9088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1546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115.09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Capital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155374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7.31</v>
      </c>
      <c r="F234" s="26">
        <f>data!BC60</f>
        <v>0</v>
      </c>
      <c r="G234" s="26">
        <f>data!BD60</f>
        <v>5.72</v>
      </c>
      <c r="H234" s="26">
        <f>data!BE60</f>
        <v>6.3199999999999994</v>
      </c>
      <c r="I234" s="26">
        <f>data!BF60</f>
        <v>15.06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741912</v>
      </c>
      <c r="F235" s="14">
        <f>data!BC61</f>
        <v>0</v>
      </c>
      <c r="G235" s="14">
        <f>data!BD61</f>
        <v>338198</v>
      </c>
      <c r="H235" s="14">
        <f>data!BE61</f>
        <v>743254</v>
      </c>
      <c r="I235" s="14">
        <f>data!BF61</f>
        <v>573158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52323</v>
      </c>
      <c r="F236" s="14">
        <f>data!BC62</f>
        <v>0</v>
      </c>
      <c r="G236" s="14">
        <f>data!BD62</f>
        <v>24816</v>
      </c>
      <c r="H236" s="14">
        <f>data!BE62</f>
        <v>51278</v>
      </c>
      <c r="I236" s="14">
        <f>data!BF62</f>
        <v>43051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57498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4088</v>
      </c>
      <c r="F238" s="14">
        <f>data!BC64</f>
        <v>0</v>
      </c>
      <c r="G238" s="14">
        <f>data!BD64</f>
        <v>15333695</v>
      </c>
      <c r="H238" s="14">
        <f>data!BE64</f>
        <v>560</v>
      </c>
      <c r="I238" s="14">
        <f>data!BF64</f>
        <v>86553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6448</v>
      </c>
      <c r="F239" s="14">
        <f>data!BC65</f>
        <v>0</v>
      </c>
      <c r="G239" s="14">
        <f>data!BD65</f>
        <v>0</v>
      </c>
      <c r="H239" s="14">
        <f>data!BE65</f>
        <v>1059878</v>
      </c>
      <c r="I239" s="14">
        <f>data!BF65</f>
        <v>1332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29100</v>
      </c>
      <c r="F240" s="14">
        <f>data!BC66</f>
        <v>0</v>
      </c>
      <c r="G240" s="14">
        <f>data!BD66</f>
        <v>26995</v>
      </c>
      <c r="H240" s="14">
        <f>data!BE66</f>
        <v>99109</v>
      </c>
      <c r="I240" s="14">
        <f>data!BF66</f>
        <v>537565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44978</v>
      </c>
      <c r="F241" s="14">
        <f>data!BC67</f>
        <v>0</v>
      </c>
      <c r="G241" s="14">
        <f>data!BD67</f>
        <v>155905</v>
      </c>
      <c r="H241" s="14">
        <f>data!BE67</f>
        <v>1643411</v>
      </c>
      <c r="I241" s="14">
        <f>data!BF67</f>
        <v>139129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114</v>
      </c>
      <c r="F242" s="14">
        <f>data!BC68</f>
        <v>0</v>
      </c>
      <c r="G242" s="14">
        <f>data!BD68</f>
        <v>2737</v>
      </c>
      <c r="H242" s="14">
        <f>data!BE68</f>
        <v>1757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60150</v>
      </c>
      <c r="F243" s="14">
        <f>data!BC69</f>
        <v>0</v>
      </c>
      <c r="G243" s="14">
        <f>data!BD69</f>
        <v>106698</v>
      </c>
      <c r="H243" s="14">
        <f>data!BE69</f>
        <v>327592</v>
      </c>
      <c r="I243" s="14">
        <f>data!BF69</f>
        <v>1427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996611</v>
      </c>
      <c r="F245" s="14">
        <f>data!BC71</f>
        <v>0</v>
      </c>
      <c r="G245" s="14">
        <f>data!BD71</f>
        <v>15989044</v>
      </c>
      <c r="H245" s="14">
        <f>data!BE71</f>
        <v>3926839</v>
      </c>
      <c r="I245" s="14">
        <f>data!BF71</f>
        <v>1382215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740</v>
      </c>
      <c r="F252" s="85">
        <f>data!BC76</f>
        <v>0</v>
      </c>
      <c r="G252" s="85">
        <f>data!BD76</f>
        <v>2565</v>
      </c>
      <c r="H252" s="85">
        <f>data!BE76</f>
        <v>27038</v>
      </c>
      <c r="I252" s="85">
        <f>data!BF76</f>
        <v>2289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150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Capital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2.63</v>
      </c>
      <c r="D266" s="26">
        <f>data!BH60</f>
        <v>4.91</v>
      </c>
      <c r="E266" s="26">
        <f>data!BI60</f>
        <v>0</v>
      </c>
      <c r="F266" s="26">
        <f>data!BJ60</f>
        <v>4.5199999999999996</v>
      </c>
      <c r="G266" s="26">
        <f>data!BK60</f>
        <v>0</v>
      </c>
      <c r="H266" s="26">
        <f>data!BL60</f>
        <v>19.95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88249</v>
      </c>
      <c r="D267" s="14">
        <f>data!BH61</f>
        <v>394795</v>
      </c>
      <c r="E267" s="14">
        <f>data!BI61</f>
        <v>0</v>
      </c>
      <c r="F267" s="14">
        <f>data!BJ61</f>
        <v>346124</v>
      </c>
      <c r="G267" s="14">
        <f>data!BK61</f>
        <v>0</v>
      </c>
      <c r="H267" s="14">
        <f>data!BL61</f>
        <v>882180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6177</v>
      </c>
      <c r="D268" s="14">
        <f>data!BH62</f>
        <v>29554</v>
      </c>
      <c r="E268" s="14">
        <f>data!BI62</f>
        <v>0</v>
      </c>
      <c r="F268" s="14">
        <f>data!BJ62</f>
        <v>23173</v>
      </c>
      <c r="G268" s="14">
        <f>data!BK62</f>
        <v>0</v>
      </c>
      <c r="H268" s="14">
        <f>data!BL62</f>
        <v>65436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215</v>
      </c>
      <c r="D270" s="14">
        <f>data!BH64</f>
        <v>48704</v>
      </c>
      <c r="E270" s="14">
        <f>data!BI64</f>
        <v>0</v>
      </c>
      <c r="F270" s="14">
        <f>data!BJ64</f>
        <v>3829</v>
      </c>
      <c r="G270" s="14">
        <f>data!BK64</f>
        <v>519</v>
      </c>
      <c r="H270" s="14">
        <f>data!BL64</f>
        <v>53256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82605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633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1599425</v>
      </c>
      <c r="E272" s="14">
        <f>data!BI66</f>
        <v>0</v>
      </c>
      <c r="F272" s="14">
        <f>data!BJ66</f>
        <v>0</v>
      </c>
      <c r="G272" s="14">
        <f>data!BK66</f>
        <v>2225284</v>
      </c>
      <c r="H272" s="14">
        <f>data!BL66</f>
        <v>70210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20483</v>
      </c>
      <c r="D273" s="14">
        <f>data!BH67</f>
        <v>45708</v>
      </c>
      <c r="E273" s="14">
        <f>data!BI67</f>
        <v>0</v>
      </c>
      <c r="F273" s="14">
        <f>data!BJ67</f>
        <v>99378</v>
      </c>
      <c r="G273" s="14">
        <f>data!BK67</f>
        <v>0</v>
      </c>
      <c r="H273" s="14">
        <f>data!BL67</f>
        <v>109468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562</v>
      </c>
      <c r="G274" s="14">
        <f>data!BK68</f>
        <v>0</v>
      </c>
      <c r="H274" s="14">
        <f>data!BL68</f>
        <v>2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192027</v>
      </c>
      <c r="E275" s="14">
        <f>data!BI69</f>
        <v>0</v>
      </c>
      <c r="F275" s="14">
        <f>data!BJ69</f>
        <v>817</v>
      </c>
      <c r="G275" s="14">
        <f>data!BK69</f>
        <v>63</v>
      </c>
      <c r="H275" s="14">
        <f>data!BL69</f>
        <v>16208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115124</v>
      </c>
      <c r="D277" s="14">
        <f>data!BH71</f>
        <v>2392818</v>
      </c>
      <c r="E277" s="14">
        <f>data!BI71</f>
        <v>0</v>
      </c>
      <c r="F277" s="14">
        <f>data!BJ71</f>
        <v>473883</v>
      </c>
      <c r="G277" s="14">
        <f>data!BK71</f>
        <v>2225866</v>
      </c>
      <c r="H277" s="14">
        <f>data!BL71</f>
        <v>1197393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337</v>
      </c>
      <c r="D284" s="85">
        <f>data!BH76</f>
        <v>752</v>
      </c>
      <c r="E284" s="85">
        <f>data!BI76</f>
        <v>0</v>
      </c>
      <c r="F284" s="85">
        <f>data!BJ76</f>
        <v>1635</v>
      </c>
      <c r="G284" s="85">
        <f>data!BK76</f>
        <v>0</v>
      </c>
      <c r="H284" s="85">
        <f>data!BL76</f>
        <v>1801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152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364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Capital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7.92</v>
      </c>
      <c r="D298" s="26">
        <f>data!BO60</f>
        <v>0</v>
      </c>
      <c r="E298" s="26">
        <f>data!BP60</f>
        <v>0.69</v>
      </c>
      <c r="F298" s="26">
        <f>data!BQ60</f>
        <v>0</v>
      </c>
      <c r="G298" s="26">
        <f>data!BR60</f>
        <v>3.9400000000000004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1991798</v>
      </c>
      <c r="D299" s="14">
        <f>data!BO61</f>
        <v>0</v>
      </c>
      <c r="E299" s="14">
        <f>data!BP61</f>
        <v>37743</v>
      </c>
      <c r="F299" s="14">
        <f>data!BQ61</f>
        <v>0</v>
      </c>
      <c r="G299" s="14">
        <f>data!BR61</f>
        <v>334055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52609</v>
      </c>
      <c r="D300" s="14">
        <f>data!BO62</f>
        <v>0</v>
      </c>
      <c r="E300" s="14">
        <f>data!BP62</f>
        <v>3333</v>
      </c>
      <c r="F300" s="14">
        <f>data!BQ62</f>
        <v>0</v>
      </c>
      <c r="G300" s="14">
        <f>data!BR62</f>
        <v>3576644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16183</v>
      </c>
      <c r="D302" s="14">
        <f>data!BO64</f>
        <v>0</v>
      </c>
      <c r="E302" s="14">
        <f>data!BP64</f>
        <v>16717</v>
      </c>
      <c r="F302" s="14">
        <f>data!BQ64</f>
        <v>0</v>
      </c>
      <c r="G302" s="14">
        <f>data!BR64</f>
        <v>9798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194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1023231</v>
      </c>
      <c r="D304" s="14">
        <f>data!BO66</f>
        <v>0</v>
      </c>
      <c r="E304" s="14">
        <f>data!BP66</f>
        <v>10557</v>
      </c>
      <c r="F304" s="14">
        <f>data!BQ66</f>
        <v>0</v>
      </c>
      <c r="G304" s="14">
        <f>data!BR66</f>
        <v>81750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235528</v>
      </c>
      <c r="D305" s="14">
        <f>data!BO67</f>
        <v>0</v>
      </c>
      <c r="E305" s="14">
        <f>data!BP67</f>
        <v>44310</v>
      </c>
      <c r="F305" s="14">
        <f>data!BQ67</f>
        <v>0</v>
      </c>
      <c r="G305" s="14">
        <f>data!BR67</f>
        <v>61572</v>
      </c>
      <c r="H305" s="14">
        <f>data!BS67</f>
        <v>17384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89380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39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3823852</v>
      </c>
      <c r="D307" s="14">
        <f>data!BO69</f>
        <v>0</v>
      </c>
      <c r="E307" s="14">
        <f>data!BP69</f>
        <v>148562</v>
      </c>
      <c r="F307" s="14">
        <f>data!BQ69</f>
        <v>0</v>
      </c>
      <c r="G307" s="14">
        <f>data!BR69</f>
        <v>299708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7232775</v>
      </c>
      <c r="D309" s="14">
        <f>data!BO71</f>
        <v>0</v>
      </c>
      <c r="E309" s="14">
        <f>data!BP71</f>
        <v>261222</v>
      </c>
      <c r="F309" s="14">
        <f>data!BQ71</f>
        <v>0</v>
      </c>
      <c r="G309" s="14">
        <f>data!BR71</f>
        <v>4363566</v>
      </c>
      <c r="H309" s="14">
        <f>data!BS71</f>
        <v>17384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3875</v>
      </c>
      <c r="D316" s="85">
        <f>data!BO76</f>
        <v>0</v>
      </c>
      <c r="E316" s="85">
        <f>data!BP76</f>
        <v>729</v>
      </c>
      <c r="F316" s="85">
        <f>data!BQ76</f>
        <v>0</v>
      </c>
      <c r="G316" s="85">
        <f>data!BR76</f>
        <v>1013</v>
      </c>
      <c r="H316" s="85">
        <f>data!BS76</f>
        <v>286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58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Capital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11.31</v>
      </c>
      <c r="E330" s="26">
        <f>data!BW60</f>
        <v>1.3</v>
      </c>
      <c r="F330" s="26">
        <f>data!BX60</f>
        <v>2.86</v>
      </c>
      <c r="G330" s="26">
        <f>data!BY60</f>
        <v>6.97</v>
      </c>
      <c r="H330" s="26">
        <f>data!BZ60</f>
        <v>0</v>
      </c>
      <c r="I330" s="26">
        <f>data!CA60</f>
        <v>1.65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620472</v>
      </c>
      <c r="E331" s="86">
        <f>data!BW61</f>
        <v>103200</v>
      </c>
      <c r="F331" s="86">
        <f>data!BX61</f>
        <v>276686</v>
      </c>
      <c r="G331" s="86">
        <f>data!BY61</f>
        <v>771074</v>
      </c>
      <c r="H331" s="86">
        <f>data!BZ61</f>
        <v>0</v>
      </c>
      <c r="I331" s="86">
        <f>data!CA61</f>
        <v>181706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44776</v>
      </c>
      <c r="E332" s="86">
        <f>data!BW62</f>
        <v>7853</v>
      </c>
      <c r="F332" s="86">
        <f>data!BX62</f>
        <v>20859</v>
      </c>
      <c r="G332" s="86">
        <f>data!BY62</f>
        <v>58331</v>
      </c>
      <c r="H332" s="86">
        <f>data!BZ62</f>
        <v>0</v>
      </c>
      <c r="I332" s="86">
        <f>data!CA62</f>
        <v>13467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34300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24772</v>
      </c>
      <c r="E334" s="86">
        <f>data!BW64</f>
        <v>2608</v>
      </c>
      <c r="F334" s="86">
        <f>data!BX64</f>
        <v>3025</v>
      </c>
      <c r="G334" s="86">
        <f>data!BY64</f>
        <v>779</v>
      </c>
      <c r="H334" s="86">
        <f>data!BZ64</f>
        <v>0</v>
      </c>
      <c r="I334" s="86">
        <f>data!CA64</f>
        <v>861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134</v>
      </c>
      <c r="E335" s="86">
        <f>data!BW65</f>
        <v>0</v>
      </c>
      <c r="F335" s="86">
        <f>data!BX65</f>
        <v>124</v>
      </c>
      <c r="G335" s="86">
        <f>data!BY65</f>
        <v>600</v>
      </c>
      <c r="H335" s="86">
        <f>data!BZ65</f>
        <v>0</v>
      </c>
      <c r="I335" s="86">
        <f>data!CA65</f>
        <v>88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329699</v>
      </c>
      <c r="E336" s="86">
        <f>data!BW66</f>
        <v>-5575</v>
      </c>
      <c r="F336" s="86">
        <f>data!BX66</f>
        <v>230503</v>
      </c>
      <c r="G336" s="86">
        <f>data!BY66</f>
        <v>283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203922</v>
      </c>
      <c r="D337" s="86">
        <f>data!BV67</f>
        <v>0</v>
      </c>
      <c r="E337" s="86">
        <f>data!BW67</f>
        <v>0</v>
      </c>
      <c r="F337" s="86">
        <f>data!BX67</f>
        <v>5045</v>
      </c>
      <c r="G337" s="86">
        <f>data!BY67</f>
        <v>70810</v>
      </c>
      <c r="H337" s="86">
        <f>data!BZ67</f>
        <v>0</v>
      </c>
      <c r="I337" s="86">
        <f>data!CA67</f>
        <v>136090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66470</v>
      </c>
      <c r="E338" s="86">
        <f>data!BW68</f>
        <v>865</v>
      </c>
      <c r="F338" s="86">
        <f>data!BX68</f>
        <v>0</v>
      </c>
      <c r="G338" s="86">
        <f>data!BY68</f>
        <v>297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4592</v>
      </c>
      <c r="E339" s="86">
        <f>data!BW69</f>
        <v>6628</v>
      </c>
      <c r="F339" s="86">
        <f>data!BX69</f>
        <v>35440</v>
      </c>
      <c r="G339" s="86">
        <f>data!BY69</f>
        <v>62</v>
      </c>
      <c r="H339" s="86">
        <f>data!BZ69</f>
        <v>0</v>
      </c>
      <c r="I339" s="86">
        <f>data!CA69</f>
        <v>11537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203922</v>
      </c>
      <c r="D341" s="14">
        <f>data!BV71</f>
        <v>1090915</v>
      </c>
      <c r="E341" s="14">
        <f>data!BW71</f>
        <v>115579</v>
      </c>
      <c r="F341" s="14">
        <f>data!BX71</f>
        <v>605982</v>
      </c>
      <c r="G341" s="14">
        <f>data!BY71</f>
        <v>902236</v>
      </c>
      <c r="H341" s="14">
        <f>data!BZ71</f>
        <v>0</v>
      </c>
      <c r="I341" s="14">
        <f>data!CA71</f>
        <v>343749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3355</v>
      </c>
      <c r="D348" s="85">
        <f>data!BV76</f>
        <v>0</v>
      </c>
      <c r="E348" s="85">
        <f>data!BW76</f>
        <v>0</v>
      </c>
      <c r="F348" s="85">
        <f>data!BX76</f>
        <v>83</v>
      </c>
      <c r="G348" s="85">
        <f>data!BY76</f>
        <v>1165</v>
      </c>
      <c r="H348" s="85">
        <f>data!BZ76</f>
        <v>0</v>
      </c>
      <c r="I348" s="85">
        <f>data!CA76</f>
        <v>2239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678</v>
      </c>
      <c r="E350" s="85">
        <f>data!BW78</f>
        <v>0</v>
      </c>
      <c r="F350" s="85">
        <f>data!BX78</f>
        <v>17</v>
      </c>
      <c r="G350" s="85">
        <f>data!BY78</f>
        <v>235</v>
      </c>
      <c r="H350" s="85">
        <f>data!BZ78</f>
        <v>0</v>
      </c>
      <c r="I350" s="85">
        <f>data!CA78</f>
        <v>452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Capital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445.61999999999995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38926654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6247411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4232830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22233672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1174664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9046485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9443868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1860269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16992661</v>
      </c>
      <c r="F371" s="219"/>
      <c r="G371" s="219"/>
      <c r="H371" s="219"/>
      <c r="I371" s="86">
        <f>data!CE69</f>
        <v>24314127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301063</v>
      </c>
      <c r="F372" s="220"/>
      <c r="G372" s="220"/>
      <c r="H372" s="220"/>
      <c r="I372" s="14">
        <f>-data!CE70</f>
        <v>-301063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16691598</v>
      </c>
      <c r="F373" s="219"/>
      <c r="G373" s="219"/>
      <c r="H373" s="219"/>
      <c r="I373" s="14">
        <f>data!CE71</f>
        <v>117178917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290843001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305549505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596392506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155374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49136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31407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555251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388.74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Capital Medical Center Year End Report</dc:title>
  <dc:subject>2018 Capital Medical Center Year End Report</dc:subject>
  <dc:creator>Washington State Dept of Health - HSQA - Community Health Systems</dc:creator>
  <cp:keywords>hospital financial reports</cp:keywords>
  <cp:lastModifiedBy>Huyck, Randall  (DOH)</cp:lastModifiedBy>
  <cp:lastPrinted>2019-04-17T20:30:10Z</cp:lastPrinted>
  <dcterms:created xsi:type="dcterms:W3CDTF">1999-06-02T22:01:56Z</dcterms:created>
  <dcterms:modified xsi:type="dcterms:W3CDTF">2019-05-08T20:23:35Z</dcterms:modified>
</cp:coreProperties>
</file>