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data!$DR$823:$DR$868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496" i="1" l="1"/>
  <c r="AV74" i="1" l="1"/>
  <c r="AV73" i="1"/>
  <c r="P74" i="1"/>
  <c r="P73" i="1"/>
  <c r="Y69" i="1"/>
  <c r="BH69" i="1"/>
  <c r="CC66" i="1"/>
  <c r="BE66" i="1"/>
  <c r="C383" i="1"/>
  <c r="C378" i="1"/>
  <c r="CC61" i="1"/>
  <c r="P64" i="1"/>
  <c r="AB64" i="1"/>
  <c r="E61" i="1"/>
  <c r="E59" i="1" l="1"/>
  <c r="E60" i="1" l="1"/>
  <c r="E47" i="1"/>
  <c r="C380" i="1" l="1"/>
  <c r="C389" i="1"/>
  <c r="B141" i="1" l="1"/>
  <c r="O817" i="11" l="1"/>
  <c r="M817" i="11"/>
  <c r="K817" i="11"/>
  <c r="J817" i="11"/>
  <c r="H817" i="11"/>
  <c r="G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H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H794" i="11"/>
  <c r="G794" i="11"/>
  <c r="F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H791" i="11"/>
  <c r="F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K787" i="11"/>
  <c r="H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R779" i="11"/>
  <c r="Q779" i="11"/>
  <c r="P779" i="11"/>
  <c r="M779" i="11"/>
  <c r="L779" i="11"/>
  <c r="K779" i="11"/>
  <c r="I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Q769" i="11"/>
  <c r="P769" i="11"/>
  <c r="O769" i="11"/>
  <c r="M769" i="11"/>
  <c r="L769" i="11"/>
  <c r="K769" i="11"/>
  <c r="I769" i="11"/>
  <c r="H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M764" i="11"/>
  <c r="L764" i="11"/>
  <c r="K764" i="11"/>
  <c r="I764" i="11"/>
  <c r="H764" i="11"/>
  <c r="G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Q760" i="11"/>
  <c r="P760" i="11"/>
  <c r="O760" i="11"/>
  <c r="M760" i="11"/>
  <c r="L760" i="11"/>
  <c r="K760" i="11"/>
  <c r="I760" i="11"/>
  <c r="H760" i="11"/>
  <c r="F760" i="11"/>
  <c r="D760" i="11"/>
  <c r="C760" i="11"/>
  <c r="B760" i="11"/>
  <c r="A760" i="11"/>
  <c r="T759" i="11"/>
  <c r="S759" i="11"/>
  <c r="R759" i="11"/>
  <c r="Q759" i="11"/>
  <c r="P759" i="11"/>
  <c r="M759" i="11"/>
  <c r="L759" i="11"/>
  <c r="K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Q756" i="11"/>
  <c r="P756" i="11"/>
  <c r="O756" i="11"/>
  <c r="M756" i="11"/>
  <c r="L756" i="11"/>
  <c r="K756" i="11"/>
  <c r="I756" i="11"/>
  <c r="H756" i="11"/>
  <c r="G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M752" i="11"/>
  <c r="L752" i="11"/>
  <c r="K752" i="11"/>
  <c r="I752" i="11"/>
  <c r="H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P736" i="11"/>
  <c r="M736" i="11"/>
  <c r="K736" i="11"/>
  <c r="H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B730" i="11"/>
  <c r="CA730" i="11"/>
  <c r="BZ730" i="11"/>
  <c r="BY730" i="11"/>
  <c r="BX730" i="11"/>
  <c r="BW730" i="11"/>
  <c r="BU730" i="11"/>
  <c r="BT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F550" i="11"/>
  <c r="E550" i="11"/>
  <c r="F546" i="11"/>
  <c r="E546" i="11"/>
  <c r="E545" i="11"/>
  <c r="E544" i="11"/>
  <c r="H540" i="11"/>
  <c r="F540" i="11"/>
  <c r="E540" i="11"/>
  <c r="H539" i="11"/>
  <c r="F539" i="11"/>
  <c r="E539" i="11"/>
  <c r="H538" i="11"/>
  <c r="F538" i="11"/>
  <c r="E538" i="11"/>
  <c r="F537" i="11"/>
  <c r="E537" i="11"/>
  <c r="H537" i="11"/>
  <c r="E536" i="11"/>
  <c r="E535" i="11"/>
  <c r="E534" i="11"/>
  <c r="F534" i="11"/>
  <c r="E533" i="11"/>
  <c r="H532" i="11"/>
  <c r="F532" i="11"/>
  <c r="E532" i="11"/>
  <c r="F531" i="11"/>
  <c r="E531" i="11"/>
  <c r="H530" i="11"/>
  <c r="F530" i="11"/>
  <c r="E530" i="11"/>
  <c r="F529" i="11"/>
  <c r="E529" i="11"/>
  <c r="E528" i="11"/>
  <c r="F528" i="11"/>
  <c r="F527" i="11"/>
  <c r="E527" i="11"/>
  <c r="H527" i="11"/>
  <c r="F526" i="11"/>
  <c r="E526" i="11"/>
  <c r="E525" i="11"/>
  <c r="H525" i="11"/>
  <c r="E524" i="11"/>
  <c r="H523" i="11"/>
  <c r="F523" i="11"/>
  <c r="E523" i="11"/>
  <c r="E522" i="11"/>
  <c r="F521" i="11"/>
  <c r="F520" i="11"/>
  <c r="E520" i="11"/>
  <c r="E519" i="11"/>
  <c r="H519" i="11"/>
  <c r="E518" i="11"/>
  <c r="E517" i="11"/>
  <c r="F517" i="11"/>
  <c r="E516" i="11"/>
  <c r="F515" i="11"/>
  <c r="E515" i="11"/>
  <c r="E514" i="11"/>
  <c r="F514" i="11"/>
  <c r="F513" i="11"/>
  <c r="E511" i="11"/>
  <c r="E510" i="11"/>
  <c r="F510" i="11"/>
  <c r="E509" i="11"/>
  <c r="F508" i="11"/>
  <c r="E508" i="11"/>
  <c r="F507" i="11"/>
  <c r="E507" i="11"/>
  <c r="H507" i="11"/>
  <c r="F506" i="11"/>
  <c r="E506" i="11"/>
  <c r="H506" i="11"/>
  <c r="H505" i="11"/>
  <c r="F505" i="11"/>
  <c r="E505" i="11"/>
  <c r="E504" i="11"/>
  <c r="F503" i="11"/>
  <c r="E503" i="11"/>
  <c r="H503" i="11"/>
  <c r="H502" i="11"/>
  <c r="E502" i="11"/>
  <c r="F502" i="11"/>
  <c r="H501" i="11"/>
  <c r="E501" i="11"/>
  <c r="F501" i="11"/>
  <c r="H500" i="11"/>
  <c r="F500" i="11"/>
  <c r="E500" i="11"/>
  <c r="E499" i="11"/>
  <c r="H499" i="11"/>
  <c r="F498" i="11"/>
  <c r="H497" i="11"/>
  <c r="F497" i="11"/>
  <c r="E497" i="11"/>
  <c r="E496" i="11"/>
  <c r="G493" i="11"/>
  <c r="E493" i="11"/>
  <c r="C493" i="11"/>
  <c r="A493" i="11"/>
  <c r="B478" i="11"/>
  <c r="B475" i="11"/>
  <c r="B474" i="11"/>
  <c r="B473" i="11"/>
  <c r="B472" i="11"/>
  <c r="B471" i="11"/>
  <c r="B470" i="11"/>
  <c r="B469" i="11"/>
  <c r="B468" i="11"/>
  <c r="B464" i="11"/>
  <c r="B463" i="11"/>
  <c r="C459" i="11"/>
  <c r="B459" i="11"/>
  <c r="B458" i="11"/>
  <c r="B455" i="11"/>
  <c r="B454" i="11"/>
  <c r="B453" i="11"/>
  <c r="C447" i="11"/>
  <c r="C446" i="11"/>
  <c r="B446" i="11"/>
  <c r="C445" i="11"/>
  <c r="C444" i="11"/>
  <c r="B439" i="11"/>
  <c r="C438" i="11"/>
  <c r="B438" i="11"/>
  <c r="B437" i="11"/>
  <c r="B436" i="11"/>
  <c r="B435" i="11"/>
  <c r="B434" i="11"/>
  <c r="B433" i="11"/>
  <c r="B431" i="11"/>
  <c r="B430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90" i="11"/>
  <c r="B441" i="11" s="1"/>
  <c r="C389" i="11"/>
  <c r="C383" i="11"/>
  <c r="B432" i="11" s="1"/>
  <c r="C380" i="11"/>
  <c r="BS730" i="11" s="1"/>
  <c r="D372" i="11"/>
  <c r="D367" i="11"/>
  <c r="D361" i="11"/>
  <c r="N817" i="11" s="1"/>
  <c r="D330" i="11"/>
  <c r="D329" i="11"/>
  <c r="D328" i="11"/>
  <c r="D319" i="11"/>
  <c r="D314" i="11"/>
  <c r="D339" i="11" s="1"/>
  <c r="C482" i="11" s="1"/>
  <c r="D290" i="11"/>
  <c r="D283" i="11"/>
  <c r="D277" i="11"/>
  <c r="D275" i="11"/>
  <c r="B476" i="11" s="1"/>
  <c r="D265" i="11"/>
  <c r="D260" i="11"/>
  <c r="D292" i="11" s="1"/>
  <c r="D341" i="11" s="1"/>
  <c r="C481" i="11" s="1"/>
  <c r="D240" i="11"/>
  <c r="B447" i="11" s="1"/>
  <c r="D236" i="11"/>
  <c r="D229" i="11"/>
  <c r="B445" i="11" s="1"/>
  <c r="C227" i="11"/>
  <c r="BX722" i="11" s="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C474" i="11" s="1"/>
  <c r="E201" i="11"/>
  <c r="E200" i="11"/>
  <c r="C473" i="11" s="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437" i="11" s="1"/>
  <c r="D186" i="11"/>
  <c r="D436" i="11" s="1"/>
  <c r="D181" i="11"/>
  <c r="D435" i="11" s="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E141" i="11"/>
  <c r="D463" i="11" s="1"/>
  <c r="E140" i="11"/>
  <c r="E139" i="11"/>
  <c r="C415" i="11" s="1"/>
  <c r="E138" i="11"/>
  <c r="C414" i="11" s="1"/>
  <c r="E127" i="11"/>
  <c r="CE80" i="11"/>
  <c r="CF79" i="11"/>
  <c r="AV79" i="11"/>
  <c r="S779" i="11" s="1"/>
  <c r="Y79" i="11"/>
  <c r="S756" i="11" s="1"/>
  <c r="E79" i="11"/>
  <c r="AL78" i="11"/>
  <c r="R769" i="11" s="1"/>
  <c r="AC78" i="11"/>
  <c r="R760" i="11" s="1"/>
  <c r="Y78" i="11"/>
  <c r="R756" i="11" s="1"/>
  <c r="E78" i="11"/>
  <c r="R736" i="11" s="1"/>
  <c r="CE77" i="11"/>
  <c r="CF77" i="11" s="1"/>
  <c r="E77" i="11"/>
  <c r="Q736" i="11" s="1"/>
  <c r="CE76" i="1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F75" i="11"/>
  <c r="N763" i="11" s="1"/>
  <c r="AD75" i="11"/>
  <c r="N761" i="11" s="1"/>
  <c r="AC75" i="11"/>
  <c r="N760" i="11" s="1"/>
  <c r="AA75" i="11"/>
  <c r="N758" i="11" s="1"/>
  <c r="Z75" i="11"/>
  <c r="N757" i="11" s="1"/>
  <c r="Y75" i="11"/>
  <c r="N756" i="11" s="1"/>
  <c r="X75" i="11"/>
  <c r="N755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D75" i="11"/>
  <c r="N735" i="11" s="1"/>
  <c r="C75" i="11"/>
  <c r="N734" i="11" s="1"/>
  <c r="AV74" i="11"/>
  <c r="AL74" i="11"/>
  <c r="AG74" i="11"/>
  <c r="AG75" i="11" s="1"/>
  <c r="N764" i="11" s="1"/>
  <c r="AE74" i="11"/>
  <c r="AE75" i="11" s="1"/>
  <c r="N762" i="11" s="1"/>
  <c r="AB74" i="11"/>
  <c r="W74" i="11"/>
  <c r="W75" i="11" s="1"/>
  <c r="N754" i="11" s="1"/>
  <c r="U74" i="11"/>
  <c r="E74" i="11"/>
  <c r="AV73" i="11"/>
  <c r="O779" i="11" s="1"/>
  <c r="AG73" i="11"/>
  <c r="O764" i="11" s="1"/>
  <c r="AB73" i="11"/>
  <c r="O759" i="11" s="1"/>
  <c r="V73" i="11"/>
  <c r="O753" i="11" s="1"/>
  <c r="U73" i="11"/>
  <c r="E73" i="11"/>
  <c r="O736" i="11" s="1"/>
  <c r="CD71" i="11"/>
  <c r="C575" i="11" s="1"/>
  <c r="CE70" i="11"/>
  <c r="BD69" i="11"/>
  <c r="L787" i="11" s="1"/>
  <c r="E69" i="11"/>
  <c r="CE68" i="11"/>
  <c r="K816" i="11" s="1"/>
  <c r="BK68" i="11"/>
  <c r="K794" i="11" s="1"/>
  <c r="CC66" i="11"/>
  <c r="I812" i="11" s="1"/>
  <c r="BK66" i="11"/>
  <c r="I794" i="11" s="1"/>
  <c r="BH66" i="11"/>
  <c r="I791" i="11" s="1"/>
  <c r="BE66" i="11"/>
  <c r="I788" i="11" s="1"/>
  <c r="BD66" i="11"/>
  <c r="I787" i="11" s="1"/>
  <c r="AB66" i="11"/>
  <c r="I759" i="11" s="1"/>
  <c r="E66" i="11"/>
  <c r="AV65" i="11"/>
  <c r="CC64" i="11"/>
  <c r="G812" i="11" s="1"/>
  <c r="BH64" i="11"/>
  <c r="G791" i="11" s="1"/>
  <c r="BD64" i="11"/>
  <c r="G787" i="11" s="1"/>
  <c r="AV64" i="11"/>
  <c r="G779" i="11" s="1"/>
  <c r="AL64" i="11"/>
  <c r="G769" i="11" s="1"/>
  <c r="AC64" i="11"/>
  <c r="G760" i="11" s="1"/>
  <c r="U64" i="11"/>
  <c r="G752" i="11" s="1"/>
  <c r="E64" i="11"/>
  <c r="G736" i="11" s="1"/>
  <c r="CC63" i="11"/>
  <c r="F812" i="11" s="1"/>
  <c r="BY63" i="11"/>
  <c r="F808" i="11" s="1"/>
  <c r="BN63" i="11"/>
  <c r="F797" i="11" s="1"/>
  <c r="AV63" i="11"/>
  <c r="F779" i="11" s="1"/>
  <c r="AG63" i="11"/>
  <c r="F764" i="11" s="1"/>
  <c r="Y63" i="11"/>
  <c r="E63" i="11"/>
  <c r="F736" i="11" s="1"/>
  <c r="CC61" i="11"/>
  <c r="BK61" i="11"/>
  <c r="D794" i="11" s="1"/>
  <c r="BH61" i="11"/>
  <c r="Y61" i="11"/>
  <c r="E61" i="11"/>
  <c r="D736" i="11" s="1"/>
  <c r="CC60" i="11"/>
  <c r="C812" i="11" s="1"/>
  <c r="BK60" i="11"/>
  <c r="C794" i="11" s="1"/>
  <c r="BH60" i="11"/>
  <c r="C791" i="11" s="1"/>
  <c r="Y60" i="11"/>
  <c r="C756" i="11" s="1"/>
  <c r="E60" i="11"/>
  <c r="C736" i="11" s="1"/>
  <c r="E59" i="11"/>
  <c r="B736" i="11" s="1"/>
  <c r="B53" i="11"/>
  <c r="CE51" i="11"/>
  <c r="CC47" i="11"/>
  <c r="BK47" i="11"/>
  <c r="BH47" i="11"/>
  <c r="AL47" i="11"/>
  <c r="Y47" i="11"/>
  <c r="E47" i="11"/>
  <c r="C434" i="11" l="1"/>
  <c r="CE60" i="11"/>
  <c r="H612" i="11" s="1"/>
  <c r="B440" i="11"/>
  <c r="B444" i="11"/>
  <c r="P815" i="11"/>
  <c r="CE47" i="11"/>
  <c r="CE61" i="11"/>
  <c r="Q815" i="11"/>
  <c r="D464" i="11"/>
  <c r="D465" i="11" s="1"/>
  <c r="D438" i="11"/>
  <c r="B465" i="11"/>
  <c r="F756" i="11"/>
  <c r="F815" i="11" s="1"/>
  <c r="CE63" i="11"/>
  <c r="CE74" i="11"/>
  <c r="C464" i="11" s="1"/>
  <c r="O48" i="11"/>
  <c r="O62" i="11" s="1"/>
  <c r="AB48" i="11"/>
  <c r="AB62" i="11" s="1"/>
  <c r="AO48" i="11"/>
  <c r="AO62" i="11" s="1"/>
  <c r="BA48" i="11"/>
  <c r="BA62" i="11" s="1"/>
  <c r="BN48" i="11"/>
  <c r="BN62" i="11" s="1"/>
  <c r="C816" i="11"/>
  <c r="B47" i="11"/>
  <c r="B49" i="11" s="1"/>
  <c r="O752" i="11"/>
  <c r="CE73" i="11"/>
  <c r="U75" i="11"/>
  <c r="N752" i="11" s="1"/>
  <c r="C448" i="11"/>
  <c r="D368" i="11"/>
  <c r="D373" i="11" s="1"/>
  <c r="D391" i="11" s="1"/>
  <c r="D393" i="11" s="1"/>
  <c r="D396" i="11" s="1"/>
  <c r="AS48" i="11"/>
  <c r="AS62" i="11" s="1"/>
  <c r="G48" i="11"/>
  <c r="G62" i="11" s="1"/>
  <c r="AG48" i="11"/>
  <c r="AG62" i="11" s="1"/>
  <c r="BF48" i="11"/>
  <c r="BF62" i="11" s="1"/>
  <c r="BU48" i="11"/>
  <c r="BU62" i="11" s="1"/>
  <c r="I48" i="11"/>
  <c r="I62" i="11" s="1"/>
  <c r="U48" i="11"/>
  <c r="U62" i="11" s="1"/>
  <c r="AH48" i="11"/>
  <c r="AH62" i="11" s="1"/>
  <c r="AU48" i="11"/>
  <c r="AU62" i="11" s="1"/>
  <c r="BH48" i="11"/>
  <c r="BH62" i="11" s="1"/>
  <c r="BV48" i="11"/>
  <c r="BV62" i="11" s="1"/>
  <c r="T48" i="11"/>
  <c r="T62" i="11" s="1"/>
  <c r="J48" i="11"/>
  <c r="J62" i="11" s="1"/>
  <c r="W48" i="11"/>
  <c r="W62" i="11" s="1"/>
  <c r="AJ48" i="11"/>
  <c r="AJ62" i="11" s="1"/>
  <c r="AW48" i="11"/>
  <c r="AW62" i="11" s="1"/>
  <c r="BI48" i="11"/>
  <c r="BI62" i="11" s="1"/>
  <c r="H779" i="11"/>
  <c r="H815" i="11" s="1"/>
  <c r="CE65" i="11"/>
  <c r="F522" i="11"/>
  <c r="D812" i="11"/>
  <c r="D816" i="11"/>
  <c r="C427" i="1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H62" i="11" s="1"/>
  <c r="BZ48" i="11"/>
  <c r="BZ62" i="11" s="1"/>
  <c r="BR48" i="11"/>
  <c r="BR62" i="11" s="1"/>
  <c r="BJ48" i="11"/>
  <c r="BJ62" i="11" s="1"/>
  <c r="BB48" i="11"/>
  <c r="BB62" i="11" s="1"/>
  <c r="AT48" i="11"/>
  <c r="AT62" i="11" s="1"/>
  <c r="AL48" i="11"/>
  <c r="AL62" i="11" s="1"/>
  <c r="AD48" i="11"/>
  <c r="AD62" i="11" s="1"/>
  <c r="V48" i="11"/>
  <c r="V62" i="11" s="1"/>
  <c r="N48" i="11"/>
  <c r="N62" i="11" s="1"/>
  <c r="F48" i="11"/>
  <c r="F62" i="11" s="1"/>
  <c r="BY48" i="11"/>
  <c r="BY62" i="11" s="1"/>
  <c r="BQ48" i="11"/>
  <c r="BQ62" i="11" s="1"/>
  <c r="BW48" i="11"/>
  <c r="BW62" i="11" s="1"/>
  <c r="BO48" i="11"/>
  <c r="BO62" i="11" s="1"/>
  <c r="BG48" i="11"/>
  <c r="BG62" i="11" s="1"/>
  <c r="AY48" i="11"/>
  <c r="AY62" i="11" s="1"/>
  <c r="AQ48" i="11"/>
  <c r="AQ62" i="11" s="1"/>
  <c r="AI48" i="11"/>
  <c r="AI62" i="11" s="1"/>
  <c r="AA48" i="11"/>
  <c r="AA62" i="11" s="1"/>
  <c r="S48" i="11"/>
  <c r="S62" i="11" s="1"/>
  <c r="K48" i="11"/>
  <c r="K62" i="11" s="1"/>
  <c r="C48" i="11"/>
  <c r="I736" i="11"/>
  <c r="I815" i="11" s="1"/>
  <c r="CE66" i="11"/>
  <c r="AB75" i="11"/>
  <c r="N759" i="11" s="1"/>
  <c r="T816" i="11"/>
  <c r="L612" i="11"/>
  <c r="E498" i="11"/>
  <c r="F516" i="11"/>
  <c r="F519" i="11"/>
  <c r="L736" i="11"/>
  <c r="C439" i="11"/>
  <c r="CE69" i="11"/>
  <c r="E75" i="11"/>
  <c r="N736" i="11" s="1"/>
  <c r="E217" i="11"/>
  <c r="C478" i="11" s="1"/>
  <c r="F496" i="11"/>
  <c r="F511" i="11"/>
  <c r="F525" i="11"/>
  <c r="D242" i="11"/>
  <c r="B448" i="11" s="1"/>
  <c r="D756" i="11"/>
  <c r="V75" i="11"/>
  <c r="N753" i="11" s="1"/>
  <c r="F512" i="11"/>
  <c r="H535" i="11"/>
  <c r="F535" i="11"/>
  <c r="D791" i="11"/>
  <c r="D815" i="11" s="1"/>
  <c r="M816" i="11"/>
  <c r="C458" i="11"/>
  <c r="F533" i="11"/>
  <c r="H533" i="11"/>
  <c r="P816" i="11"/>
  <c r="D612" i="11"/>
  <c r="CF76" i="11"/>
  <c r="T52" i="11" s="1"/>
  <c r="T67" i="11" s="1"/>
  <c r="J751" i="11" s="1"/>
  <c r="S736" i="11"/>
  <c r="S815" i="11" s="1"/>
  <c r="CE79" i="11"/>
  <c r="F817" i="11"/>
  <c r="B429" i="11"/>
  <c r="AD52" i="11"/>
  <c r="AD67" i="11" s="1"/>
  <c r="J761" i="11" s="1"/>
  <c r="CE64" i="11"/>
  <c r="BV730" i="11"/>
  <c r="I817" i="11"/>
  <c r="H504" i="11"/>
  <c r="F504" i="11"/>
  <c r="Q816" i="11"/>
  <c r="G612" i="11"/>
  <c r="F499" i="11"/>
  <c r="F509" i="11"/>
  <c r="CE78" i="11"/>
  <c r="E204" i="11"/>
  <c r="C476" i="11" s="1"/>
  <c r="L817" i="11"/>
  <c r="CC730" i="11"/>
  <c r="H534" i="11"/>
  <c r="F518" i="11"/>
  <c r="F524" i="11"/>
  <c r="R815" i="11"/>
  <c r="AV75" i="11"/>
  <c r="N779" i="11" s="1"/>
  <c r="H536" i="11"/>
  <c r="F536" i="11"/>
  <c r="H545" i="11"/>
  <c r="F545" i="11"/>
  <c r="G815" i="11"/>
  <c r="K815" i="11"/>
  <c r="T815" i="11"/>
  <c r="F544" i="11"/>
  <c r="L815" i="11"/>
  <c r="C815" i="11"/>
  <c r="M815" i="11"/>
  <c r="O815" i="11"/>
  <c r="BI730" i="11" l="1"/>
  <c r="N815" i="11"/>
  <c r="BX48" i="11"/>
  <c r="BX62" i="11" s="1"/>
  <c r="E807" i="11" s="1"/>
  <c r="CA48" i="11"/>
  <c r="CA62" i="11" s="1"/>
  <c r="E810" i="11" s="1"/>
  <c r="BK48" i="11"/>
  <c r="BK62" i="11" s="1"/>
  <c r="E794" i="11" s="1"/>
  <c r="AX48" i="11"/>
  <c r="AX62" i="11" s="1"/>
  <c r="E781" i="11" s="1"/>
  <c r="AK48" i="11"/>
  <c r="AK62" i="11" s="1"/>
  <c r="E768" i="11" s="1"/>
  <c r="Y48" i="11"/>
  <c r="Y62" i="11" s="1"/>
  <c r="E756" i="11" s="1"/>
  <c r="L48" i="11"/>
  <c r="L62" i="11" s="1"/>
  <c r="E743" i="11" s="1"/>
  <c r="BS48" i="11"/>
  <c r="BS62" i="11" s="1"/>
  <c r="E802" i="11" s="1"/>
  <c r="BE48" i="11"/>
  <c r="BE62" i="11" s="1"/>
  <c r="E788" i="11" s="1"/>
  <c r="AR48" i="11"/>
  <c r="AR62" i="11" s="1"/>
  <c r="E775" i="11" s="1"/>
  <c r="AE48" i="11"/>
  <c r="AE62" i="11" s="1"/>
  <c r="E762" i="11" s="1"/>
  <c r="R48" i="11"/>
  <c r="R62" i="11" s="1"/>
  <c r="E749" i="11" s="1"/>
  <c r="E48" i="11"/>
  <c r="E62" i="11" s="1"/>
  <c r="BP48" i="11"/>
  <c r="BP62" i="11" s="1"/>
  <c r="E799" i="11" s="1"/>
  <c r="BC48" i="11"/>
  <c r="BC62" i="11" s="1"/>
  <c r="E786" i="11" s="1"/>
  <c r="AP48" i="11"/>
  <c r="AP62" i="11" s="1"/>
  <c r="E773" i="11" s="1"/>
  <c r="AC48" i="11"/>
  <c r="AC62" i="11" s="1"/>
  <c r="E760" i="11" s="1"/>
  <c r="Q48" i="11"/>
  <c r="Q62" i="11" s="1"/>
  <c r="E748" i="11" s="1"/>
  <c r="D48" i="11"/>
  <c r="D62" i="11" s="1"/>
  <c r="E735" i="11" s="1"/>
  <c r="CC48" i="11"/>
  <c r="CC62" i="11" s="1"/>
  <c r="E812" i="11" s="1"/>
  <c r="BM48" i="11"/>
  <c r="BM62" i="11" s="1"/>
  <c r="E796" i="11" s="1"/>
  <c r="AZ48" i="11"/>
  <c r="AZ62" i="11" s="1"/>
  <c r="E783" i="11" s="1"/>
  <c r="AM48" i="11"/>
  <c r="AM62" i="11" s="1"/>
  <c r="E770" i="11" s="1"/>
  <c r="Z48" i="11"/>
  <c r="Z62" i="11" s="1"/>
  <c r="E757" i="11" s="1"/>
  <c r="M48" i="11"/>
  <c r="M62" i="11" s="1"/>
  <c r="E744" i="11" s="1"/>
  <c r="E791" i="11"/>
  <c r="E769" i="11"/>
  <c r="R816" i="11"/>
  <c r="I612" i="11"/>
  <c r="BB52" i="11"/>
  <c r="BB67" i="11" s="1"/>
  <c r="J785" i="11" s="1"/>
  <c r="S816" i="11"/>
  <c r="J612" i="11"/>
  <c r="CC52" i="11"/>
  <c r="CC67" i="11" s="1"/>
  <c r="Q52" i="11"/>
  <c r="Q67" i="11" s="1"/>
  <c r="E808" i="11"/>
  <c r="E779" i="11"/>
  <c r="E764" i="11"/>
  <c r="AL52" i="11"/>
  <c r="AL67" i="11" s="1"/>
  <c r="J769" i="11" s="1"/>
  <c r="AJ52" i="11"/>
  <c r="AJ67" i="11" s="1"/>
  <c r="J767" i="11" s="1"/>
  <c r="BU52" i="11"/>
  <c r="BU67" i="11" s="1"/>
  <c r="J804" i="11" s="1"/>
  <c r="I52" i="11"/>
  <c r="I67" i="11" s="1"/>
  <c r="J740" i="11" s="1"/>
  <c r="E766" i="11"/>
  <c r="AI71" i="11"/>
  <c r="E737" i="11"/>
  <c r="E801" i="11"/>
  <c r="E787" i="11"/>
  <c r="E778" i="11"/>
  <c r="AU71" i="11"/>
  <c r="E738" i="11"/>
  <c r="G71" i="11"/>
  <c r="E772" i="11"/>
  <c r="AB52" i="11"/>
  <c r="AB67" i="11" s="1"/>
  <c r="J759" i="11" s="1"/>
  <c r="E774" i="11"/>
  <c r="AQ71" i="11"/>
  <c r="E765" i="11"/>
  <c r="E736" i="11"/>
  <c r="V52" i="11"/>
  <c r="V67" i="11" s="1"/>
  <c r="J753" i="11" s="1"/>
  <c r="BE52" i="11"/>
  <c r="BE67" i="11" s="1"/>
  <c r="I816" i="11"/>
  <c r="C432" i="11"/>
  <c r="E782" i="11"/>
  <c r="E753" i="11"/>
  <c r="V71" i="11"/>
  <c r="E739" i="11"/>
  <c r="E803" i="11"/>
  <c r="E752" i="11"/>
  <c r="E746" i="11"/>
  <c r="BM52" i="11"/>
  <c r="BM67" i="11" s="1"/>
  <c r="G816" i="11"/>
  <c r="F612" i="11"/>
  <c r="C430" i="11"/>
  <c r="E790" i="11"/>
  <c r="BW52" i="11"/>
  <c r="BW67" i="11" s="1"/>
  <c r="J806" i="11" s="1"/>
  <c r="BG52" i="11"/>
  <c r="BG67" i="11" s="1"/>
  <c r="J790" i="11" s="1"/>
  <c r="AQ52" i="11"/>
  <c r="AQ67" i="11" s="1"/>
  <c r="J774" i="11" s="1"/>
  <c r="AA52" i="11"/>
  <c r="AA67" i="11" s="1"/>
  <c r="J758" i="11" s="1"/>
  <c r="K52" i="11"/>
  <c r="K67" i="11" s="1"/>
  <c r="J742" i="11" s="1"/>
  <c r="BO52" i="11"/>
  <c r="BO67" i="11" s="1"/>
  <c r="J798" i="11" s="1"/>
  <c r="AY52" i="11"/>
  <c r="AY67" i="11" s="1"/>
  <c r="J782" i="11" s="1"/>
  <c r="AI52" i="11"/>
  <c r="AI67" i="11" s="1"/>
  <c r="J766" i="11" s="1"/>
  <c r="S52" i="11"/>
  <c r="S67" i="11" s="1"/>
  <c r="J750" i="11" s="1"/>
  <c r="C52" i="11"/>
  <c r="AU52" i="11"/>
  <c r="AU67" i="11" s="1"/>
  <c r="J778" i="11" s="1"/>
  <c r="BN52" i="11"/>
  <c r="BN67" i="11" s="1"/>
  <c r="J797" i="11" s="1"/>
  <c r="BY52" i="11"/>
  <c r="BY67" i="11" s="1"/>
  <c r="J808" i="11" s="1"/>
  <c r="BI52" i="11"/>
  <c r="BI67" i="11" s="1"/>
  <c r="J792" i="11" s="1"/>
  <c r="AS52" i="11"/>
  <c r="AS67" i="11" s="1"/>
  <c r="J776" i="11" s="1"/>
  <c r="AC52" i="11"/>
  <c r="AC67" i="11" s="1"/>
  <c r="M52" i="11"/>
  <c r="M67" i="11" s="1"/>
  <c r="BV52" i="11"/>
  <c r="BV67" i="11" s="1"/>
  <c r="J805" i="11" s="1"/>
  <c r="BF52" i="11"/>
  <c r="BF67" i="11" s="1"/>
  <c r="J789" i="11" s="1"/>
  <c r="AP52" i="11"/>
  <c r="AP67" i="11" s="1"/>
  <c r="Z52" i="11"/>
  <c r="Z67" i="11" s="1"/>
  <c r="J52" i="11"/>
  <c r="J67" i="11" s="1"/>
  <c r="J741" i="11" s="1"/>
  <c r="AM52" i="11"/>
  <c r="AM67" i="11" s="1"/>
  <c r="AK52" i="11"/>
  <c r="AK67" i="11" s="1"/>
  <c r="BT52" i="11"/>
  <c r="BT67" i="11" s="1"/>
  <c r="J803" i="11" s="1"/>
  <c r="BD52" i="11"/>
  <c r="BD67" i="11" s="1"/>
  <c r="J787" i="11" s="1"/>
  <c r="AN52" i="11"/>
  <c r="AN67" i="11" s="1"/>
  <c r="J771" i="11" s="1"/>
  <c r="X52" i="11"/>
  <c r="X67" i="11" s="1"/>
  <c r="J755" i="11" s="1"/>
  <c r="H52" i="11"/>
  <c r="H67" i="11" s="1"/>
  <c r="J739" i="11" s="1"/>
  <c r="BS52" i="11"/>
  <c r="BS67" i="11" s="1"/>
  <c r="W52" i="11"/>
  <c r="W67" i="11" s="1"/>
  <c r="J754" i="11" s="1"/>
  <c r="BA52" i="11"/>
  <c r="BA67" i="11" s="1"/>
  <c r="J784" i="11" s="1"/>
  <c r="AX52" i="11"/>
  <c r="AX67" i="11" s="1"/>
  <c r="BC52" i="11"/>
  <c r="BC67" i="11" s="1"/>
  <c r="G52" i="11"/>
  <c r="G67" i="11" s="1"/>
  <c r="J738" i="11" s="1"/>
  <c r="U52" i="11"/>
  <c r="U67" i="11" s="1"/>
  <c r="J752" i="11" s="1"/>
  <c r="AH52" i="11"/>
  <c r="AH67" i="11" s="1"/>
  <c r="J765" i="11" s="1"/>
  <c r="BQ52" i="11"/>
  <c r="BQ67" i="11" s="1"/>
  <c r="J800" i="11" s="1"/>
  <c r="E52" i="11"/>
  <c r="E67" i="11" s="1"/>
  <c r="J736" i="11" s="1"/>
  <c r="CB52" i="11"/>
  <c r="CB67" i="11" s="1"/>
  <c r="J811" i="11" s="1"/>
  <c r="BL52" i="11"/>
  <c r="BL67" i="11" s="1"/>
  <c r="J795" i="11" s="1"/>
  <c r="AV52" i="11"/>
  <c r="AV67" i="11" s="1"/>
  <c r="J779" i="11" s="1"/>
  <c r="AF52" i="11"/>
  <c r="AF67" i="11" s="1"/>
  <c r="J763" i="11" s="1"/>
  <c r="P52" i="11"/>
  <c r="P67" i="11" s="1"/>
  <c r="J747" i="11" s="1"/>
  <c r="CA52" i="11"/>
  <c r="CA67" i="11" s="1"/>
  <c r="BK52" i="11"/>
  <c r="BK67" i="11" s="1"/>
  <c r="AE52" i="11"/>
  <c r="AE67" i="11" s="1"/>
  <c r="O52" i="11"/>
  <c r="O67" i="11" s="1"/>
  <c r="J746" i="11" s="1"/>
  <c r="R52" i="11"/>
  <c r="R67" i="11" s="1"/>
  <c r="E745" i="11"/>
  <c r="H816" i="11"/>
  <c r="C431" i="11"/>
  <c r="E759" i="11"/>
  <c r="N52" i="11"/>
  <c r="N67" i="11" s="1"/>
  <c r="J745" i="11" s="1"/>
  <c r="E747" i="11"/>
  <c r="P71" i="11"/>
  <c r="E792" i="11"/>
  <c r="BR52" i="11"/>
  <c r="BR67" i="11" s="1"/>
  <c r="J801" i="11" s="1"/>
  <c r="F52" i="11"/>
  <c r="F67" i="11" s="1"/>
  <c r="J737" i="11" s="1"/>
  <c r="BP52" i="11"/>
  <c r="BP67" i="11" s="1"/>
  <c r="D52" i="11"/>
  <c r="D67" i="11" s="1"/>
  <c r="AO52" i="11"/>
  <c r="AO67" i="11" s="1"/>
  <c r="J772" i="11" s="1"/>
  <c r="C62" i="11"/>
  <c r="E798" i="11"/>
  <c r="E755" i="11"/>
  <c r="X71" i="11"/>
  <c r="BX52" i="11"/>
  <c r="BX67" i="11" s="1"/>
  <c r="E780" i="11"/>
  <c r="AW71" i="11"/>
  <c r="O816" i="11"/>
  <c r="C463" i="11"/>
  <c r="F816" i="11"/>
  <c r="C429" i="11"/>
  <c r="E795" i="11"/>
  <c r="E751" i="11"/>
  <c r="T71" i="11"/>
  <c r="BZ52" i="11"/>
  <c r="BZ67" i="11" s="1"/>
  <c r="J809" i="11" s="1"/>
  <c r="L52" i="11"/>
  <c r="L67" i="11" s="1"/>
  <c r="AW52" i="11"/>
  <c r="AW67" i="11" s="1"/>
  <c r="J780" i="11" s="1"/>
  <c r="E761" i="11"/>
  <c r="AD71" i="11"/>
  <c r="E811" i="11"/>
  <c r="E740" i="11"/>
  <c r="I71" i="11"/>
  <c r="BJ52" i="11"/>
  <c r="BJ67" i="11" s="1"/>
  <c r="J793" i="11" s="1"/>
  <c r="BH52" i="11"/>
  <c r="BH67" i="11" s="1"/>
  <c r="J791" i="11" s="1"/>
  <c r="L816" i="11"/>
  <c r="C440" i="11"/>
  <c r="AG52" i="11"/>
  <c r="AG67" i="11" s="1"/>
  <c r="J764" i="11" s="1"/>
  <c r="E742" i="11"/>
  <c r="E806" i="11"/>
  <c r="BW71" i="11"/>
  <c r="E777" i="11"/>
  <c r="E763" i="11"/>
  <c r="AF71" i="11"/>
  <c r="E767" i="11"/>
  <c r="E804" i="11"/>
  <c r="CE75" i="11"/>
  <c r="AZ52" i="11"/>
  <c r="AZ67" i="11" s="1"/>
  <c r="Y52" i="11"/>
  <c r="Y67" i="11" s="1"/>
  <c r="E750" i="11"/>
  <c r="S71" i="11"/>
  <c r="E800" i="11"/>
  <c r="E785" i="11"/>
  <c r="E771" i="11"/>
  <c r="AN71" i="11"/>
  <c r="E754" i="11"/>
  <c r="E805" i="11"/>
  <c r="E789" i="11"/>
  <c r="BF71" i="11"/>
  <c r="E797" i="11"/>
  <c r="BN71" i="11"/>
  <c r="E809" i="11"/>
  <c r="BZ71" i="11"/>
  <c r="AT52" i="11"/>
  <c r="AT67" i="11" s="1"/>
  <c r="J777" i="11" s="1"/>
  <c r="AR52" i="11"/>
  <c r="AR67" i="11" s="1"/>
  <c r="E758" i="11"/>
  <c r="E793" i="11"/>
  <c r="E741" i="11"/>
  <c r="E776" i="11"/>
  <c r="E784" i="11"/>
  <c r="BA71" i="11"/>
  <c r="J71" i="11" l="1"/>
  <c r="BU71" i="11"/>
  <c r="K71" i="11"/>
  <c r="BI71" i="11"/>
  <c r="C634" i="11" s="1"/>
  <c r="BJ71" i="11"/>
  <c r="AJ71" i="11"/>
  <c r="CB71" i="11"/>
  <c r="CE48" i="11"/>
  <c r="AB71" i="11"/>
  <c r="N71" i="11"/>
  <c r="O71" i="11"/>
  <c r="H71" i="11"/>
  <c r="C501" i="11" s="1"/>
  <c r="G501" i="11" s="1"/>
  <c r="AG71" i="11"/>
  <c r="BH71" i="11"/>
  <c r="C676" i="11"/>
  <c r="C504" i="11"/>
  <c r="G504" i="11" s="1"/>
  <c r="C513" i="11"/>
  <c r="C685" i="11"/>
  <c r="E734" i="11"/>
  <c r="E815" i="11" s="1"/>
  <c r="CE62" i="11"/>
  <c r="C681" i="11"/>
  <c r="C509" i="11"/>
  <c r="C680" i="11"/>
  <c r="C508" i="11"/>
  <c r="E71" i="11"/>
  <c r="J812" i="11"/>
  <c r="CC71" i="11"/>
  <c r="C675" i="11"/>
  <c r="C503" i="11"/>
  <c r="G503" i="11" s="1"/>
  <c r="W71" i="11"/>
  <c r="C622" i="11"/>
  <c r="C573" i="11"/>
  <c r="J744" i="11"/>
  <c r="M71" i="11"/>
  <c r="F71" i="11"/>
  <c r="C698" i="11"/>
  <c r="C526" i="11"/>
  <c r="C697" i="11"/>
  <c r="C525" i="11"/>
  <c r="G525" i="11" s="1"/>
  <c r="BL71" i="11"/>
  <c r="J807" i="11"/>
  <c r="BX71" i="11"/>
  <c r="J735" i="11"/>
  <c r="D71" i="11"/>
  <c r="J768" i="11"/>
  <c r="AK71" i="11"/>
  <c r="J760" i="11"/>
  <c r="AC71" i="11"/>
  <c r="BG71" i="11"/>
  <c r="U71" i="11"/>
  <c r="AY71" i="11"/>
  <c r="AH71" i="11"/>
  <c r="J756" i="11"/>
  <c r="Y71" i="11"/>
  <c r="C695" i="11"/>
  <c r="C523" i="11"/>
  <c r="G523" i="11" s="1"/>
  <c r="J799" i="11"/>
  <c r="BP71" i="11"/>
  <c r="J770" i="11"/>
  <c r="AM71" i="11"/>
  <c r="C700" i="11"/>
  <c r="C528" i="11"/>
  <c r="AV71" i="11"/>
  <c r="J783" i="11"/>
  <c r="AZ71" i="11"/>
  <c r="J794" i="11"/>
  <c r="BK71" i="11"/>
  <c r="J802" i="11"/>
  <c r="BS71" i="11"/>
  <c r="C555" i="11"/>
  <c r="C617" i="11"/>
  <c r="C619" i="11"/>
  <c r="C559" i="11"/>
  <c r="C705" i="11"/>
  <c r="C533" i="11"/>
  <c r="G533" i="11" s="1"/>
  <c r="C689" i="11"/>
  <c r="C517" i="11"/>
  <c r="C693" i="11"/>
  <c r="C521" i="11"/>
  <c r="J762" i="11"/>
  <c r="AE71" i="11"/>
  <c r="C712" i="11"/>
  <c r="C540" i="11"/>
  <c r="G540" i="11" s="1"/>
  <c r="AT71" i="11"/>
  <c r="BT71" i="11"/>
  <c r="C708" i="11"/>
  <c r="C536" i="11"/>
  <c r="G536" i="11" s="1"/>
  <c r="C630" i="11"/>
  <c r="C546" i="11"/>
  <c r="AA71" i="11"/>
  <c r="C551" i="11"/>
  <c r="C629" i="11"/>
  <c r="BB71" i="11"/>
  <c r="N816" i="11"/>
  <c r="K612" i="11"/>
  <c r="C465" i="11"/>
  <c r="BO71" i="11"/>
  <c r="J810" i="11"/>
  <c r="CA71" i="11"/>
  <c r="J757" i="11"/>
  <c r="Z71" i="11"/>
  <c r="BD71" i="11"/>
  <c r="BY71" i="11"/>
  <c r="C568" i="11"/>
  <c r="C643" i="11"/>
  <c r="J743" i="11"/>
  <c r="L71" i="11"/>
  <c r="C554" i="11"/>
  <c r="J773" i="11"/>
  <c r="AP71" i="11"/>
  <c r="C673" i="11"/>
  <c r="J788" i="11"/>
  <c r="BE71" i="11"/>
  <c r="AL71" i="11"/>
  <c r="AS71" i="11"/>
  <c r="J775" i="11"/>
  <c r="AR71" i="11"/>
  <c r="BV71" i="11"/>
  <c r="BQ71" i="11"/>
  <c r="C674" i="11"/>
  <c r="C502" i="11"/>
  <c r="G502" i="11" s="1"/>
  <c r="C679" i="11"/>
  <c r="C507" i="11"/>
  <c r="G507" i="11" s="1"/>
  <c r="J796" i="11"/>
  <c r="BM71" i="11"/>
  <c r="AO71" i="11"/>
  <c r="BR71" i="11"/>
  <c r="J748" i="11"/>
  <c r="Q71" i="11"/>
  <c r="C566" i="11"/>
  <c r="C641" i="11"/>
  <c r="C701" i="11"/>
  <c r="C529" i="11"/>
  <c r="C542" i="11"/>
  <c r="C631" i="11"/>
  <c r="J786" i="11"/>
  <c r="BC71" i="11"/>
  <c r="CE52" i="11"/>
  <c r="C67" i="11"/>
  <c r="C71" i="11" s="1"/>
  <c r="C687" i="11"/>
  <c r="C515" i="11"/>
  <c r="C553" i="11"/>
  <c r="C636" i="11"/>
  <c r="C571" i="11"/>
  <c r="C646" i="11"/>
  <c r="C684" i="11"/>
  <c r="C512" i="11"/>
  <c r="J749" i="11"/>
  <c r="R71" i="11"/>
  <c r="J781" i="11"/>
  <c r="AX71" i="11"/>
  <c r="C672" i="11"/>
  <c r="C500" i="11"/>
  <c r="G500" i="11" s="1"/>
  <c r="C668" i="11" l="1"/>
  <c r="C496" i="11"/>
  <c r="C628" i="11"/>
  <c r="C545" i="11"/>
  <c r="G545" i="11" s="1"/>
  <c r="C624" i="11"/>
  <c r="C549" i="11"/>
  <c r="C703" i="11"/>
  <c r="C531" i="11"/>
  <c r="C711" i="11"/>
  <c r="C539" i="11"/>
  <c r="G539" i="11" s="1"/>
  <c r="C564" i="11"/>
  <c r="C639" i="11"/>
  <c r="G526" i="11"/>
  <c r="H526" i="11"/>
  <c r="C548" i="11"/>
  <c r="C633" i="11"/>
  <c r="C682" i="11"/>
  <c r="C510" i="11"/>
  <c r="C614" i="11"/>
  <c r="C550" i="11"/>
  <c r="C572" i="11"/>
  <c r="C647" i="11"/>
  <c r="C704" i="11"/>
  <c r="C532" i="11"/>
  <c r="G532" i="11" s="1"/>
  <c r="C699" i="11"/>
  <c r="C527" i="11"/>
  <c r="G527" i="11" s="1"/>
  <c r="E816" i="11"/>
  <c r="C428" i="11"/>
  <c r="C692" i="11"/>
  <c r="C520" i="11"/>
  <c r="C556" i="11"/>
  <c r="C635" i="11"/>
  <c r="C625" i="11"/>
  <c r="C544" i="11"/>
  <c r="C671" i="11"/>
  <c r="C499" i="11"/>
  <c r="G499" i="11" s="1"/>
  <c r="C620" i="11"/>
  <c r="C574" i="11"/>
  <c r="C677" i="11"/>
  <c r="C505" i="11"/>
  <c r="G505" i="11" s="1"/>
  <c r="C669" i="11"/>
  <c r="C497" i="11"/>
  <c r="G497" i="11" s="1"/>
  <c r="C616" i="11"/>
  <c r="C543" i="11"/>
  <c r="C563" i="11"/>
  <c r="C626" i="11"/>
  <c r="C623" i="11"/>
  <c r="C562" i="11"/>
  <c r="C560" i="11"/>
  <c r="C627" i="11"/>
  <c r="G546" i="11"/>
  <c r="H546" i="11"/>
  <c r="C696" i="11"/>
  <c r="C524" i="11"/>
  <c r="C561" i="11"/>
  <c r="C621" i="11"/>
  <c r="C514" i="11"/>
  <c r="C686" i="11"/>
  <c r="C569" i="11"/>
  <c r="C644" i="11"/>
  <c r="C678" i="11"/>
  <c r="C506" i="11"/>
  <c r="G506" i="11" s="1"/>
  <c r="C706" i="11"/>
  <c r="C534" i="11"/>
  <c r="G534" i="11" s="1"/>
  <c r="C552" i="11"/>
  <c r="C618" i="11"/>
  <c r="C511" i="11"/>
  <c r="C683" i="11"/>
  <c r="G515" i="11"/>
  <c r="H515" i="11"/>
  <c r="G529" i="11"/>
  <c r="H529" i="11" s="1"/>
  <c r="C638" i="11"/>
  <c r="C558" i="11"/>
  <c r="C709" i="11"/>
  <c r="C537" i="11"/>
  <c r="G537" i="11" s="1"/>
  <c r="C707" i="11"/>
  <c r="C535" i="11"/>
  <c r="G535" i="11" s="1"/>
  <c r="C570" i="11"/>
  <c r="C645" i="11"/>
  <c r="G521" i="11"/>
  <c r="H521" i="11"/>
  <c r="C694" i="11"/>
  <c r="C522" i="11"/>
  <c r="C557" i="11"/>
  <c r="C637" i="11"/>
  <c r="G508" i="11"/>
  <c r="H508" i="11" s="1"/>
  <c r="H513" i="11"/>
  <c r="G513" i="11"/>
  <c r="C567" i="11"/>
  <c r="C642" i="11"/>
  <c r="C670" i="11"/>
  <c r="C498" i="11"/>
  <c r="C713" i="11"/>
  <c r="C541" i="11"/>
  <c r="G512" i="11"/>
  <c r="H512" i="11"/>
  <c r="J734" i="11"/>
  <c r="J815" i="11" s="1"/>
  <c r="CE67" i="11"/>
  <c r="C538" i="11"/>
  <c r="G538" i="11" s="1"/>
  <c r="C710" i="11"/>
  <c r="C691" i="11"/>
  <c r="C519" i="11"/>
  <c r="G519" i="11" s="1"/>
  <c r="C547" i="11"/>
  <c r="C632" i="11"/>
  <c r="C565" i="11"/>
  <c r="C640" i="11"/>
  <c r="G517" i="11"/>
  <c r="H517" i="11"/>
  <c r="G528" i="11"/>
  <c r="H528" i="11"/>
  <c r="C690" i="11"/>
  <c r="C518" i="11"/>
  <c r="C530" i="11"/>
  <c r="G530" i="11" s="1"/>
  <c r="C702" i="11"/>
  <c r="C688" i="11"/>
  <c r="C516" i="11"/>
  <c r="G509" i="11"/>
  <c r="H509" i="11" s="1"/>
  <c r="J816" i="11" l="1"/>
  <c r="C433" i="11"/>
  <c r="G522" i="11"/>
  <c r="H522" i="11"/>
  <c r="G520" i="11"/>
  <c r="H520" i="11" s="1"/>
  <c r="G531" i="11"/>
  <c r="H531" i="11" s="1"/>
  <c r="G511" i="11"/>
  <c r="H511" i="11"/>
  <c r="G518" i="11"/>
  <c r="H518" i="11"/>
  <c r="CE71" i="11"/>
  <c r="C716" i="11" s="1"/>
  <c r="C441" i="11"/>
  <c r="G550" i="11"/>
  <c r="H550" i="11" s="1"/>
  <c r="G514" i="11"/>
  <c r="H514" i="11" s="1"/>
  <c r="G544" i="11"/>
  <c r="H544" i="11"/>
  <c r="C715" i="11"/>
  <c r="C648" i="11"/>
  <c r="M716" i="11" s="1"/>
  <c r="Y816" i="11" s="1"/>
  <c r="D615" i="11"/>
  <c r="G510" i="11"/>
  <c r="H510" i="11"/>
  <c r="G516" i="11"/>
  <c r="H516" i="11" s="1"/>
  <c r="G498" i="11"/>
  <c r="H498" i="11"/>
  <c r="G496" i="11"/>
  <c r="H496" i="11" s="1"/>
  <c r="G524" i="11"/>
  <c r="H524" i="11" s="1"/>
  <c r="D712" i="11" l="1"/>
  <c r="D704" i="11"/>
  <c r="D696" i="11"/>
  <c r="D688" i="11"/>
  <c r="D709" i="11"/>
  <c r="D701" i="11"/>
  <c r="D706" i="11"/>
  <c r="D698" i="11"/>
  <c r="D690" i="11"/>
  <c r="D711" i="11"/>
  <c r="D703" i="11"/>
  <c r="D695" i="11"/>
  <c r="D708" i="11"/>
  <c r="D700" i="11"/>
  <c r="D713" i="11"/>
  <c r="D705" i="11"/>
  <c r="D697" i="11"/>
  <c r="D710" i="11"/>
  <c r="D707" i="11"/>
  <c r="D679" i="11"/>
  <c r="D671" i="11"/>
  <c r="D625" i="11"/>
  <c r="D702" i="11"/>
  <c r="D694" i="11"/>
  <c r="D687" i="11"/>
  <c r="D684" i="11"/>
  <c r="D676" i="11"/>
  <c r="D668" i="11"/>
  <c r="D628" i="11"/>
  <c r="D622" i="11"/>
  <c r="D618" i="11"/>
  <c r="D699" i="11"/>
  <c r="D689" i="11"/>
  <c r="D681" i="11"/>
  <c r="D673" i="11"/>
  <c r="D686" i="11"/>
  <c r="D678" i="11"/>
  <c r="D670" i="11"/>
  <c r="D647" i="11"/>
  <c r="D646" i="11"/>
  <c r="D645" i="11"/>
  <c r="D629" i="11"/>
  <c r="D626" i="11"/>
  <c r="D621" i="11"/>
  <c r="D617" i="11"/>
  <c r="D685" i="11"/>
  <c r="D677" i="11"/>
  <c r="D669" i="11"/>
  <c r="D627" i="11"/>
  <c r="D692" i="11"/>
  <c r="D644" i="11"/>
  <c r="D636" i="11"/>
  <c r="D623" i="11"/>
  <c r="D682" i="11"/>
  <c r="D680" i="11"/>
  <c r="D638" i="11"/>
  <c r="D630" i="11"/>
  <c r="D620" i="11"/>
  <c r="D716" i="11"/>
  <c r="D691" i="11"/>
  <c r="D674" i="11"/>
  <c r="D672" i="11"/>
  <c r="D643" i="11"/>
  <c r="D635" i="11"/>
  <c r="D619" i="11"/>
  <c r="D640" i="11"/>
  <c r="D632" i="11"/>
  <c r="D639" i="11"/>
  <c r="D631" i="11"/>
  <c r="D633" i="11"/>
  <c r="D624" i="11"/>
  <c r="D616" i="11"/>
  <c r="D637" i="11"/>
  <c r="D675" i="11"/>
  <c r="D683" i="11"/>
  <c r="D641" i="11"/>
  <c r="D634" i="11"/>
  <c r="D693" i="11"/>
  <c r="D642" i="11"/>
  <c r="D715" i="11" l="1"/>
  <c r="E623" i="11"/>
  <c r="E612" i="11"/>
  <c r="E709" i="11" l="1"/>
  <c r="E701" i="11"/>
  <c r="E693" i="11"/>
  <c r="E706" i="11"/>
  <c r="E698" i="11"/>
  <c r="E711" i="11"/>
  <c r="E703" i="11"/>
  <c r="E695" i="11"/>
  <c r="E708" i="11"/>
  <c r="E700" i="11"/>
  <c r="E692" i="11"/>
  <c r="E713" i="11"/>
  <c r="E705" i="11"/>
  <c r="E697" i="11"/>
  <c r="E710" i="11"/>
  <c r="E702" i="11"/>
  <c r="E716" i="11"/>
  <c r="E707" i="11"/>
  <c r="E694" i="11"/>
  <c r="E687" i="11"/>
  <c r="E684" i="11"/>
  <c r="E676" i="11"/>
  <c r="E668" i="11"/>
  <c r="E628" i="11"/>
  <c r="E712" i="11"/>
  <c r="E699" i="11"/>
  <c r="E689" i="11"/>
  <c r="E688" i="11"/>
  <c r="E681" i="11"/>
  <c r="E673" i="11"/>
  <c r="E696" i="11"/>
  <c r="E686" i="11"/>
  <c r="E678" i="11"/>
  <c r="E670" i="11"/>
  <c r="E647" i="11"/>
  <c r="E646" i="11"/>
  <c r="E645" i="11"/>
  <c r="E629" i="11"/>
  <c r="E626" i="11"/>
  <c r="E690" i="11"/>
  <c r="E683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682" i="11"/>
  <c r="E674" i="11"/>
  <c r="E704" i="11"/>
  <c r="E691" i="11"/>
  <c r="E672" i="11"/>
  <c r="E671" i="11"/>
  <c r="E669" i="11"/>
  <c r="E677" i="11"/>
  <c r="E685" i="11"/>
  <c r="E680" i="11"/>
  <c r="E625" i="11"/>
  <c r="E627" i="11"/>
  <c r="E679" i="11"/>
  <c r="E715" i="11" l="1"/>
  <c r="F624" i="11"/>
  <c r="F706" i="11" l="1"/>
  <c r="F698" i="11"/>
  <c r="F690" i="11"/>
  <c r="F711" i="11"/>
  <c r="F703" i="11"/>
  <c r="F695" i="11"/>
  <c r="F708" i="11"/>
  <c r="F700" i="11"/>
  <c r="F692" i="11"/>
  <c r="F713" i="11"/>
  <c r="F705" i="11"/>
  <c r="F697" i="11"/>
  <c r="F689" i="11"/>
  <c r="F710" i="11"/>
  <c r="F702" i="11"/>
  <c r="F694" i="11"/>
  <c r="F716" i="11"/>
  <c r="F707" i="11"/>
  <c r="F699" i="11"/>
  <c r="F712" i="11"/>
  <c r="F704" i="11"/>
  <c r="F688" i="11"/>
  <c r="F681" i="11"/>
  <c r="F673" i="11"/>
  <c r="F696" i="11"/>
  <c r="F686" i="11"/>
  <c r="F678" i="11"/>
  <c r="F670" i="11"/>
  <c r="F647" i="11"/>
  <c r="F646" i="11"/>
  <c r="F645" i="11"/>
  <c r="F629" i="11"/>
  <c r="F626" i="11"/>
  <c r="F683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91" i="11"/>
  <c r="F680" i="11"/>
  <c r="F672" i="11"/>
  <c r="F693" i="11"/>
  <c r="F679" i="11"/>
  <c r="F671" i="11"/>
  <c r="F625" i="11"/>
  <c r="F627" i="11"/>
  <c r="F676" i="11"/>
  <c r="F674" i="11"/>
  <c r="F701" i="11"/>
  <c r="F668" i="11"/>
  <c r="F685" i="11"/>
  <c r="F687" i="11"/>
  <c r="F628" i="11"/>
  <c r="F677" i="11"/>
  <c r="F682" i="11"/>
  <c r="F709" i="11"/>
  <c r="F669" i="11"/>
  <c r="F684" i="11"/>
  <c r="F715" i="11" l="1"/>
  <c r="G625" i="11"/>
  <c r="G711" i="11" l="1"/>
  <c r="G703" i="11"/>
  <c r="G695" i="11"/>
  <c r="G687" i="11"/>
  <c r="G708" i="11"/>
  <c r="G700" i="11"/>
  <c r="G713" i="11"/>
  <c r="G705" i="11"/>
  <c r="G697" i="11"/>
  <c r="G689" i="11"/>
  <c r="G710" i="11"/>
  <c r="G702" i="11"/>
  <c r="G694" i="11"/>
  <c r="G716" i="11"/>
  <c r="G707" i="11"/>
  <c r="G699" i="11"/>
  <c r="G712" i="11"/>
  <c r="G704" i="11"/>
  <c r="G696" i="11"/>
  <c r="G709" i="11"/>
  <c r="G686" i="11"/>
  <c r="G678" i="11"/>
  <c r="G670" i="11"/>
  <c r="G647" i="11"/>
  <c r="G646" i="11"/>
  <c r="G645" i="11"/>
  <c r="G629" i="11"/>
  <c r="G626" i="11"/>
  <c r="G706" i="11"/>
  <c r="G683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91" i="11"/>
  <c r="G690" i="11"/>
  <c r="G680" i="11"/>
  <c r="G672" i="11"/>
  <c r="G701" i="11"/>
  <c r="G685" i="11"/>
  <c r="G677" i="11"/>
  <c r="G669" i="11"/>
  <c r="G627" i="11"/>
  <c r="G684" i="11"/>
  <c r="G676" i="11"/>
  <c r="G668" i="11"/>
  <c r="G628" i="11"/>
  <c r="G682" i="11"/>
  <c r="G688" i="11"/>
  <c r="G693" i="11"/>
  <c r="G692" i="11"/>
  <c r="G681" i="11"/>
  <c r="G671" i="11"/>
  <c r="G698" i="11"/>
  <c r="G679" i="11"/>
  <c r="G674" i="11"/>
  <c r="G673" i="11"/>
  <c r="G715" i="11" l="1"/>
  <c r="H628" i="11"/>
  <c r="H708" i="11" l="1"/>
  <c r="H700" i="11"/>
  <c r="H692" i="11"/>
  <c r="H713" i="11"/>
  <c r="H705" i="11"/>
  <c r="H697" i="11"/>
  <c r="H710" i="11"/>
  <c r="H702" i="11"/>
  <c r="H694" i="11"/>
  <c r="H716" i="11"/>
  <c r="H707" i="11"/>
  <c r="H699" i="11"/>
  <c r="H691" i="11"/>
  <c r="H712" i="11"/>
  <c r="H704" i="11"/>
  <c r="H696" i="11"/>
  <c r="H709" i="11"/>
  <c r="H701" i="11"/>
  <c r="H706" i="11"/>
  <c r="H689" i="11"/>
  <c r="H683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90" i="11"/>
  <c r="H680" i="11"/>
  <c r="H672" i="11"/>
  <c r="H711" i="11"/>
  <c r="H685" i="11"/>
  <c r="H677" i="11"/>
  <c r="H669" i="11"/>
  <c r="H698" i="11"/>
  <c r="H682" i="11"/>
  <c r="H674" i="11"/>
  <c r="H703" i="11"/>
  <c r="H688" i="11"/>
  <c r="H687" i="11"/>
  <c r="H681" i="11"/>
  <c r="H673" i="11"/>
  <c r="H686" i="11"/>
  <c r="H684" i="11"/>
  <c r="H670" i="11"/>
  <c r="H668" i="11"/>
  <c r="H693" i="11"/>
  <c r="H679" i="11"/>
  <c r="H645" i="11"/>
  <c r="H629" i="11"/>
  <c r="H647" i="11"/>
  <c r="H671" i="11"/>
  <c r="H646" i="11"/>
  <c r="H676" i="11"/>
  <c r="H695" i="11"/>
  <c r="H678" i="11"/>
  <c r="H715" i="11" l="1"/>
  <c r="I629" i="11"/>
  <c r="I713" i="11" l="1"/>
  <c r="I705" i="11"/>
  <c r="I697" i="11"/>
  <c r="I689" i="11"/>
  <c r="I710" i="11"/>
  <c r="I702" i="11"/>
  <c r="I716" i="11"/>
  <c r="I707" i="11"/>
  <c r="I699" i="11"/>
  <c r="I691" i="11"/>
  <c r="I712" i="11"/>
  <c r="I704" i="11"/>
  <c r="I696" i="11"/>
  <c r="I688" i="11"/>
  <c r="I709" i="11"/>
  <c r="I701" i="11"/>
  <c r="I693" i="11"/>
  <c r="I706" i="11"/>
  <c r="I698" i="11"/>
  <c r="I711" i="11"/>
  <c r="I690" i="11"/>
  <c r="I680" i="11"/>
  <c r="I672" i="11"/>
  <c r="I685" i="11"/>
  <c r="I677" i="11"/>
  <c r="I669" i="11"/>
  <c r="I682" i="11"/>
  <c r="I674" i="11"/>
  <c r="I695" i="11"/>
  <c r="I692" i="11"/>
  <c r="I679" i="11"/>
  <c r="I671" i="11"/>
  <c r="I708" i="11"/>
  <c r="I700" i="11"/>
  <c r="I686" i="11"/>
  <c r="I678" i="11"/>
  <c r="I670" i="11"/>
  <c r="I647" i="11"/>
  <c r="I646" i="11"/>
  <c r="I645" i="11"/>
  <c r="I676" i="11"/>
  <c r="I641" i="11"/>
  <c r="I633" i="11"/>
  <c r="I643" i="11"/>
  <c r="I635" i="11"/>
  <c r="I694" i="11"/>
  <c r="I640" i="11"/>
  <c r="I632" i="11"/>
  <c r="I687" i="11"/>
  <c r="I683" i="11"/>
  <c r="I681" i="11"/>
  <c r="I637" i="11"/>
  <c r="I684" i="11"/>
  <c r="I644" i="11"/>
  <c r="I636" i="11"/>
  <c r="I639" i="11"/>
  <c r="I638" i="11"/>
  <c r="I631" i="11"/>
  <c r="I703" i="11"/>
  <c r="I675" i="11"/>
  <c r="I630" i="11"/>
  <c r="I642" i="11"/>
  <c r="I634" i="11"/>
  <c r="I668" i="11"/>
  <c r="I673" i="11"/>
  <c r="I715" i="11" l="1"/>
  <c r="J630" i="11"/>
  <c r="J710" i="11" l="1"/>
  <c r="J702" i="11"/>
  <c r="J694" i="11"/>
  <c r="J686" i="11"/>
  <c r="J716" i="11"/>
  <c r="J707" i="11"/>
  <c r="J699" i="11"/>
  <c r="J712" i="11"/>
  <c r="J704" i="11"/>
  <c r="J696" i="11"/>
  <c r="J688" i="11"/>
  <c r="J709" i="11"/>
  <c r="J701" i="11"/>
  <c r="J693" i="11"/>
  <c r="J706" i="11"/>
  <c r="J698" i="11"/>
  <c r="J711" i="11"/>
  <c r="J703" i="11"/>
  <c r="J695" i="11"/>
  <c r="J708" i="11"/>
  <c r="J685" i="11"/>
  <c r="J677" i="11"/>
  <c r="J669" i="11"/>
  <c r="J691" i="11"/>
  <c r="J682" i="11"/>
  <c r="J674" i="11"/>
  <c r="J705" i="11"/>
  <c r="J692" i="11"/>
  <c r="J679" i="11"/>
  <c r="J671" i="11"/>
  <c r="J684" i="11"/>
  <c r="J676" i="11"/>
  <c r="J668" i="11"/>
  <c r="J697" i="11"/>
  <c r="J683" i="11"/>
  <c r="J67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80" i="11"/>
  <c r="J678" i="11"/>
  <c r="J646" i="11"/>
  <c r="J687" i="11"/>
  <c r="J681" i="11"/>
  <c r="J645" i="11"/>
  <c r="J713" i="11"/>
  <c r="J700" i="11"/>
  <c r="J690" i="11"/>
  <c r="J673" i="11"/>
  <c r="J689" i="11"/>
  <c r="J672" i="11"/>
  <c r="J670" i="11"/>
  <c r="J647" i="11"/>
  <c r="L647" i="11" s="1"/>
  <c r="L712" i="11" l="1"/>
  <c r="L704" i="11"/>
  <c r="L696" i="11"/>
  <c r="L688" i="11"/>
  <c r="L709" i="11"/>
  <c r="L701" i="11"/>
  <c r="L706" i="11"/>
  <c r="L698" i="11"/>
  <c r="L690" i="11"/>
  <c r="L711" i="11"/>
  <c r="L703" i="11"/>
  <c r="L695" i="11"/>
  <c r="L687" i="11"/>
  <c r="L708" i="11"/>
  <c r="L700" i="11"/>
  <c r="L713" i="11"/>
  <c r="L705" i="11"/>
  <c r="L697" i="11"/>
  <c r="L710" i="11"/>
  <c r="L699" i="11"/>
  <c r="L692" i="11"/>
  <c r="L691" i="11"/>
  <c r="L679" i="11"/>
  <c r="L671" i="11"/>
  <c r="L684" i="11"/>
  <c r="L676" i="11"/>
  <c r="L668" i="11"/>
  <c r="L681" i="11"/>
  <c r="L673" i="11"/>
  <c r="L693" i="11"/>
  <c r="L678" i="11"/>
  <c r="L670" i="11"/>
  <c r="L685" i="11"/>
  <c r="L677" i="11"/>
  <c r="L669" i="11"/>
  <c r="L674" i="11"/>
  <c r="L672" i="11"/>
  <c r="L716" i="11"/>
  <c r="L702" i="11"/>
  <c r="L694" i="11"/>
  <c r="L683" i="11"/>
  <c r="L675" i="11"/>
  <c r="L707" i="11"/>
  <c r="L682" i="11"/>
  <c r="L680" i="11"/>
  <c r="L689" i="11"/>
  <c r="L686" i="11"/>
  <c r="K644" i="11"/>
  <c r="J715" i="11"/>
  <c r="K716" i="11" l="1"/>
  <c r="K707" i="11"/>
  <c r="K699" i="11"/>
  <c r="K691" i="11"/>
  <c r="K712" i="11"/>
  <c r="M712" i="11" s="1"/>
  <c r="Y778" i="11" s="1"/>
  <c r="K704" i="11"/>
  <c r="M704" i="11" s="1"/>
  <c r="Y770" i="11" s="1"/>
  <c r="K696" i="11"/>
  <c r="M696" i="11" s="1"/>
  <c r="Y762" i="11" s="1"/>
  <c r="K709" i="11"/>
  <c r="M709" i="11" s="1"/>
  <c r="Y775" i="11" s="1"/>
  <c r="K701" i="11"/>
  <c r="K693" i="11"/>
  <c r="M693" i="11" s="1"/>
  <c r="Y759" i="11" s="1"/>
  <c r="K706" i="11"/>
  <c r="K698" i="11"/>
  <c r="K690" i="11"/>
  <c r="M690" i="11" s="1"/>
  <c r="Y756" i="11" s="1"/>
  <c r="K711" i="11"/>
  <c r="K703" i="11"/>
  <c r="M703" i="11" s="1"/>
  <c r="Y769" i="11" s="1"/>
  <c r="K695" i="11"/>
  <c r="M695" i="11" s="1"/>
  <c r="Y761" i="11" s="1"/>
  <c r="K708" i="11"/>
  <c r="K700" i="11"/>
  <c r="M700" i="11" s="1"/>
  <c r="Y766" i="11" s="1"/>
  <c r="K713" i="11"/>
  <c r="K705" i="11"/>
  <c r="M705" i="11" s="1"/>
  <c r="Y771" i="11" s="1"/>
  <c r="K702" i="11"/>
  <c r="M702" i="11" s="1"/>
  <c r="Y768" i="11" s="1"/>
  <c r="K682" i="11"/>
  <c r="M682" i="11" s="1"/>
  <c r="Y748" i="11" s="1"/>
  <c r="K674" i="11"/>
  <c r="M674" i="11" s="1"/>
  <c r="Y740" i="11" s="1"/>
  <c r="K692" i="11"/>
  <c r="M692" i="11" s="1"/>
  <c r="Y758" i="11" s="1"/>
  <c r="K679" i="11"/>
  <c r="K671" i="11"/>
  <c r="K684" i="11"/>
  <c r="M684" i="11" s="1"/>
  <c r="Y750" i="11" s="1"/>
  <c r="K676" i="11"/>
  <c r="K668" i="11"/>
  <c r="K710" i="11"/>
  <c r="K687" i="11"/>
  <c r="K681" i="11"/>
  <c r="K673" i="11"/>
  <c r="K694" i="11"/>
  <c r="M694" i="11" s="1"/>
  <c r="Y760" i="11" s="1"/>
  <c r="K689" i="11"/>
  <c r="M689" i="11" s="1"/>
  <c r="Y755" i="11" s="1"/>
  <c r="K680" i="11"/>
  <c r="K672" i="11"/>
  <c r="M672" i="11" s="1"/>
  <c r="Y738" i="11" s="1"/>
  <c r="K670" i="11"/>
  <c r="M670" i="11" s="1"/>
  <c r="Y736" i="11" s="1"/>
  <c r="K685" i="11"/>
  <c r="M685" i="11" s="1"/>
  <c r="Y751" i="11" s="1"/>
  <c r="K683" i="11"/>
  <c r="M683" i="11" s="1"/>
  <c r="Y749" i="11" s="1"/>
  <c r="K677" i="11"/>
  <c r="M677" i="11" s="1"/>
  <c r="Y743" i="11" s="1"/>
  <c r="K675" i="11"/>
  <c r="M675" i="11" s="1"/>
  <c r="Y741" i="11" s="1"/>
  <c r="K697" i="11"/>
  <c r="M697" i="11" s="1"/>
  <c r="Y763" i="11" s="1"/>
  <c r="K686" i="11"/>
  <c r="M686" i="11" s="1"/>
  <c r="Y752" i="11" s="1"/>
  <c r="K678" i="11"/>
  <c r="M678" i="11" s="1"/>
  <c r="Y744" i="11" s="1"/>
  <c r="K688" i="11"/>
  <c r="K669" i="11"/>
  <c r="M669" i="11" s="1"/>
  <c r="Y735" i="11" s="1"/>
  <c r="M671" i="11"/>
  <c r="Y737" i="11" s="1"/>
  <c r="M713" i="11"/>
  <c r="Y779" i="11" s="1"/>
  <c r="M698" i="11"/>
  <c r="Y764" i="11" s="1"/>
  <c r="M679" i="11"/>
  <c r="Y745" i="11" s="1"/>
  <c r="M706" i="11"/>
  <c r="Y772" i="11" s="1"/>
  <c r="M691" i="11"/>
  <c r="Y757" i="11" s="1"/>
  <c r="M708" i="11"/>
  <c r="Y774" i="11" s="1"/>
  <c r="M701" i="11"/>
  <c r="Y767" i="11" s="1"/>
  <c r="M680" i="11"/>
  <c r="Y746" i="11" s="1"/>
  <c r="M673" i="11"/>
  <c r="Y739" i="11" s="1"/>
  <c r="M687" i="11"/>
  <c r="Y753" i="11" s="1"/>
  <c r="M681" i="11"/>
  <c r="Y747" i="11" s="1"/>
  <c r="M688" i="11"/>
  <c r="Y754" i="11" s="1"/>
  <c r="M707" i="11"/>
  <c r="Y773" i="11" s="1"/>
  <c r="L715" i="11"/>
  <c r="M668" i="11"/>
  <c r="M710" i="11"/>
  <c r="Y776" i="11" s="1"/>
  <c r="M699" i="11"/>
  <c r="Y765" i="11" s="1"/>
  <c r="M676" i="11"/>
  <c r="Y742" i="11" s="1"/>
  <c r="M711" i="11"/>
  <c r="Y777" i="11" s="1"/>
  <c r="M715" i="11" l="1"/>
  <c r="Y734" i="11"/>
  <c r="Y815" i="11" s="1"/>
  <c r="K715" i="11"/>
  <c r="B575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3" i="1"/>
  <c r="A493" i="1" l="1"/>
  <c r="C115" i="8"/>
  <c r="C444" i="1"/>
  <c r="D367" i="1"/>
  <c r="C119" i="8" s="1"/>
  <c r="D221" i="1"/>
  <c r="B444" i="1" s="1"/>
  <c r="D5" i="7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AU75" i="1"/>
  <c r="E218" i="9" s="1"/>
  <c r="AQ75" i="1"/>
  <c r="H186" i="9" s="1"/>
  <c r="AO75" i="1"/>
  <c r="AN75" i="1"/>
  <c r="E186" i="9" s="1"/>
  <c r="AM75" i="1"/>
  <c r="D186" i="9"/>
  <c r="AI75" i="1"/>
  <c r="AH75" i="1"/>
  <c r="F154" i="9" s="1"/>
  <c r="AF75" i="1"/>
  <c r="D154" i="9" s="1"/>
  <c r="AD75" i="1"/>
  <c r="AA75" i="1"/>
  <c r="F122" i="9" s="1"/>
  <c r="Z75" i="1"/>
  <c r="E122" i="9" s="1"/>
  <c r="X75" i="1"/>
  <c r="W75" i="1"/>
  <c r="V75" i="1"/>
  <c r="H90" i="9" s="1"/>
  <c r="T75" i="1"/>
  <c r="R75" i="1"/>
  <c r="Q75" i="1"/>
  <c r="C90" i="9" s="1"/>
  <c r="P75" i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90" i="1"/>
  <c r="C49" i="8" s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F8" i="6" s="1"/>
  <c r="E197" i="1"/>
  <c r="E198" i="1"/>
  <c r="E199" i="1"/>
  <c r="E200" i="1"/>
  <c r="E201" i="1"/>
  <c r="E202" i="1"/>
  <c r="C474" i="1" s="1"/>
  <c r="E203" i="1"/>
  <c r="D204" i="1"/>
  <c r="E16" i="6" s="1"/>
  <c r="B204" i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40" i="1"/>
  <c r="C429" i="1"/>
  <c r="C431" i="1"/>
  <c r="C432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D436" i="1"/>
  <c r="C34" i="5"/>
  <c r="C16" i="8"/>
  <c r="C469" i="1"/>
  <c r="I26" i="9"/>
  <c r="C218" i="9"/>
  <c r="D366" i="9"/>
  <c r="CE64" i="1"/>
  <c r="F612" i="1" s="1"/>
  <c r="D368" i="9"/>
  <c r="C276" i="9"/>
  <c r="CE70" i="1"/>
  <c r="C458" i="1" s="1"/>
  <c r="CE76" i="1"/>
  <c r="CF76" i="1" s="1"/>
  <c r="BC52" i="1" s="1"/>
  <c r="BC67" i="1" s="1"/>
  <c r="CE77" i="1"/>
  <c r="I381" i="9" s="1"/>
  <c r="I29" i="9"/>
  <c r="C95" i="9"/>
  <c r="CE79" i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CD71" i="1"/>
  <c r="E373" i="9" s="1"/>
  <c r="C615" i="1"/>
  <c r="I612" i="1"/>
  <c r="E372" i="9"/>
  <c r="J612" i="1"/>
  <c r="I380" i="9"/>
  <c r="D612" i="1"/>
  <c r="B10" i="4"/>
  <c r="G10" i="4"/>
  <c r="F10" i="4"/>
  <c r="BZ52" i="1"/>
  <c r="BZ67" i="1" s="1"/>
  <c r="H337" i="9" s="1"/>
  <c r="AO52" i="1"/>
  <c r="AO67" i="1" s="1"/>
  <c r="F177" i="9" s="1"/>
  <c r="AT52" i="1"/>
  <c r="AT67" i="1" s="1"/>
  <c r="D209" i="9" s="1"/>
  <c r="AE52" i="1"/>
  <c r="AE67" i="1" s="1"/>
  <c r="C145" i="9" s="1"/>
  <c r="BB52" i="1"/>
  <c r="BB67" i="1" s="1"/>
  <c r="AD52" i="1"/>
  <c r="AD67" i="1" s="1"/>
  <c r="I113" i="9" s="1"/>
  <c r="AZ52" i="1"/>
  <c r="AZ67" i="1" s="1"/>
  <c r="C241" i="9" s="1"/>
  <c r="Y52" i="1"/>
  <c r="Y67" i="1" s="1"/>
  <c r="D113" i="9" s="1"/>
  <c r="BH52" i="1"/>
  <c r="BH67" i="1" s="1"/>
  <c r="D273" i="9" s="1"/>
  <c r="AJ52" i="1"/>
  <c r="AJ67" i="1" s="1"/>
  <c r="H145" i="9" s="1"/>
  <c r="BA52" i="1"/>
  <c r="BA67" i="1" s="1"/>
  <c r="J52" i="1"/>
  <c r="J67" i="1" s="1"/>
  <c r="BW52" i="1"/>
  <c r="BW67" i="1" s="1"/>
  <c r="AQ52" i="1"/>
  <c r="AQ67" i="1" s="1"/>
  <c r="H177" i="9" s="1"/>
  <c r="BU52" i="1"/>
  <c r="BU67" i="1" s="1"/>
  <c r="AN52" i="1" l="1"/>
  <c r="AN67" i="1" s="1"/>
  <c r="E177" i="9" s="1"/>
  <c r="AS52" i="1"/>
  <c r="AS67" i="1" s="1"/>
  <c r="BO52" i="1"/>
  <c r="BO67" i="1" s="1"/>
  <c r="V52" i="1"/>
  <c r="V67" i="1" s="1"/>
  <c r="AR52" i="1"/>
  <c r="AR67" i="1" s="1"/>
  <c r="C14" i="5"/>
  <c r="C434" i="1"/>
  <c r="BG52" i="1"/>
  <c r="BG67" i="1" s="1"/>
  <c r="C273" i="9" s="1"/>
  <c r="G612" i="1"/>
  <c r="AF52" i="1"/>
  <c r="AF67" i="1" s="1"/>
  <c r="W52" i="1"/>
  <c r="W67" i="1" s="1"/>
  <c r="CF77" i="1"/>
  <c r="E52" i="1"/>
  <c r="E67" i="1" s="1"/>
  <c r="CC52" i="1"/>
  <c r="CC67" i="1" s="1"/>
  <c r="C52" i="1"/>
  <c r="C67" i="1" s="1"/>
  <c r="AH52" i="1"/>
  <c r="AH67" i="1" s="1"/>
  <c r="F145" i="9" s="1"/>
  <c r="Z52" i="1"/>
  <c r="Z67" i="1" s="1"/>
  <c r="E113" i="9" s="1"/>
  <c r="C473" i="1"/>
  <c r="I372" i="9"/>
  <c r="C464" i="1"/>
  <c r="C575" i="1"/>
  <c r="BA48" i="1"/>
  <c r="BA62" i="1" s="1"/>
  <c r="O48" i="1"/>
  <c r="O62" i="1" s="1"/>
  <c r="C430" i="1"/>
  <c r="I366" i="9"/>
  <c r="BH48" i="1"/>
  <c r="BH62" i="1" s="1"/>
  <c r="D268" i="9" s="1"/>
  <c r="AD48" i="1"/>
  <c r="AD62" i="1" s="1"/>
  <c r="I108" i="9" s="1"/>
  <c r="BW48" i="1"/>
  <c r="BW62" i="1" s="1"/>
  <c r="E332" i="9" s="1"/>
  <c r="AL48" i="1"/>
  <c r="AL62" i="1" s="1"/>
  <c r="C172" i="9" s="1"/>
  <c r="BP48" i="1"/>
  <c r="BP62" i="1" s="1"/>
  <c r="E300" i="9" s="1"/>
  <c r="Y48" i="1"/>
  <c r="Y62" i="1" s="1"/>
  <c r="Y71" i="1" s="1"/>
  <c r="C518" i="1" s="1"/>
  <c r="G518" i="1" s="1"/>
  <c r="BS48" i="1"/>
  <c r="BS62" i="1" s="1"/>
  <c r="D48" i="1"/>
  <c r="D62" i="1" s="1"/>
  <c r="D12" i="9" s="1"/>
  <c r="AR48" i="1"/>
  <c r="AR62" i="1" s="1"/>
  <c r="I172" i="9" s="1"/>
  <c r="BX48" i="1"/>
  <c r="BX62" i="1" s="1"/>
  <c r="F332" i="9" s="1"/>
  <c r="K48" i="1"/>
  <c r="K62" i="1" s="1"/>
  <c r="BE48" i="1"/>
  <c r="BE62" i="1" s="1"/>
  <c r="BZ48" i="1"/>
  <c r="BZ62" i="1" s="1"/>
  <c r="BZ71" i="1" s="1"/>
  <c r="C646" i="1" s="1"/>
  <c r="T48" i="1"/>
  <c r="T62" i="1" s="1"/>
  <c r="R48" i="1"/>
  <c r="R62" i="1" s="1"/>
  <c r="D76" i="9" s="1"/>
  <c r="AZ48" i="1"/>
  <c r="AZ62" i="1" s="1"/>
  <c r="AZ71" i="1" s="1"/>
  <c r="C245" i="9" s="1"/>
  <c r="AQ48" i="1"/>
  <c r="AQ62" i="1" s="1"/>
  <c r="E48" i="1"/>
  <c r="E62" i="1" s="1"/>
  <c r="E12" i="9" s="1"/>
  <c r="F48" i="1"/>
  <c r="F62" i="1" s="1"/>
  <c r="V48" i="1"/>
  <c r="V62" i="1" s="1"/>
  <c r="V71" i="1" s="1"/>
  <c r="AF48" i="1"/>
  <c r="AF62" i="1" s="1"/>
  <c r="AN48" i="1"/>
  <c r="AN62" i="1" s="1"/>
  <c r="AT48" i="1"/>
  <c r="AT62" i="1" s="1"/>
  <c r="AT71" i="1" s="1"/>
  <c r="BB48" i="1"/>
  <c r="BB62" i="1" s="1"/>
  <c r="BJ48" i="1"/>
  <c r="BJ62" i="1" s="1"/>
  <c r="BR48" i="1"/>
  <c r="BR62" i="1" s="1"/>
  <c r="G300" i="9" s="1"/>
  <c r="BY48" i="1"/>
  <c r="BY62" i="1" s="1"/>
  <c r="CB48" i="1"/>
  <c r="CB62" i="1" s="1"/>
  <c r="C364" i="9" s="1"/>
  <c r="S48" i="1"/>
  <c r="S62" i="1" s="1"/>
  <c r="AY48" i="1"/>
  <c r="AY62" i="1" s="1"/>
  <c r="CC48" i="1"/>
  <c r="CC62" i="1" s="1"/>
  <c r="AG48" i="1"/>
  <c r="AG62" i="1" s="1"/>
  <c r="E140" i="9" s="1"/>
  <c r="BM48" i="1"/>
  <c r="BM62" i="1" s="1"/>
  <c r="I268" i="9" s="1"/>
  <c r="U48" i="1"/>
  <c r="U62" i="1" s="1"/>
  <c r="BQ48" i="1"/>
  <c r="BQ62" i="1" s="1"/>
  <c r="F300" i="9" s="1"/>
  <c r="C427" i="1"/>
  <c r="BC48" i="1"/>
  <c r="BC62" i="1" s="1"/>
  <c r="AU48" i="1"/>
  <c r="AU62" i="1" s="1"/>
  <c r="H48" i="1"/>
  <c r="H62" i="1" s="1"/>
  <c r="H71" i="1" s="1"/>
  <c r="X48" i="1"/>
  <c r="X62" i="1" s="1"/>
  <c r="X71" i="1" s="1"/>
  <c r="C117" i="9" s="1"/>
  <c r="AS48" i="1"/>
  <c r="AS62" i="1" s="1"/>
  <c r="BK71" i="1"/>
  <c r="G277" i="9" s="1"/>
  <c r="J48" i="1"/>
  <c r="J62" i="1" s="1"/>
  <c r="AH48" i="1"/>
  <c r="AH62" i="1" s="1"/>
  <c r="AP48" i="1"/>
  <c r="AP62" i="1" s="1"/>
  <c r="AV48" i="1"/>
  <c r="AV62" i="1" s="1"/>
  <c r="BD48" i="1"/>
  <c r="BD62" i="1" s="1"/>
  <c r="G236" i="9" s="1"/>
  <c r="BL48" i="1"/>
  <c r="BL62" i="1" s="1"/>
  <c r="BL71" i="1" s="1"/>
  <c r="C557" i="1" s="1"/>
  <c r="BT48" i="1"/>
  <c r="BT62" i="1" s="1"/>
  <c r="I300" i="9" s="1"/>
  <c r="CA48" i="1"/>
  <c r="CA62" i="1" s="1"/>
  <c r="I332" i="9" s="1"/>
  <c r="C48" i="1"/>
  <c r="C62" i="1" s="1"/>
  <c r="C1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AO71" i="1" s="1"/>
  <c r="F181" i="9" s="1"/>
  <c r="BU48" i="1"/>
  <c r="BU62" i="1" s="1"/>
  <c r="BI48" i="1"/>
  <c r="BI62" i="1" s="1"/>
  <c r="AE48" i="1"/>
  <c r="AE62" i="1" s="1"/>
  <c r="AC48" i="1"/>
  <c r="AC62" i="1" s="1"/>
  <c r="H108" i="9" s="1"/>
  <c r="L48" i="1"/>
  <c r="L62" i="1" s="1"/>
  <c r="AB48" i="1"/>
  <c r="AB62" i="1" s="1"/>
  <c r="W48" i="1"/>
  <c r="W62" i="1" s="1"/>
  <c r="N48" i="1"/>
  <c r="N62" i="1" s="1"/>
  <c r="G44" i="9" s="1"/>
  <c r="Z48" i="1"/>
  <c r="Z62" i="1" s="1"/>
  <c r="Z71" i="1" s="1"/>
  <c r="AJ48" i="1"/>
  <c r="AJ62" i="1" s="1"/>
  <c r="H140" i="9" s="1"/>
  <c r="AX48" i="1"/>
  <c r="AX62" i="1" s="1"/>
  <c r="AX71" i="1" s="1"/>
  <c r="BF48" i="1"/>
  <c r="BF62" i="1" s="1"/>
  <c r="BN48" i="1"/>
  <c r="BN62" i="1" s="1"/>
  <c r="C300" i="9" s="1"/>
  <c r="BV48" i="1"/>
  <c r="BV62" i="1" s="1"/>
  <c r="D332" i="9" s="1"/>
  <c r="AI48" i="1"/>
  <c r="AI62" i="1" s="1"/>
  <c r="BO48" i="1"/>
  <c r="BO62" i="1" s="1"/>
  <c r="D300" i="9" s="1"/>
  <c r="Q48" i="1"/>
  <c r="Q62" i="1" s="1"/>
  <c r="Q71" i="1" s="1"/>
  <c r="C510" i="1" s="1"/>
  <c r="G510" i="1" s="1"/>
  <c r="AW48" i="1"/>
  <c r="AW62" i="1" s="1"/>
  <c r="G204" i="9" s="1"/>
  <c r="AK48" i="1"/>
  <c r="AK62" i="1" s="1"/>
  <c r="AM48" i="1"/>
  <c r="AM62" i="1" s="1"/>
  <c r="D172" i="9" s="1"/>
  <c r="M48" i="1"/>
  <c r="M62" i="1" s="1"/>
  <c r="F44" i="9" s="1"/>
  <c r="G48" i="1"/>
  <c r="G62" i="1" s="1"/>
  <c r="G12" i="9" s="1"/>
  <c r="P48" i="1"/>
  <c r="P62" i="1" s="1"/>
  <c r="P71" i="1" s="1"/>
  <c r="I53" i="9" s="1"/>
  <c r="I363" i="9"/>
  <c r="I362" i="9"/>
  <c r="F241" i="9"/>
  <c r="D305" i="9"/>
  <c r="D145" i="9"/>
  <c r="L52" i="1"/>
  <c r="L67" i="1" s="1"/>
  <c r="BI52" i="1"/>
  <c r="BI67" i="1" s="1"/>
  <c r="AC52" i="1"/>
  <c r="AC67" i="1" s="1"/>
  <c r="BX52" i="1"/>
  <c r="BX67" i="1" s="1"/>
  <c r="BT52" i="1"/>
  <c r="BT67" i="1" s="1"/>
  <c r="BT71" i="1" s="1"/>
  <c r="BJ52" i="1"/>
  <c r="BJ67" i="1" s="1"/>
  <c r="AI52" i="1"/>
  <c r="AI67" i="1" s="1"/>
  <c r="AL52" i="1"/>
  <c r="AL67" i="1" s="1"/>
  <c r="S52" i="1"/>
  <c r="S67" i="1" s="1"/>
  <c r="H52" i="1"/>
  <c r="H67" i="1" s="1"/>
  <c r="AV52" i="1"/>
  <c r="AV67" i="1" s="1"/>
  <c r="BP52" i="1"/>
  <c r="BP67" i="1" s="1"/>
  <c r="AG52" i="1"/>
  <c r="AG67" i="1" s="1"/>
  <c r="E145" i="9" s="1"/>
  <c r="N52" i="1"/>
  <c r="N67" i="1" s="1"/>
  <c r="AU52" i="1"/>
  <c r="AU67" i="1" s="1"/>
  <c r="R52" i="1"/>
  <c r="R67" i="1" s="1"/>
  <c r="O52" i="1"/>
  <c r="O67" i="1" s="1"/>
  <c r="AB52" i="1"/>
  <c r="AB67" i="1" s="1"/>
  <c r="BS52" i="1"/>
  <c r="BS67" i="1" s="1"/>
  <c r="Q52" i="1"/>
  <c r="Q67" i="1" s="1"/>
  <c r="I52" i="1"/>
  <c r="I67" i="1" s="1"/>
  <c r="I17" i="9" s="1"/>
  <c r="P52" i="1"/>
  <c r="P67" i="1" s="1"/>
  <c r="I49" i="9" s="1"/>
  <c r="U52" i="1"/>
  <c r="U67" i="1" s="1"/>
  <c r="BK52" i="1"/>
  <c r="BK67" i="1" s="1"/>
  <c r="G273" i="9" s="1"/>
  <c r="X52" i="1"/>
  <c r="X67" i="1" s="1"/>
  <c r="CA52" i="1"/>
  <c r="CA67" i="1" s="1"/>
  <c r="K52" i="1"/>
  <c r="K67" i="1" s="1"/>
  <c r="BL52" i="1"/>
  <c r="BL67" i="1" s="1"/>
  <c r="AP52" i="1"/>
  <c r="AP67" i="1" s="1"/>
  <c r="AP71" i="1" s="1"/>
  <c r="D236" i="9"/>
  <c r="BA71" i="1"/>
  <c r="C630" i="1" s="1"/>
  <c r="AS71" i="1"/>
  <c r="C538" i="1" s="1"/>
  <c r="G538" i="1" s="1"/>
  <c r="I337" i="9"/>
  <c r="B440" i="1"/>
  <c r="C141" i="8"/>
  <c r="C448" i="1"/>
  <c r="F12" i="6"/>
  <c r="D117" i="9"/>
  <c r="C209" i="9"/>
  <c r="E241" i="9"/>
  <c r="AR71" i="1"/>
  <c r="BX71" i="1"/>
  <c r="H236" i="9"/>
  <c r="H332" i="9"/>
  <c r="D277" i="1"/>
  <c r="C35" i="8" s="1"/>
  <c r="B476" i="1"/>
  <c r="C112" i="8"/>
  <c r="B465" i="1"/>
  <c r="E58" i="9"/>
  <c r="I58" i="9"/>
  <c r="F90" i="9"/>
  <c r="D218" i="9"/>
  <c r="C571" i="1"/>
  <c r="H341" i="9"/>
  <c r="G154" i="9"/>
  <c r="F236" i="9"/>
  <c r="BC71" i="1"/>
  <c r="C122" i="9"/>
  <c r="C81" i="9"/>
  <c r="D140" i="9"/>
  <c r="AF71" i="1"/>
  <c r="I81" i="9"/>
  <c r="E81" i="9"/>
  <c r="BH71" i="1"/>
  <c r="S71" i="1"/>
  <c r="E76" i="9"/>
  <c r="G122" i="9"/>
  <c r="D368" i="1"/>
  <c r="C120" i="8" s="1"/>
  <c r="C186" i="9"/>
  <c r="I122" i="9"/>
  <c r="I90" i="9"/>
  <c r="B566" i="1"/>
  <c r="B564" i="1"/>
  <c r="B571" i="1"/>
  <c r="B500" i="1"/>
  <c r="B525" i="1"/>
  <c r="B563" i="1"/>
  <c r="B532" i="1"/>
  <c r="B573" i="1"/>
  <c r="B501" i="1"/>
  <c r="B544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B523" i="1"/>
  <c r="C337" i="9"/>
  <c r="C49" i="9"/>
  <c r="E49" i="9"/>
  <c r="E305" i="9"/>
  <c r="G113" i="9"/>
  <c r="F209" i="9"/>
  <c r="BJ71" i="1"/>
  <c r="F268" i="9"/>
  <c r="E273" i="9"/>
  <c r="D241" i="9"/>
  <c r="H305" i="9"/>
  <c r="H76" i="9"/>
  <c r="G172" i="9"/>
  <c r="BF71" i="1"/>
  <c r="I236" i="9"/>
  <c r="C17" i="9"/>
  <c r="I177" i="9"/>
  <c r="D369" i="9"/>
  <c r="D81" i="9"/>
  <c r="H44" i="9"/>
  <c r="O71" i="1"/>
  <c r="B446" i="1"/>
  <c r="D242" i="1"/>
  <c r="H273" i="9"/>
  <c r="H81" i="9"/>
  <c r="C418" i="1"/>
  <c r="D438" i="1"/>
  <c r="F14" i="6"/>
  <c r="C471" i="1"/>
  <c r="F10" i="6"/>
  <c r="D339" i="1"/>
  <c r="D26" i="9"/>
  <c r="CE75" i="1"/>
  <c r="E337" i="9"/>
  <c r="G49" i="9"/>
  <c r="G177" i="9"/>
  <c r="H49" i="9"/>
  <c r="D108" i="9"/>
  <c r="F7" i="6"/>
  <c r="E204" i="1"/>
  <c r="C468" i="1"/>
  <c r="I383" i="9"/>
  <c r="D22" i="7"/>
  <c r="C40" i="5"/>
  <c r="C420" i="1"/>
  <c r="B28" i="4"/>
  <c r="F186" i="9"/>
  <c r="E17" i="9"/>
  <c r="F273" i="9"/>
  <c r="H172" i="9"/>
  <c r="AQ71" i="1"/>
  <c r="BD52" i="1"/>
  <c r="BD67" i="1" s="1"/>
  <c r="AM52" i="1"/>
  <c r="AM67" i="1" s="1"/>
  <c r="AM71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BM71" i="1" s="1"/>
  <c r="C638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CE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BO71" i="1"/>
  <c r="D434" i="1"/>
  <c r="C58" i="9"/>
  <c r="H277" i="9" l="1"/>
  <c r="AV71" i="1"/>
  <c r="AU71" i="1"/>
  <c r="C540" i="1" s="1"/>
  <c r="G540" i="1" s="1"/>
  <c r="T71" i="1"/>
  <c r="N71" i="1"/>
  <c r="AB71" i="1"/>
  <c r="G117" i="9" s="1"/>
  <c r="I305" i="9"/>
  <c r="AD71" i="1"/>
  <c r="H268" i="9"/>
  <c r="C236" i="9"/>
  <c r="D373" i="1"/>
  <c r="U71" i="1"/>
  <c r="C514" i="1" s="1"/>
  <c r="G514" i="1" s="1"/>
  <c r="C690" i="1"/>
  <c r="C521" i="1"/>
  <c r="G521" i="1" s="1"/>
  <c r="BW71" i="1"/>
  <c r="C643" i="1" s="1"/>
  <c r="I204" i="9"/>
  <c r="E204" i="9"/>
  <c r="E213" i="9"/>
  <c r="BV71" i="1"/>
  <c r="C567" i="1" s="1"/>
  <c r="G108" i="9"/>
  <c r="C693" i="1"/>
  <c r="BG71" i="1"/>
  <c r="C552" i="1" s="1"/>
  <c r="G71" i="1"/>
  <c r="C672" i="1" s="1"/>
  <c r="D71" i="1"/>
  <c r="C497" i="1" s="1"/>
  <c r="G497" i="1" s="1"/>
  <c r="F71" i="1"/>
  <c r="C499" i="1" s="1"/>
  <c r="G499" i="1" s="1"/>
  <c r="F172" i="9"/>
  <c r="BQ71" i="1"/>
  <c r="C623" i="1" s="1"/>
  <c r="I76" i="9"/>
  <c r="G140" i="9"/>
  <c r="G332" i="9"/>
  <c r="R71" i="1"/>
  <c r="C511" i="1" s="1"/>
  <c r="G511" i="1" s="1"/>
  <c r="J71" i="1"/>
  <c r="C675" i="1" s="1"/>
  <c r="CC71" i="1"/>
  <c r="C620" i="1" s="1"/>
  <c r="AL71" i="1"/>
  <c r="C703" i="1" s="1"/>
  <c r="D204" i="9"/>
  <c r="BD71" i="1"/>
  <c r="C549" i="1" s="1"/>
  <c r="C44" i="9"/>
  <c r="F12" i="9"/>
  <c r="D44" i="9"/>
  <c r="C71" i="1"/>
  <c r="C496" i="1" s="1"/>
  <c r="G496" i="1" s="1"/>
  <c r="D364" i="9"/>
  <c r="C706" i="1"/>
  <c r="W71" i="1"/>
  <c r="I85" i="9" s="1"/>
  <c r="BY71" i="1"/>
  <c r="C570" i="1" s="1"/>
  <c r="C534" i="1"/>
  <c r="G534" i="1" s="1"/>
  <c r="AC71" i="1"/>
  <c r="C694" i="1" s="1"/>
  <c r="K71" i="1"/>
  <c r="C504" i="1" s="1"/>
  <c r="G504" i="1" s="1"/>
  <c r="C689" i="1"/>
  <c r="BB71" i="1"/>
  <c r="C632" i="1" s="1"/>
  <c r="BN71" i="1"/>
  <c r="C619" i="1" s="1"/>
  <c r="C712" i="1"/>
  <c r="E71" i="1"/>
  <c r="C670" i="1" s="1"/>
  <c r="C637" i="1"/>
  <c r="G76" i="9"/>
  <c r="AA71" i="1"/>
  <c r="C520" i="1" s="1"/>
  <c r="G520" i="1" s="1"/>
  <c r="E236" i="9"/>
  <c r="F140" i="9"/>
  <c r="C108" i="9"/>
  <c r="H204" i="9"/>
  <c r="AH71" i="1"/>
  <c r="C527" i="1" s="1"/>
  <c r="G527" i="1" s="1"/>
  <c r="C681" i="1"/>
  <c r="BE71" i="1"/>
  <c r="H245" i="9" s="1"/>
  <c r="AG71" i="1"/>
  <c r="E149" i="9" s="1"/>
  <c r="C517" i="1"/>
  <c r="G517" i="1" s="1"/>
  <c r="BP71" i="1"/>
  <c r="I44" i="9"/>
  <c r="C509" i="1"/>
  <c r="G509" i="1" s="1"/>
  <c r="AI71" i="1"/>
  <c r="C700" i="1" s="1"/>
  <c r="CB71" i="1"/>
  <c r="C573" i="1" s="1"/>
  <c r="AJ71" i="1"/>
  <c r="C701" i="1" s="1"/>
  <c r="I277" i="9"/>
  <c r="H300" i="9"/>
  <c r="BS71" i="1"/>
  <c r="AN71" i="1"/>
  <c r="E181" i="9" s="1"/>
  <c r="F204" i="9"/>
  <c r="F76" i="9"/>
  <c r="C556" i="1"/>
  <c r="CE48" i="1"/>
  <c r="AE71" i="1"/>
  <c r="E172" i="9"/>
  <c r="CA71" i="1"/>
  <c r="C572" i="1" s="1"/>
  <c r="CE62" i="1"/>
  <c r="I364" i="9" s="1"/>
  <c r="BR71" i="1"/>
  <c r="C563" i="1" s="1"/>
  <c r="AY71" i="1"/>
  <c r="C625" i="1" s="1"/>
  <c r="M71" i="1"/>
  <c r="F53" i="9" s="1"/>
  <c r="C140" i="9"/>
  <c r="E108" i="9"/>
  <c r="C76" i="9"/>
  <c r="C635" i="1"/>
  <c r="C682" i="1"/>
  <c r="C85" i="9"/>
  <c r="I71" i="1"/>
  <c r="E268" i="9"/>
  <c r="BI71" i="1"/>
  <c r="C204" i="9"/>
  <c r="C558" i="1"/>
  <c r="AK71" i="1"/>
  <c r="I140" i="9"/>
  <c r="L71" i="1"/>
  <c r="E44" i="9"/>
  <c r="C332" i="9"/>
  <c r="BU71" i="1"/>
  <c r="AW71" i="1"/>
  <c r="H12" i="9"/>
  <c r="CE52" i="1"/>
  <c r="C113" i="9"/>
  <c r="H17" i="9"/>
  <c r="D49" i="9"/>
  <c r="G81" i="9"/>
  <c r="C177" i="9"/>
  <c r="F337" i="9"/>
  <c r="E209" i="9"/>
  <c r="G145" i="9"/>
  <c r="H113" i="9"/>
  <c r="C686" i="1"/>
  <c r="C546" i="1"/>
  <c r="G546" i="1" s="1"/>
  <c r="C710" i="1"/>
  <c r="C213" i="9"/>
  <c r="G85" i="9"/>
  <c r="C618" i="1"/>
  <c r="C277" i="9"/>
  <c r="D245" i="9"/>
  <c r="C545" i="1"/>
  <c r="G545" i="1" s="1"/>
  <c r="C628" i="1"/>
  <c r="D292" i="1"/>
  <c r="C50" i="8" s="1"/>
  <c r="C633" i="1"/>
  <c r="C548" i="1"/>
  <c r="F245" i="9"/>
  <c r="C709" i="1"/>
  <c r="I181" i="9"/>
  <c r="C537" i="1"/>
  <c r="G537" i="1" s="1"/>
  <c r="C713" i="1"/>
  <c r="F213" i="9"/>
  <c r="C541" i="1"/>
  <c r="C640" i="1"/>
  <c r="I309" i="9"/>
  <c r="C565" i="1"/>
  <c r="C533" i="1"/>
  <c r="G533" i="1" s="1"/>
  <c r="C569" i="1"/>
  <c r="F341" i="9"/>
  <c r="C644" i="1"/>
  <c r="E85" i="9"/>
  <c r="C512" i="1"/>
  <c r="G512" i="1" s="1"/>
  <c r="C684" i="1"/>
  <c r="C553" i="1"/>
  <c r="C636" i="1"/>
  <c r="D277" i="9"/>
  <c r="C513" i="1"/>
  <c r="G513" i="1" s="1"/>
  <c r="F85" i="9"/>
  <c r="C685" i="1"/>
  <c r="C532" i="1"/>
  <c r="G532" i="1" s="1"/>
  <c r="D181" i="9"/>
  <c r="C704" i="1"/>
  <c r="D149" i="9"/>
  <c r="C697" i="1"/>
  <c r="C525" i="1"/>
  <c r="G525" i="1" s="1"/>
  <c r="E117" i="9"/>
  <c r="C519" i="1"/>
  <c r="G519" i="1" s="1"/>
  <c r="C691" i="1"/>
  <c r="B513" i="1"/>
  <c r="B524" i="1"/>
  <c r="B545" i="1"/>
  <c r="B549" i="1"/>
  <c r="B533" i="1"/>
  <c r="B562" i="1"/>
  <c r="B502" i="1"/>
  <c r="B553" i="1"/>
  <c r="B514" i="1"/>
  <c r="B522" i="1"/>
  <c r="B570" i="1"/>
  <c r="B554" i="1"/>
  <c r="B504" i="1"/>
  <c r="B515" i="1"/>
  <c r="F515" i="1" s="1"/>
  <c r="B529" i="1"/>
  <c r="B542" i="1"/>
  <c r="B498" i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H497" i="1" s="1"/>
  <c r="B538" i="1"/>
  <c r="B499" i="1"/>
  <c r="F499" i="1" s="1"/>
  <c r="B512" i="1"/>
  <c r="B546" i="1"/>
  <c r="B537" i="1"/>
  <c r="B519" i="1"/>
  <c r="B555" i="1"/>
  <c r="B543" i="1"/>
  <c r="H501" i="1"/>
  <c r="F501" i="1"/>
  <c r="F517" i="1"/>
  <c r="G17" i="9"/>
  <c r="I273" i="9"/>
  <c r="D27" i="7"/>
  <c r="B448" i="1"/>
  <c r="C669" i="1"/>
  <c r="F544" i="1"/>
  <c r="H536" i="1"/>
  <c r="F536" i="1"/>
  <c r="F520" i="1"/>
  <c r="D341" i="1"/>
  <c r="C481" i="1" s="1"/>
  <c r="D309" i="9"/>
  <c r="C627" i="1"/>
  <c r="C560" i="1"/>
  <c r="H209" i="9"/>
  <c r="D337" i="9"/>
  <c r="F81" i="9"/>
  <c r="I209" i="9"/>
  <c r="I241" i="9"/>
  <c r="I378" i="9"/>
  <c r="K612" i="1"/>
  <c r="C465" i="1"/>
  <c r="C616" i="1"/>
  <c r="C543" i="1"/>
  <c r="H213" i="9"/>
  <c r="C126" i="8"/>
  <c r="D391" i="1"/>
  <c r="F32" i="6"/>
  <c r="C478" i="1"/>
  <c r="C305" i="9"/>
  <c r="C536" i="1"/>
  <c r="G536" i="1" s="1"/>
  <c r="H181" i="9"/>
  <c r="C708" i="1"/>
  <c r="C102" i="8"/>
  <c r="C482" i="1"/>
  <c r="E21" i="9"/>
  <c r="I369" i="9"/>
  <c r="C433" i="1"/>
  <c r="C687" i="1"/>
  <c r="C515" i="1"/>
  <c r="G515" i="1" s="1"/>
  <c r="H85" i="9"/>
  <c r="C501" i="1"/>
  <c r="G501" i="1" s="1"/>
  <c r="H21" i="9"/>
  <c r="C673" i="1"/>
  <c r="H241" i="9"/>
  <c r="I145" i="9"/>
  <c r="G209" i="9"/>
  <c r="G337" i="9"/>
  <c r="D177" i="9"/>
  <c r="C476" i="1"/>
  <c r="F16" i="6"/>
  <c r="H53" i="9"/>
  <c r="C680" i="1"/>
  <c r="C508" i="1"/>
  <c r="G508" i="1" s="1"/>
  <c r="G309" i="9"/>
  <c r="D341" i="9"/>
  <c r="I245" i="9"/>
  <c r="C629" i="1"/>
  <c r="C551" i="1"/>
  <c r="G341" i="9"/>
  <c r="C711" i="1"/>
  <c r="D213" i="9"/>
  <c r="C539" i="1"/>
  <c r="G539" i="1" s="1"/>
  <c r="D17" i="9"/>
  <c r="F305" i="9"/>
  <c r="C535" i="1"/>
  <c r="G535" i="1" s="1"/>
  <c r="C707" i="1"/>
  <c r="G181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G53" i="9"/>
  <c r="C507" i="1"/>
  <c r="G507" i="1" s="1"/>
  <c r="C679" i="1"/>
  <c r="C555" i="1"/>
  <c r="C617" i="1"/>
  <c r="F277" i="9"/>
  <c r="C523" i="1"/>
  <c r="G523" i="1" s="1"/>
  <c r="C695" i="1"/>
  <c r="I117" i="9"/>
  <c r="E341" i="9" l="1"/>
  <c r="G21" i="9"/>
  <c r="C500" i="1"/>
  <c r="G500" i="1" s="1"/>
  <c r="C568" i="1"/>
  <c r="D53" i="9"/>
  <c r="C626" i="1"/>
  <c r="F117" i="9"/>
  <c r="C498" i="1"/>
  <c r="G498" i="1" s="1"/>
  <c r="C642" i="1"/>
  <c r="C506" i="1"/>
  <c r="G506" i="1" s="1"/>
  <c r="D21" i="9"/>
  <c r="C645" i="1"/>
  <c r="C624" i="1"/>
  <c r="C676" i="1"/>
  <c r="C309" i="9"/>
  <c r="C698" i="1"/>
  <c r="C53" i="9"/>
  <c r="C699" i="1"/>
  <c r="C373" i="9"/>
  <c r="C181" i="9"/>
  <c r="C522" i="1"/>
  <c r="G522" i="1" s="1"/>
  <c r="D85" i="9"/>
  <c r="I341" i="9"/>
  <c r="C516" i="1"/>
  <c r="G516" i="1" s="1"/>
  <c r="H516" i="1" s="1"/>
  <c r="C683" i="1"/>
  <c r="C531" i="1"/>
  <c r="G531" i="1" s="1"/>
  <c r="C547" i="1"/>
  <c r="C528" i="1"/>
  <c r="G528" i="1" s="1"/>
  <c r="C692" i="1"/>
  <c r="C705" i="1"/>
  <c r="C647" i="1"/>
  <c r="C562" i="1"/>
  <c r="F309" i="9"/>
  <c r="C503" i="1"/>
  <c r="G503" i="1" s="1"/>
  <c r="C622" i="1"/>
  <c r="C559" i="1"/>
  <c r="D373" i="9"/>
  <c r="C21" i="9"/>
  <c r="F21" i="9"/>
  <c r="C671" i="1"/>
  <c r="C678" i="1"/>
  <c r="C574" i="1"/>
  <c r="C526" i="1"/>
  <c r="G526" i="1" s="1"/>
  <c r="C668" i="1"/>
  <c r="F149" i="9"/>
  <c r="G245" i="9"/>
  <c r="C614" i="1"/>
  <c r="D615" i="1" s="1"/>
  <c r="I213" i="9"/>
  <c r="E245" i="9"/>
  <c r="C688" i="1"/>
  <c r="H117" i="9"/>
  <c r="C550" i="1"/>
  <c r="G550" i="1" s="1"/>
  <c r="G149" i="9"/>
  <c r="CE71" i="1"/>
  <c r="C716" i="1" s="1"/>
  <c r="C529" i="1"/>
  <c r="G529" i="1" s="1"/>
  <c r="H149" i="9"/>
  <c r="C428" i="1"/>
  <c r="C441" i="1" s="1"/>
  <c r="H517" i="1"/>
  <c r="C621" i="1"/>
  <c r="E309" i="9"/>
  <c r="C561" i="1"/>
  <c r="C639" i="1"/>
  <c r="H309" i="9"/>
  <c r="C564" i="1"/>
  <c r="C544" i="1"/>
  <c r="G544" i="1" s="1"/>
  <c r="C524" i="1"/>
  <c r="C149" i="9"/>
  <c r="C696" i="1"/>
  <c r="C566" i="1"/>
  <c r="C641" i="1"/>
  <c r="C341" i="9"/>
  <c r="C677" i="1"/>
  <c r="C505" i="1"/>
  <c r="G505" i="1" s="1"/>
  <c r="E53" i="9"/>
  <c r="C530" i="1"/>
  <c r="G530" i="1" s="1"/>
  <c r="C702" i="1"/>
  <c r="I149" i="9"/>
  <c r="C502" i="1"/>
  <c r="G502" i="1" s="1"/>
  <c r="C674" i="1"/>
  <c r="I21" i="9"/>
  <c r="E277" i="9"/>
  <c r="C634" i="1"/>
  <c r="C554" i="1"/>
  <c r="C542" i="1"/>
  <c r="C631" i="1"/>
  <c r="G213" i="9"/>
  <c r="H520" i="1"/>
  <c r="H498" i="1"/>
  <c r="H515" i="1"/>
  <c r="F497" i="1"/>
  <c r="F505" i="1"/>
  <c r="H499" i="1"/>
  <c r="F498" i="1"/>
  <c r="H511" i="1"/>
  <c r="F511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F508" i="1"/>
  <c r="H508" i="1" s="1"/>
  <c r="F514" i="1"/>
  <c r="H514" i="1" s="1"/>
  <c r="H507" i="1"/>
  <c r="F507" i="1"/>
  <c r="H518" i="1"/>
  <c r="F518" i="1"/>
  <c r="H546" i="1"/>
  <c r="F546" i="1"/>
  <c r="F506" i="1"/>
  <c r="H506" i="1"/>
  <c r="H500" i="1"/>
  <c r="F500" i="1"/>
  <c r="F509" i="1"/>
  <c r="H509" i="1" s="1"/>
  <c r="H528" i="1" l="1"/>
  <c r="H522" i="1"/>
  <c r="I373" i="9"/>
  <c r="H526" i="1"/>
  <c r="H550" i="1"/>
  <c r="C648" i="1"/>
  <c r="M716" i="1" s="1"/>
  <c r="C715" i="1"/>
  <c r="H544" i="1"/>
  <c r="G524" i="1"/>
  <c r="H524" i="1" s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F496" i="1"/>
  <c r="H496" i="1" s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E612" i="1" l="1"/>
  <c r="E623" i="1"/>
  <c r="D715" i="1"/>
  <c r="E697" i="1" l="1"/>
  <c r="E716" i="1"/>
  <c r="E710" i="1"/>
  <c r="E670" i="1"/>
  <c r="E688" i="1"/>
  <c r="E687" i="1"/>
  <c r="E702" i="1"/>
  <c r="E709" i="1"/>
  <c r="E684" i="1"/>
  <c r="E640" i="1"/>
  <c r="E634" i="1"/>
  <c r="E703" i="1"/>
  <c r="E685" i="1"/>
  <c r="E672" i="1"/>
  <c r="E678" i="1"/>
  <c r="E644" i="1"/>
  <c r="E643" i="1"/>
  <c r="E713" i="1"/>
  <c r="E677" i="1"/>
  <c r="E632" i="1"/>
  <c r="E645" i="1"/>
  <c r="E706" i="1"/>
  <c r="E700" i="1"/>
  <c r="E698" i="1"/>
  <c r="E691" i="1"/>
  <c r="E689" i="1"/>
  <c r="E646" i="1"/>
  <c r="E674" i="1"/>
  <c r="E647" i="1"/>
  <c r="E636" i="1"/>
  <c r="E629" i="1"/>
  <c r="E630" i="1"/>
  <c r="E690" i="1"/>
  <c r="E712" i="1"/>
  <c r="E642" i="1"/>
  <c r="E626" i="1"/>
  <c r="E679" i="1"/>
  <c r="E673" i="1"/>
  <c r="E631" i="1"/>
  <c r="E638" i="1"/>
  <c r="E676" i="1"/>
  <c r="E675" i="1"/>
  <c r="E669" i="1"/>
  <c r="E701" i="1"/>
  <c r="E635" i="1"/>
  <c r="E694" i="1"/>
  <c r="E692" i="1"/>
  <c r="E695" i="1"/>
  <c r="E681" i="1"/>
  <c r="E705" i="1"/>
  <c r="E627" i="1"/>
  <c r="E711" i="1"/>
  <c r="E708" i="1"/>
  <c r="E696" i="1"/>
  <c r="E680" i="1"/>
  <c r="E637" i="1"/>
  <c r="E704" i="1"/>
  <c r="E633" i="1"/>
  <c r="E699" i="1"/>
  <c r="E671" i="1"/>
  <c r="E707" i="1"/>
  <c r="E683" i="1"/>
  <c r="E668" i="1"/>
  <c r="E686" i="1"/>
  <c r="E639" i="1"/>
  <c r="E625" i="1"/>
  <c r="E624" i="1"/>
  <c r="E682" i="1"/>
  <c r="E628" i="1"/>
  <c r="E641" i="1"/>
  <c r="E693" i="1"/>
  <c r="E715" i="1" l="1"/>
  <c r="F624" i="1"/>
  <c r="F708" i="1" l="1"/>
  <c r="F645" i="1"/>
  <c r="F713" i="1"/>
  <c r="F642" i="1"/>
  <c r="F626" i="1"/>
  <c r="F625" i="1"/>
  <c r="G625" i="1" s="1"/>
  <c r="F675" i="1"/>
  <c r="F631" i="1"/>
  <c r="F670" i="1"/>
  <c r="F706" i="1"/>
  <c r="F627" i="1"/>
  <c r="F701" i="1"/>
  <c r="F693" i="1"/>
  <c r="F699" i="1"/>
  <c r="F635" i="1"/>
  <c r="F668" i="1"/>
  <c r="F669" i="1"/>
  <c r="F629" i="1"/>
  <c r="F638" i="1"/>
  <c r="F636" i="1"/>
  <c r="F676" i="1"/>
  <c r="F704" i="1"/>
  <c r="F692" i="1"/>
  <c r="F688" i="1"/>
  <c r="F644" i="1"/>
  <c r="F689" i="1"/>
  <c r="F712" i="1"/>
  <c r="F683" i="1"/>
  <c r="F637" i="1"/>
  <c r="F690" i="1"/>
  <c r="F681" i="1"/>
  <c r="F643" i="1"/>
  <c r="F703" i="1"/>
  <c r="F697" i="1"/>
  <c r="F711" i="1"/>
  <c r="F634" i="1"/>
  <c r="F630" i="1"/>
  <c r="F640" i="1"/>
  <c r="F646" i="1"/>
  <c r="F639" i="1"/>
  <c r="F707" i="1"/>
  <c r="F694" i="1"/>
  <c r="F674" i="1"/>
  <c r="F678" i="1"/>
  <c r="F672" i="1"/>
  <c r="F695" i="1"/>
  <c r="F641" i="1"/>
  <c r="F628" i="1"/>
  <c r="F716" i="1"/>
  <c r="F684" i="1"/>
  <c r="F647" i="1"/>
  <c r="F705" i="1"/>
  <c r="F696" i="1"/>
  <c r="F709" i="1"/>
  <c r="F686" i="1"/>
  <c r="F679" i="1"/>
  <c r="F682" i="1"/>
  <c r="F633" i="1"/>
  <c r="F671" i="1"/>
  <c r="F632" i="1"/>
  <c r="F691" i="1"/>
  <c r="F700" i="1"/>
  <c r="F677" i="1"/>
  <c r="F710" i="1"/>
  <c r="F687" i="1"/>
  <c r="F673" i="1"/>
  <c r="F698" i="1"/>
  <c r="F680" i="1"/>
  <c r="F702" i="1"/>
  <c r="F685" i="1"/>
  <c r="F715" i="1" l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H628" i="1" l="1"/>
  <c r="H679" i="1" s="1"/>
  <c r="H681" i="1"/>
  <c r="H716" i="1"/>
  <c r="H683" i="1"/>
  <c r="H647" i="1"/>
  <c r="H672" i="1"/>
  <c r="H674" i="1"/>
  <c r="H696" i="1"/>
  <c r="H701" i="1"/>
  <c r="H673" i="1"/>
  <c r="G715" i="1"/>
  <c r="H704" i="1" l="1"/>
  <c r="H699" i="1"/>
  <c r="H642" i="1"/>
  <c r="H687" i="1"/>
  <c r="H703" i="1"/>
  <c r="H675" i="1"/>
  <c r="H677" i="1"/>
  <c r="H692" i="1"/>
  <c r="H635" i="1"/>
  <c r="H705" i="1"/>
  <c r="H711" i="1"/>
  <c r="H698" i="1"/>
  <c r="H676" i="1"/>
  <c r="H684" i="1"/>
  <c r="H702" i="1"/>
  <c r="H707" i="1"/>
  <c r="H646" i="1"/>
  <c r="H678" i="1"/>
  <c r="H694" i="1"/>
  <c r="H638" i="1"/>
  <c r="H700" i="1"/>
  <c r="H693" i="1"/>
  <c r="H637" i="1"/>
  <c r="H645" i="1"/>
  <c r="H713" i="1"/>
  <c r="H688" i="1"/>
  <c r="H634" i="1"/>
  <c r="H636" i="1"/>
  <c r="H669" i="1"/>
  <c r="H686" i="1"/>
  <c r="H697" i="1"/>
  <c r="H640" i="1"/>
  <c r="H708" i="1"/>
  <c r="H671" i="1"/>
  <c r="H706" i="1"/>
  <c r="H630" i="1"/>
  <c r="H695" i="1"/>
  <c r="H641" i="1"/>
  <c r="H689" i="1"/>
  <c r="H632" i="1"/>
  <c r="H715" i="1" s="1"/>
  <c r="H629" i="1"/>
  <c r="H691" i="1"/>
  <c r="H680" i="1"/>
  <c r="H670" i="1"/>
  <c r="H709" i="1"/>
  <c r="H710" i="1"/>
  <c r="H682" i="1"/>
  <c r="H633" i="1"/>
  <c r="H643" i="1"/>
  <c r="H690" i="1"/>
  <c r="H644" i="1"/>
  <c r="H631" i="1"/>
  <c r="H639" i="1"/>
  <c r="H685" i="1"/>
  <c r="H712" i="1"/>
  <c r="H668" i="1"/>
  <c r="I629" i="1"/>
  <c r="I646" i="1" l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45" i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15" i="1" l="1"/>
  <c r="J630" i="1"/>
  <c r="J696" i="1" l="1"/>
  <c r="J639" i="1"/>
  <c r="J647" i="1"/>
  <c r="J695" i="1"/>
  <c r="J699" i="1"/>
  <c r="J713" i="1"/>
  <c r="J712" i="1"/>
  <c r="J670" i="1"/>
  <c r="J676" i="1"/>
  <c r="J642" i="1"/>
  <c r="J697" i="1"/>
  <c r="J693" i="1"/>
  <c r="J674" i="1"/>
  <c r="J707" i="1"/>
  <c r="J677" i="1"/>
  <c r="J672" i="1"/>
  <c r="J691" i="1"/>
  <c r="J646" i="1"/>
  <c r="J683" i="1"/>
  <c r="J684" i="1"/>
  <c r="J636" i="1"/>
  <c r="J680" i="1"/>
  <c r="J685" i="1"/>
  <c r="J632" i="1"/>
  <c r="J644" i="1"/>
  <c r="J641" i="1"/>
  <c r="J673" i="1"/>
  <c r="J675" i="1"/>
  <c r="J643" i="1"/>
  <c r="J635" i="1"/>
  <c r="J703" i="1"/>
  <c r="J637" i="1"/>
  <c r="J704" i="1"/>
  <c r="J689" i="1"/>
  <c r="J711" i="1"/>
  <c r="J679" i="1"/>
  <c r="J716" i="1"/>
  <c r="J692" i="1"/>
  <c r="J669" i="1"/>
  <c r="J706" i="1"/>
  <c r="J710" i="1"/>
  <c r="J633" i="1"/>
  <c r="J687" i="1"/>
  <c r="J682" i="1"/>
  <c r="J671" i="1"/>
  <c r="J702" i="1"/>
  <c r="J634" i="1"/>
  <c r="J708" i="1"/>
  <c r="J688" i="1"/>
  <c r="J645" i="1"/>
  <c r="J701" i="1"/>
  <c r="J700" i="1"/>
  <c r="J705" i="1"/>
  <c r="J678" i="1"/>
  <c r="J698" i="1"/>
  <c r="J690" i="1"/>
  <c r="J686" i="1"/>
  <c r="J681" i="1"/>
  <c r="J709" i="1"/>
  <c r="J668" i="1"/>
  <c r="J631" i="1"/>
  <c r="J640" i="1"/>
  <c r="J638" i="1"/>
  <c r="J694" i="1"/>
  <c r="L647" i="1" l="1"/>
  <c r="L684" i="1" s="1"/>
  <c r="K644" i="1"/>
  <c r="K716" i="1" s="1"/>
  <c r="J715" i="1"/>
  <c r="K694" i="1" l="1"/>
  <c r="L706" i="1"/>
  <c r="L705" i="1"/>
  <c r="K706" i="1"/>
  <c r="M706" i="1" s="1"/>
  <c r="K699" i="1"/>
  <c r="M699" i="1" s="1"/>
  <c r="K701" i="1"/>
  <c r="K672" i="1"/>
  <c r="K683" i="1"/>
  <c r="K671" i="1"/>
  <c r="K669" i="1"/>
  <c r="K697" i="1"/>
  <c r="K675" i="1"/>
  <c r="K700" i="1"/>
  <c r="K709" i="1"/>
  <c r="K685" i="1"/>
  <c r="M685" i="1" s="1"/>
  <c r="K710" i="1"/>
  <c r="M710" i="1" s="1"/>
  <c r="K684" i="1"/>
  <c r="M684" i="1" s="1"/>
  <c r="K711" i="1"/>
  <c r="K673" i="1"/>
  <c r="K695" i="1"/>
  <c r="K705" i="1"/>
  <c r="M705" i="1" s="1"/>
  <c r="L678" i="1"/>
  <c r="L709" i="1"/>
  <c r="M709" i="1" s="1"/>
  <c r="L690" i="1"/>
  <c r="K668" i="1"/>
  <c r="K688" i="1"/>
  <c r="K682" i="1"/>
  <c r="K704" i="1"/>
  <c r="M704" i="1" s="1"/>
  <c r="L672" i="1"/>
  <c r="L669" i="1"/>
  <c r="L698" i="1"/>
  <c r="L687" i="1"/>
  <c r="L702" i="1"/>
  <c r="L699" i="1"/>
  <c r="L697" i="1"/>
  <c r="L689" i="1"/>
  <c r="L716" i="1"/>
  <c r="L691" i="1"/>
  <c r="L682" i="1"/>
  <c r="L712" i="1"/>
  <c r="L677" i="1"/>
  <c r="L686" i="1"/>
  <c r="L688" i="1"/>
  <c r="L683" i="1"/>
  <c r="L710" i="1"/>
  <c r="L668" i="1"/>
  <c r="L671" i="1"/>
  <c r="L696" i="1"/>
  <c r="L685" i="1"/>
  <c r="L676" i="1"/>
  <c r="L711" i="1"/>
  <c r="L679" i="1"/>
  <c r="L670" i="1"/>
  <c r="L693" i="1"/>
  <c r="L675" i="1"/>
  <c r="L707" i="1"/>
  <c r="L694" i="1"/>
  <c r="L704" i="1"/>
  <c r="L708" i="1"/>
  <c r="L681" i="1"/>
  <c r="L701" i="1"/>
  <c r="M701" i="1" s="1"/>
  <c r="L692" i="1"/>
  <c r="L674" i="1"/>
  <c r="L673" i="1"/>
  <c r="M673" i="1" s="1"/>
  <c r="L695" i="1"/>
  <c r="L713" i="1"/>
  <c r="L680" i="1"/>
  <c r="L703" i="1"/>
  <c r="L700" i="1"/>
  <c r="K681" i="1"/>
  <c r="K713" i="1"/>
  <c r="M713" i="1" s="1"/>
  <c r="K679" i="1"/>
  <c r="K698" i="1"/>
  <c r="K696" i="1"/>
  <c r="K676" i="1"/>
  <c r="M676" i="1" s="1"/>
  <c r="K678" i="1"/>
  <c r="M678" i="1" s="1"/>
  <c r="K707" i="1"/>
  <c r="K680" i="1"/>
  <c r="M680" i="1" s="1"/>
  <c r="K692" i="1"/>
  <c r="M692" i="1" s="1"/>
  <c r="K712" i="1"/>
  <c r="K686" i="1"/>
  <c r="M686" i="1" s="1"/>
  <c r="M688" i="1"/>
  <c r="M711" i="1"/>
  <c r="K708" i="1"/>
  <c r="M708" i="1" s="1"/>
  <c r="K703" i="1"/>
  <c r="M703" i="1" s="1"/>
  <c r="K670" i="1"/>
  <c r="M670" i="1" s="1"/>
  <c r="K677" i="1"/>
  <c r="M677" i="1" s="1"/>
  <c r="K689" i="1"/>
  <c r="K687" i="1"/>
  <c r="K674" i="1"/>
  <c r="K690" i="1"/>
  <c r="K693" i="1"/>
  <c r="M693" i="1" s="1"/>
  <c r="K691" i="1"/>
  <c r="M691" i="1" s="1"/>
  <c r="K702" i="1"/>
  <c r="M702" i="1" s="1"/>
  <c r="M669" i="1"/>
  <c r="M683" i="1" l="1"/>
  <c r="M681" i="1"/>
  <c r="M695" i="1"/>
  <c r="M672" i="1"/>
  <c r="M675" i="1"/>
  <c r="M690" i="1"/>
  <c r="D119" i="9" s="1"/>
  <c r="M687" i="1"/>
  <c r="H87" i="9" s="1"/>
  <c r="M698" i="1"/>
  <c r="E151" i="9" s="1"/>
  <c r="M682" i="1"/>
  <c r="M697" i="1"/>
  <c r="M700" i="1"/>
  <c r="G151" i="9" s="1"/>
  <c r="M696" i="1"/>
  <c r="M689" i="1"/>
  <c r="M712" i="1"/>
  <c r="M679" i="1"/>
  <c r="G55" i="9" s="1"/>
  <c r="M707" i="1"/>
  <c r="G183" i="9" s="1"/>
  <c r="M674" i="1"/>
  <c r="I23" i="9" s="1"/>
  <c r="M671" i="1"/>
  <c r="M694" i="1"/>
  <c r="H119" i="9" s="1"/>
  <c r="K715" i="1"/>
  <c r="M668" i="1"/>
  <c r="L715" i="1"/>
  <c r="E55" i="9"/>
  <c r="I55" i="9"/>
  <c r="G87" i="9"/>
  <c r="E119" i="9"/>
  <c r="C183" i="9"/>
  <c r="H55" i="9"/>
  <c r="E23" i="9"/>
  <c r="G119" i="9"/>
  <c r="C119" i="9"/>
  <c r="H183" i="9"/>
  <c r="F183" i="9"/>
  <c r="C55" i="9"/>
  <c r="I151" i="9"/>
  <c r="D183" i="9"/>
  <c r="D55" i="9"/>
  <c r="E215" i="9"/>
  <c r="E87" i="9"/>
  <c r="F119" i="9"/>
  <c r="F55" i="9"/>
  <c r="I183" i="9"/>
  <c r="F87" i="9"/>
  <c r="I119" i="9"/>
  <c r="H151" i="9"/>
  <c r="E183" i="9"/>
  <c r="F151" i="9"/>
  <c r="C215" i="9"/>
  <c r="F215" i="9"/>
  <c r="D23" i="9"/>
  <c r="G23" i="9"/>
  <c r="C151" i="9"/>
  <c r="D87" i="9"/>
  <c r="H23" i="9"/>
  <c r="D215" i="9"/>
  <c r="F23" i="9"/>
  <c r="C87" i="9"/>
  <c r="I87" i="9"/>
  <c r="D151" i="9" l="1"/>
  <c r="M715" i="1"/>
  <c r="C23" i="9"/>
</calcChain>
</file>

<file path=xl/sharedStrings.xml><?xml version="1.0" encoding="utf-8"?>
<sst xmlns="http://schemas.openxmlformats.org/spreadsheetml/2006/main" count="4672" uniqueCount="1280">
  <si>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</si>
  <si>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</si>
  <si>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</si>
  <si>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</si>
  <si>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</si>
  <si>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</si>
  <si>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</si>
  <si>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</si>
  <si>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</si>
  <si>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</si>
  <si>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</si>
  <si>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</si>
  <si>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</si>
  <si>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</si>
  <si>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</si>
  <si>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</si>
  <si>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</si>
  <si>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</si>
  <si>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</si>
  <si>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</si>
  <si>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</si>
  <si>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</si>
  <si>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</si>
  <si>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</si>
  <si>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</si>
  <si>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</si>
  <si>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</si>
  <si>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</si>
  <si>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</si>
  <si>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</si>
  <si>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</si>
  <si>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</si>
  <si>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</si>
  <si>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</si>
  <si>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</si>
  <si>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</si>
  <si>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</si>
  <si>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</si>
  <si>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</si>
  <si>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</si>
  <si>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</si>
  <si>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</si>
  <si>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</si>
  <si>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</si>
  <si>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</si>
  <si>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</si>
  <si>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</si>
  <si>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</si>
  <si>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</si>
  <si>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</si>
  <si>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</si>
  <si>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</si>
  <si>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</si>
  <si>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</si>
  <si>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</si>
  <si>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</si>
  <si>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</si>
  <si>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</si>
  <si>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</si>
  <si>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</si>
  <si>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</si>
  <si>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</si>
  <si>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</si>
  <si>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</si>
  <si>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</si>
  <si>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</si>
  <si>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</si>
  <si>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</si>
  <si>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</si>
  <si>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</si>
  <si>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</si>
  <si>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</si>
  <si>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</si>
  <si>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</si>
  <si>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</si>
  <si>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</si>
  <si>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</si>
  <si>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</si>
  <si>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</si>
  <si>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</si>
  <si>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</si>
  <si>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</si>
  <si>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</si>
  <si>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</si>
  <si>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</si>
  <si>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</si>
  <si>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</si>
  <si>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</si>
  <si>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</si>
  <si>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</si>
  <si>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</si>
  <si>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</si>
  <si>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</si>
  <si>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</si>
  <si>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</si>
  <si>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</si>
  <si>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</si>
  <si>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</si>
  <si>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</si>
  <si>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</si>
  <si>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</si>
  <si>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</si>
  <si>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</si>
  <si>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</si>
  <si>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</si>
  <si>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</si>
  <si>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</si>
  <si>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</si>
  <si>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</si>
  <si>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</si>
  <si>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</si>
  <si>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</si>
  <si>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</si>
  <si>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</si>
  <si>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</si>
  <si>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</si>
  <si>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</si>
  <si>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</si>
  <si>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</si>
  <si>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</si>
  <si>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</si>
  <si>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</si>
  <si>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</si>
  <si>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</si>
  <si>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</si>
  <si>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</si>
  <si>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</si>
  <si>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</si>
  <si>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</si>
  <si>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</si>
  <si>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</si>
  <si>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</si>
  <si>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</si>
  <si>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</si>
  <si>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</si>
  <si>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</si>
  <si>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</si>
  <si>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</si>
  <si>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</si>
  <si>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</si>
  <si>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</si>
  <si>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</si>
  <si>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</si>
  <si>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</si>
  <si>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</si>
  <si>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</si>
  <si>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</si>
  <si>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</si>
  <si>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</si>
  <si>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</si>
  <si>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</si>
  <si>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</si>
  <si>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</si>
  <si>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</si>
  <si>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</si>
  <si>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</si>
  <si>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</si>
  <si>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</si>
  <si>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</si>
  <si>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</si>
  <si>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</si>
  <si>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</si>
  <si>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</si>
  <si>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</si>
  <si>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</si>
  <si>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</si>
  <si>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</si>
  <si>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</si>
  <si>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</si>
  <si>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</si>
  <si>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</si>
  <si>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</si>
  <si>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</si>
  <si>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</si>
  <si>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</si>
  <si>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</si>
  <si>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</si>
  <si>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</si>
  <si>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</si>
  <si>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</si>
  <si>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</si>
  <si>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</si>
  <si>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</si>
  <si>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</si>
  <si>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</si>
  <si>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</si>
  <si>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</si>
  <si>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</si>
  <si>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</si>
  <si>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</si>
  <si>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</si>
  <si>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</si>
  <si>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</si>
  <si>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</si>
  <si>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</si>
  <si>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</si>
  <si>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</si>
  <si>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</si>
  <si>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</si>
  <si>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</si>
  <si>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</si>
  <si>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</si>
  <si>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</si>
  <si>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</si>
  <si>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</si>
  <si>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</si>
  <si>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</si>
  <si>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</si>
  <si>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</si>
  <si>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</si>
  <si>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</si>
  <si>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</si>
  <si>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</si>
  <si>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</si>
  <si>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</si>
  <si>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</si>
  <si>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</si>
  <si>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</si>
  <si>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</si>
  <si>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</si>
  <si>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</si>
  <si>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</si>
  <si>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</si>
  <si>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</si>
  <si>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</si>
  <si>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</si>
  <si>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</si>
  <si>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</si>
  <si>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</si>
  <si>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</si>
  <si>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</si>
  <si>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</si>
  <si>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</si>
  <si>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</si>
  <si>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</si>
  <si>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</si>
  <si>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</si>
  <si>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</si>
  <si>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</si>
  <si>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</si>
  <si>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</si>
  <si>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</si>
  <si>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</si>
  <si>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</si>
  <si>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</si>
  <si>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</si>
  <si>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</si>
  <si>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</si>
  <si>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</si>
  <si>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</si>
  <si>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</si>
  <si>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</si>
  <si>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</si>
  <si>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</si>
  <si>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</si>
  <si>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</si>
  <si>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</si>
  <si>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</si>
  <si>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</si>
  <si>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</si>
  <si>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</si>
  <si>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</si>
  <si>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</si>
  <si>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</si>
  <si>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</si>
  <si>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</si>
  <si>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</si>
  <si>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</si>
  <si>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</si>
  <si>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</si>
  <si>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</si>
  <si>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</si>
  <si>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</si>
  <si>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</si>
  <si>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</si>
  <si>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</si>
  <si>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</si>
  <si>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</si>
  <si>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</si>
  <si>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</si>
  <si>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</si>
  <si>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</si>
  <si>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</si>
  <si>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</si>
  <si>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</si>
  <si>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</si>
  <si>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</si>
  <si>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</si>
  <si>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</si>
  <si>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</si>
  <si>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</si>
  <si>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</si>
  <si>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</si>
  <si>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</si>
  <si>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</si>
  <si>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</si>
  <si>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</si>
  <si>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</si>
  <si>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</si>
  <si>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</si>
  <si>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</si>
  <si>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</si>
  <si>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</si>
  <si>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</si>
  <si>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</si>
  <si>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</si>
  <si>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</si>
  <si>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</si>
  <si>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</si>
  <si>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</si>
  <si>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</si>
  <si>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</si>
  <si>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</si>
  <si>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</si>
  <si>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</si>
  <si>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</si>
  <si>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</si>
  <si>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</si>
  <si>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</si>
  <si>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</si>
  <si>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</si>
  <si>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</si>
  <si>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</si>
  <si>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</si>
  <si>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</si>
  <si>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</si>
  <si>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</si>
  <si>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</si>
  <si>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</si>
  <si>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</si>
  <si>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</si>
  <si>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</si>
  <si>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</si>
  <si>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</si>
  <si>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</si>
  <si>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</si>
  <si>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</si>
  <si>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</si>
  <si>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</si>
  <si>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</si>
  <si>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</si>
  <si>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</si>
  <si>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</si>
  <si>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</si>
  <si>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</si>
  <si>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</si>
  <si>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</si>
  <si>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</si>
  <si>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</si>
  <si>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</si>
  <si>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</si>
  <si>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</si>
  <si>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</si>
  <si>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</si>
  <si>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</si>
  <si>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</si>
  <si>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</si>
  <si>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</si>
  <si>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</si>
  <si>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</si>
  <si>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</si>
  <si>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</si>
  <si>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</si>
  <si>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</si>
  <si>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</si>
  <si>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</si>
  <si>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</si>
  <si>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</si>
  <si>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</si>
  <si>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</si>
  <si>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</si>
  <si>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</si>
  <si>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</si>
  <si>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</si>
  <si>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</si>
  <si>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</si>
  <si>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</si>
  <si>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</si>
  <si>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</si>
  <si>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</si>
  <si>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</si>
  <si>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</si>
  <si>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</si>
  <si>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</si>
  <si>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</si>
  <si>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</si>
  <si>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</si>
  <si>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</si>
  <si>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</si>
  <si>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</si>
  <si>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</si>
  <si>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</si>
  <si>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</si>
  <si>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</si>
  <si>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</si>
  <si>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</si>
  <si>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</si>
  <si>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</si>
  <si>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</si>
  <si>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</si>
  <si>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</si>
  <si>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</si>
  <si>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</si>
  <si>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</si>
  <si>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</si>
  <si>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</si>
  <si>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</si>
  <si>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</si>
  <si>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</si>
  <si>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</si>
  <si>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</si>
  <si>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</si>
  <si>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</si>
  <si>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</si>
  <si>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</si>
  <si>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</si>
  <si>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</si>
  <si>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</si>
  <si>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</si>
  <si>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</si>
  <si>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</si>
  <si>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</si>
  <si>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</si>
  <si>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</si>
  <si>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</si>
  <si>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</si>
  <si>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</si>
  <si>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</si>
  <si>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</si>
  <si>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</si>
  <si>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</si>
  <si>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</si>
  <si>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</si>
  <si>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</si>
  <si>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</si>
  <si>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</si>
  <si>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</si>
  <si>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</si>
  <si>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</si>
  <si>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</si>
  <si>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</si>
  <si>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</si>
  <si>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</si>
  <si>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</si>
  <si>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</si>
  <si>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</si>
  <si>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</si>
  <si>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</si>
  <si>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</si>
  <si>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</si>
  <si>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</si>
  <si>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</si>
  <si>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</si>
  <si>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</si>
  <si>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</si>
  <si>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</si>
  <si>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</si>
  <si>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</si>
  <si>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</si>
  <si>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</si>
  <si>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</si>
  <si>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</si>
  <si>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</si>
  <si>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</si>
  <si>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</si>
  <si>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</si>
  <si>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</si>
  <si>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</si>
  <si>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</si>
  <si>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</si>
  <si>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</si>
  <si>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</si>
  <si>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</si>
  <si>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</si>
  <si>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</si>
  <si>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</si>
  <si>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</si>
  <si>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</si>
  <si>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</si>
  <si>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</si>
  <si>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</si>
  <si>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</si>
  <si>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</si>
  <si>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</si>
  <si>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</si>
  <si>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</si>
  <si>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</si>
  <si>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</si>
  <si>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</si>
  <si>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</si>
  <si>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</si>
  <si>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</si>
  <si>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</si>
  <si>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</si>
  <si>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</si>
  <si>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</si>
  <si>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</si>
  <si>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</si>
  <si>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</si>
  <si>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</si>
  <si>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</si>
  <si>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</si>
  <si>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</si>
  <si>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</si>
  <si>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</si>
  <si>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</si>
  <si>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</si>
  <si>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</si>
  <si>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</si>
  <si>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</si>
  <si>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</si>
  <si>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</si>
  <si>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</si>
  <si>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</si>
  <si>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</si>
  <si>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</si>
  <si>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</si>
  <si>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</si>
  <si>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</si>
  <si>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</si>
  <si>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</si>
  <si>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</si>
  <si>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</si>
  <si>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</si>
  <si>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</si>
  <si>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</si>
  <si>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</si>
  <si>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</si>
  <si>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</si>
  <si>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</si>
  <si>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</si>
  <si>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</si>
  <si>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</si>
  <si>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</si>
  <si>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</si>
  <si>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</si>
  <si>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</si>
  <si>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</si>
  <si>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</si>
  <si>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</si>
  <si>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</si>
  <si>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</si>
  <si>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</si>
  <si>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</si>
  <si>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</si>
  <si>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</si>
  <si>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</si>
  <si>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</si>
  <si>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</si>
  <si>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</si>
  <si>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</si>
  <si>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</si>
  <si>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</si>
  <si>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</si>
  <si>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</si>
  <si>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</si>
  <si>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</si>
  <si>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</si>
  <si>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</si>
  <si>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</si>
  <si>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</si>
  <si>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</si>
  <si>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</si>
  <si>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</si>
  <si>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</si>
  <si>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</si>
  <si>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</si>
  <si>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</si>
  <si>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</si>
  <si>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</si>
  <si>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</si>
  <si>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</si>
  <si>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</si>
  <si>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</si>
  <si>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</si>
  <si>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</si>
  <si>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</si>
  <si>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</si>
  <si>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</si>
  <si>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</si>
  <si>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</si>
  <si>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</si>
  <si>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</si>
  <si>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</si>
  <si>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</si>
  <si>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</si>
  <si>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</si>
  <si>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</si>
  <si>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</si>
  <si>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</si>
  <si>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</si>
  <si>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</si>
  <si>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</si>
  <si>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</si>
  <si>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</si>
  <si>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</si>
  <si>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</si>
  <si>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</si>
  <si>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</si>
  <si>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</si>
  <si>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</si>
  <si>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</si>
  <si>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</si>
  <si>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</si>
  <si>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</si>
  <si>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</si>
  <si>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</si>
  <si>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</si>
  <si>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</si>
  <si>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</si>
  <si>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</si>
  <si>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</si>
  <si>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</si>
  <si>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</si>
  <si>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</si>
  <si>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</si>
  <si>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</si>
  <si>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</si>
  <si>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</si>
  <si>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</si>
  <si>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</si>
  <si>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</si>
  <si>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</si>
  <si>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</si>
  <si>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</si>
  <si>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</si>
  <si>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</si>
  <si>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</si>
  <si>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</si>
  <si>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</si>
  <si>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</si>
  <si>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</si>
  <si>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</si>
  <si>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</si>
  <si>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</si>
  <si>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</si>
  <si>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</si>
  <si>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</si>
  <si>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</si>
  <si>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</si>
  <si>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</si>
  <si>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</si>
  <si>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</si>
  <si>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</si>
  <si>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</si>
  <si>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</si>
  <si>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</si>
  <si>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</si>
  <si>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</si>
  <si>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</si>
  <si>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</si>
  <si>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</si>
  <si>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</si>
  <si>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</si>
  <si>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</si>
  <si>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</si>
  <si>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</si>
  <si>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</si>
  <si>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</si>
  <si>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</si>
  <si>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</si>
  <si>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</si>
  <si>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</si>
  <si>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</si>
  <si>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</si>
  <si>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</si>
  <si>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</si>
  <si>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</si>
  <si>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</si>
  <si>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</si>
  <si>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</si>
  <si>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</si>
  <si>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</si>
  <si>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</si>
  <si>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</si>
  <si>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</si>
  <si>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</si>
  <si>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</si>
  <si>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</si>
  <si>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</si>
  <si>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</si>
  <si>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</si>
  <si>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</si>
  <si>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</si>
  <si>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</si>
  <si>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</si>
  <si>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</si>
  <si>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</si>
  <si>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</si>
  <si>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</si>
  <si>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</si>
  <si>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</si>
  <si>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</si>
  <si>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</si>
  <si>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</si>
  <si>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</si>
  <si>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</si>
  <si>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</si>
  <si>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</si>
  <si>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</si>
  <si>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</si>
  <si>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</si>
  <si>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</si>
  <si>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</si>
  <si>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</si>
  <si>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</si>
  <si>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</si>
  <si>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</si>
  <si>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</si>
  <si>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</si>
  <si>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</si>
  <si>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</si>
  <si>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</si>
  <si>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</si>
  <si>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</si>
  <si>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</si>
  <si>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</si>
  <si>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</si>
  <si>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</si>
  <si>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</si>
  <si>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</si>
  <si>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</si>
  <si>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</si>
  <si>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</si>
  <si>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</si>
  <si>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</si>
  <si>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</si>
  <si>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</si>
  <si>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</si>
  <si>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</si>
  <si>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</si>
  <si>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</si>
  <si>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</si>
  <si>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</si>
  <si>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</si>
  <si>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</si>
  <si>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</si>
  <si>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</si>
  <si>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</si>
  <si>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</si>
  <si>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</si>
  <si>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</si>
  <si>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</si>
  <si>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</si>
  <si>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</si>
  <si>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</si>
  <si>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</si>
  <si>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</si>
  <si>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</si>
  <si>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</si>
  <si>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</si>
  <si>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</si>
  <si>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</si>
  <si>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</si>
  <si>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</si>
  <si>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</si>
  <si>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</si>
  <si>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</si>
  <si>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</si>
  <si>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</si>
  <si>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</si>
  <si>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</si>
  <si>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</si>
  <si>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</si>
  <si>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</si>
  <si>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</si>
  <si>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</si>
  <si>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</si>
  <si>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</si>
  <si>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</si>
  <si>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</si>
  <si>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</si>
  <si>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</si>
  <si>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</si>
  <si>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</si>
  <si>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</si>
  <si>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</si>
  <si>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</si>
  <si>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</si>
  <si>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</si>
  <si>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</si>
  <si>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</si>
  <si>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</si>
  <si>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</si>
  <si>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</si>
  <si>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</si>
  <si>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</si>
  <si>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</si>
  <si>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</si>
  <si>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</si>
  <si>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</si>
  <si>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</si>
  <si>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</si>
  <si>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</si>
  <si>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</si>
  <si>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</si>
  <si>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</si>
  <si>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</si>
  <si>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</si>
  <si>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</si>
  <si>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</si>
  <si>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</si>
  <si>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</si>
  <si>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</si>
  <si>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</si>
  <si>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</si>
  <si>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</si>
  <si>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</si>
  <si>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</si>
  <si>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</si>
  <si>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</si>
  <si>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</si>
  <si>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</si>
  <si>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</si>
  <si>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</si>
  <si>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</si>
  <si>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</si>
  <si>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</si>
  <si>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</si>
  <si>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</si>
  <si>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</si>
  <si>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</si>
  <si>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</si>
  <si>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</si>
  <si>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</si>
  <si>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</si>
  <si>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</si>
  <si>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</si>
  <si>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</si>
  <si>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</si>
  <si>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</si>
  <si>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</si>
  <si>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</si>
  <si>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</si>
  <si>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</si>
  <si>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</si>
  <si>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</si>
  <si>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</si>
  <si>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</si>
  <si>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</si>
  <si>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</si>
  <si>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</si>
  <si>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</si>
  <si>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</si>
  <si>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</si>
  <si>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</si>
  <si>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</si>
  <si>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</si>
  <si>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</si>
  <si>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</si>
  <si>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</si>
  <si>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</si>
  <si>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</si>
  <si>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</si>
  <si>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</si>
  <si>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</si>
  <si>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</si>
  <si>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</si>
  <si>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</si>
  <si>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</si>
  <si>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</si>
  <si>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</si>
  <si>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</si>
  <si>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</si>
  <si>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</si>
  <si>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</si>
  <si>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</si>
  <si>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</si>
  <si>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</si>
  <si>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</si>
  <si>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</si>
  <si>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</si>
  <si>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</si>
  <si>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</si>
  <si>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</si>
  <si>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</si>
  <si>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</si>
  <si>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</si>
  <si>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</si>
  <si>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</si>
  <si>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</si>
  <si>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</si>
  <si>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</si>
  <si>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</si>
  <si>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</si>
  <si>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</si>
  <si>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</si>
  <si>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</si>
  <si>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</si>
  <si>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</si>
  <si>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</si>
  <si>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</si>
  <si>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</si>
  <si>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</si>
  <si>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</si>
  <si>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</si>
  <si>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</si>
  <si>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</si>
  <si>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</si>
  <si>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</si>
  <si>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</si>
  <si>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</si>
  <si>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</si>
  <si>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</si>
  <si>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</si>
  <si>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</si>
  <si>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</si>
  <si>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</si>
  <si>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</si>
  <si>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</si>
  <si>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</si>
  <si>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</si>
  <si>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</si>
  <si>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</si>
  <si>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</si>
  <si>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</si>
  <si>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</si>
  <si>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</si>
  <si>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</si>
  <si>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</si>
  <si>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</si>
  <si>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</si>
  <si>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</si>
  <si>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</si>
  <si>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</si>
  <si>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</si>
  <si>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</si>
  <si>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</si>
  <si>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</si>
  <si>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</si>
  <si>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</si>
  <si>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</si>
  <si>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</si>
  <si>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</si>
  <si>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</si>
  <si>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</si>
  <si>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</si>
  <si>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</si>
  <si>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</si>
  <si>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</si>
  <si>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</si>
  <si>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</si>
  <si>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</si>
  <si>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</si>
  <si>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</si>
  <si>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</si>
  <si>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</si>
  <si>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</si>
  <si>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</si>
  <si>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</si>
  <si>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</si>
  <si>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</si>
  <si>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</si>
  <si>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</si>
  <si>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</si>
  <si>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</si>
  <si>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</si>
  <si>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</si>
  <si>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</si>
  <si>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</si>
  <si>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</si>
  <si>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</si>
  <si>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</si>
  <si>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</si>
  <si>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</si>
  <si>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</si>
  <si>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</si>
  <si>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</si>
  <si>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</si>
  <si>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</si>
  <si>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</si>
  <si>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</si>
  <si>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</si>
  <si>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</si>
  <si>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</si>
  <si>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</si>
  <si>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</si>
  <si>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</si>
  <si>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</si>
  <si>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</si>
  <si>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</si>
  <si>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</si>
  <si>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</si>
  <si>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</si>
  <si>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</si>
  <si>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</si>
  <si>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</si>
  <si>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</si>
  <si>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</si>
  <si>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</si>
  <si>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</si>
  <si>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</si>
  <si>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</si>
  <si>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</si>
  <si>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</si>
  <si>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</si>
  <si>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</si>
  <si>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</si>
  <si>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</si>
  <si>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</si>
  <si>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</si>
  <si>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</si>
  <si>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</si>
  <si>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</si>
  <si>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</si>
  <si>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</si>
  <si>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</si>
  <si>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</si>
  <si>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</si>
  <si>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</si>
  <si>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</si>
  <si>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</si>
  <si>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</si>
  <si>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</si>
  <si>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</si>
  <si>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</si>
  <si>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</si>
  <si>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</si>
  <si>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</si>
  <si>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</si>
  <si>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</si>
  <si>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</si>
  <si>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</si>
  <si>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</si>
  <si>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</si>
  <si>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</si>
  <si>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</si>
  <si>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</si>
  <si>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</si>
  <si>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</si>
  <si>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</si>
  <si>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</si>
  <si>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</si>
  <si>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</si>
  <si>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</si>
  <si>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</si>
  <si>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</si>
  <si>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</si>
  <si>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</si>
  <si>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</si>
  <si>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</si>
  <si>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</si>
  <si>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</si>
  <si>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</si>
  <si>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</si>
  <si>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</si>
  <si>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</si>
  <si>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</si>
  <si>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</si>
  <si>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</si>
  <si>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</si>
  <si>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</si>
  <si>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</si>
  <si>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</si>
  <si>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</si>
  <si>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</si>
  <si>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</si>
  <si>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</si>
  <si>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</si>
  <si>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</si>
  <si>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</si>
  <si>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</si>
  <si>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</si>
  <si>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</si>
  <si>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</si>
  <si>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</si>
  <si>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</si>
  <si>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</si>
  <si>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</si>
  <si>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</si>
  <si>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</si>
  <si>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</si>
  <si>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</si>
  <si>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</si>
  <si>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</si>
  <si>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</si>
  <si>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</si>
  <si>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</si>
  <si>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</si>
  <si>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</si>
  <si>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</si>
  <si>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</si>
  <si>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</si>
  <si>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</si>
  <si>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</si>
  <si>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</si>
  <si>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</si>
  <si>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</si>
  <si>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</si>
  <si>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</si>
  <si>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</si>
  <si>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</si>
  <si>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</si>
  <si>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</si>
  <si>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</si>
  <si>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</si>
  <si>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</si>
  <si>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</si>
  <si>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</si>
  <si>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</si>
  <si>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</si>
  <si>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</si>
  <si>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</si>
  <si>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</si>
  <si>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</si>
  <si>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</si>
  <si>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</si>
  <si>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</si>
  <si>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</si>
  <si>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</si>
  <si>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</si>
  <si>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</si>
  <si>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</si>
  <si>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</si>
  <si>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</si>
  <si>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</si>
  <si>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</si>
  <si>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</si>
  <si>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</si>
  <si>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</si>
  <si>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</si>
  <si>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</si>
  <si>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</si>
  <si>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</si>
  <si>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</si>
  <si>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</si>
  <si>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</si>
  <si>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</si>
  <si>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</si>
  <si>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</si>
  <si>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</si>
  <si>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</si>
  <si>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</si>
  <si>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</si>
  <si>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</si>
  <si>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</si>
  <si>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</si>
  <si>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</si>
  <si>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</si>
  <si>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</si>
  <si>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</si>
  <si>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</si>
  <si>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</si>
  <si>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</si>
  <si>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</si>
  <si>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</si>
  <si>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</si>
  <si>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</si>
  <si>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</si>
  <si>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</si>
  <si>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</si>
  <si>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</si>
  <si>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</si>
  <si>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</si>
  <si>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</si>
  <si>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</si>
  <si>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</si>
  <si>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</si>
  <si>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</si>
  <si>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</si>
  <si>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</si>
  <si>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</si>
  <si>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</si>
  <si>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</si>
  <si>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</si>
  <si>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</si>
  <si>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</si>
  <si>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</si>
  <si>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</si>
  <si>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</si>
  <si>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</si>
  <si>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</si>
  <si>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</si>
  <si>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</si>
  <si>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</si>
  <si>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</si>
  <si>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</si>
  <si>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</si>
  <si>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</si>
  <si>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</si>
  <si>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</si>
  <si>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</si>
  <si>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</si>
  <si>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</si>
  <si>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</si>
  <si>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</si>
  <si>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</si>
  <si>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</si>
  <si>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</si>
  <si>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</si>
  <si>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</si>
  <si>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</si>
  <si>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</si>
  <si>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</si>
  <si>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</si>
  <si>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</si>
  <si>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</si>
  <si>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</si>
  <si>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</si>
  <si>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</si>
  <si>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</si>
  <si>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</si>
  <si>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</si>
  <si>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</si>
  <si>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</si>
  <si>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</si>
  <si>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</si>
  <si>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</si>
  <si>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</si>
  <si>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</si>
  <si>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</si>
  <si>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</si>
  <si>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</si>
  <si>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</si>
  <si>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</si>
  <si>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</si>
  <si>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</si>
  <si>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</si>
  <si>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</si>
  <si>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</si>
  <si>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</si>
  <si>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</si>
  <si>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</si>
  <si>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</si>
  <si>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</si>
  <si>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</si>
  <si>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</si>
  <si>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</si>
  <si>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</si>
  <si>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</si>
  <si>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</si>
  <si>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</si>
  <si>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</si>
  <si>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</si>
  <si>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</si>
  <si>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</si>
  <si>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</si>
  <si>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</si>
  <si>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</si>
  <si>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</si>
  <si>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</si>
  <si>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</si>
  <si>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</si>
  <si>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</si>
  <si>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</si>
  <si>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</si>
  <si>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</si>
  <si>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</si>
  <si>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</si>
  <si>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</si>
  <si>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</si>
  <si>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</si>
  <si>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</si>
  <si>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</si>
  <si>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</si>
  <si>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</si>
  <si>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</si>
  <si>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</si>
  <si>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</si>
  <si>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</si>
  <si>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</si>
  <si>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</si>
  <si>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</si>
  <si>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</si>
  <si>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</si>
  <si>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</si>
  <si>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</si>
  <si>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</si>
  <si>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198</t>
  </si>
  <si>
    <t>Astria Sunnyside Hospital</t>
  </si>
  <si>
    <t>1016 Tacoma Ave</t>
  </si>
  <si>
    <t>PO Box 719</t>
  </si>
  <si>
    <t>Sunnyside, WA 98944</t>
  </si>
  <si>
    <t>Yakima</t>
  </si>
  <si>
    <t>Brian Gibbons</t>
  </si>
  <si>
    <t>Michael Long</t>
  </si>
  <si>
    <t>Peggy Brewer</t>
  </si>
  <si>
    <t>*(509)837-1500</t>
  </si>
  <si>
    <t>(509)837-1512</t>
  </si>
  <si>
    <t>(509)837-1500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</si>
</sst>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1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9" fillId="0" borderId="0"/>
    <xf numFmtId="37" fontId="9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37" fontId="17" fillId="0" borderId="0"/>
    <xf numFmtId="43" fontId="1" fillId="0" borderId="0" applyFont="0" applyFill="0" applyBorder="0" applyAlignment="0" applyProtection="0"/>
    <xf numFmtId="0" fontId="1" fillId="0" borderId="0"/>
  </cellStyleXfs>
  <cellXfs count="288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49" fontId="12" fillId="4" borderId="1" xfId="0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7" fontId="12" fillId="3" borderId="0" xfId="0" applyFont="1" applyFill="1" applyAlignment="1" applyProtection="1">
      <alignment horizontal="center" vertical="center"/>
    </xf>
  </cellXfs>
  <cellStyles count="51">
    <cellStyle name="Comma" xfId="1" builtinId="3"/>
    <cellStyle name="Comma 10" xfId="47"/>
    <cellStyle name="Comma 10 10" xfId="9"/>
    <cellStyle name="Comma 11" xfId="49"/>
    <cellStyle name="Comma 2" xfId="14"/>
    <cellStyle name="Comma 96" xfId="40"/>
    <cellStyle name="Comma 97" xfId="41"/>
    <cellStyle name="Hyperlink" xfId="2" builtinId="8"/>
    <cellStyle name="Normal" xfId="0" builtinId="0"/>
    <cellStyle name="Normal 10 2" xfId="46"/>
    <cellStyle name="Normal 10 2 3" xfId="34"/>
    <cellStyle name="Normal 10 3 2" xfId="50"/>
    <cellStyle name="Normal 101" xfId="33"/>
    <cellStyle name="Normal 11" xfId="4"/>
    <cellStyle name="Normal 143" xfId="35"/>
    <cellStyle name="Normal 144" xfId="36"/>
    <cellStyle name="Normal 145" xfId="37"/>
    <cellStyle name="Normal 146" xfId="38"/>
    <cellStyle name="Normal 147" xfId="39"/>
    <cellStyle name="Normal 2" xfId="45"/>
    <cellStyle name="Normal 2 3 2" xfId="48"/>
    <cellStyle name="Normal 557" xfId="6"/>
    <cellStyle name="Normal 561" xfId="7"/>
    <cellStyle name="Normal 568" xfId="8"/>
    <cellStyle name="Normal 576" xfId="10"/>
    <cellStyle name="Normal 6_Balance Sheet Puget Sound" xfId="42"/>
    <cellStyle name="Normal 69" xfId="11"/>
    <cellStyle name="Normal 70" xfId="12"/>
    <cellStyle name="Normal 71" xfId="13"/>
    <cellStyle name="Normal 72" xfId="16"/>
    <cellStyle name="Normal 73" xfId="17"/>
    <cellStyle name="Normal 74" xfId="18"/>
    <cellStyle name="Normal 75" xfId="15"/>
    <cellStyle name="Normal 76" xfId="19"/>
    <cellStyle name="Normal 77" xfId="20"/>
    <cellStyle name="Normal 78" xfId="21"/>
    <cellStyle name="Normal 79" xfId="22"/>
    <cellStyle name="Normal 80" xfId="23"/>
    <cellStyle name="Normal 82" xfId="24"/>
    <cellStyle name="Normal 84" xfId="25"/>
    <cellStyle name="Normal 85" xfId="26"/>
    <cellStyle name="Normal 87" xfId="27"/>
    <cellStyle name="Normal 88" xfId="28"/>
    <cellStyle name="Normal 89" xfId="29"/>
    <cellStyle name="Normal 90" xfId="30"/>
    <cellStyle name="Normal 91" xfId="43"/>
    <cellStyle name="Normal 92" xfId="32"/>
    <cellStyle name="Normal 93" xfId="44"/>
    <cellStyle name="Normal 94" xfId="31"/>
    <cellStyle name="Percent" xfId="3" builtinId="5"/>
    <cellStyle name="Percent 46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2045336</v>
      </c>
      <c r="C47" s="184">
        <v>92123</v>
      </c>
      <c r="D47" s="184"/>
      <c r="E47" s="184">
        <f>88867+106647+12</f>
        <v>195526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67869</v>
      </c>
      <c r="Q47" s="184">
        <v>20269</v>
      </c>
      <c r="R47" s="184"/>
      <c r="S47" s="184">
        <v>7027</v>
      </c>
      <c r="T47" s="184"/>
      <c r="U47" s="184">
        <v>107221</v>
      </c>
      <c r="V47" s="184">
        <v>8535</v>
      </c>
      <c r="W47" s="184">
        <v>9714</v>
      </c>
      <c r="X47" s="184">
        <v>353</v>
      </c>
      <c r="Y47" s="184">
        <v>136667</v>
      </c>
      <c r="Z47" s="184"/>
      <c r="AA47" s="184">
        <v>8035</v>
      </c>
      <c r="AB47" s="184">
        <v>42964</v>
      </c>
      <c r="AC47" s="184">
        <v>3214</v>
      </c>
      <c r="AD47" s="184"/>
      <c r="AE47" s="184">
        <v>7659</v>
      </c>
      <c r="AF47" s="184"/>
      <c r="AG47" s="184">
        <v>131099</v>
      </c>
      <c r="AH47" s="184"/>
      <c r="AI47" s="184">
        <v>31582</v>
      </c>
      <c r="AJ47" s="184">
        <v>427932</v>
      </c>
      <c r="AK47" s="184"/>
      <c r="AL47" s="184">
        <v>16046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254082</v>
      </c>
      <c r="AW47" s="184"/>
      <c r="AX47" s="184"/>
      <c r="AY47" s="184">
        <v>31625</v>
      </c>
      <c r="AZ47" s="184"/>
      <c r="BA47" s="184">
        <v>5663</v>
      </c>
      <c r="BB47" s="184">
        <v>8492</v>
      </c>
      <c r="BC47" s="184"/>
      <c r="BD47" s="184">
        <v>13079</v>
      </c>
      <c r="BE47" s="184">
        <v>16652</v>
      </c>
      <c r="BF47" s="184">
        <v>75806</v>
      </c>
      <c r="BG47" s="184"/>
      <c r="BH47" s="184">
        <v>65971</v>
      </c>
      <c r="BI47" s="184">
        <v>3997</v>
      </c>
      <c r="BJ47" s="184"/>
      <c r="BK47" s="184"/>
      <c r="BL47" s="184">
        <v>94656</v>
      </c>
      <c r="BM47" s="184">
        <v>30653</v>
      </c>
      <c r="BN47" s="184">
        <v>9179</v>
      </c>
      <c r="BO47" s="184"/>
      <c r="BP47" s="184"/>
      <c r="BQ47" s="184">
        <v>8988</v>
      </c>
      <c r="BR47" s="184">
        <v>18972</v>
      </c>
      <c r="BS47" s="184"/>
      <c r="BT47" s="184"/>
      <c r="BU47" s="184"/>
      <c r="BV47" s="184">
        <v>28877</v>
      </c>
      <c r="BW47" s="184"/>
      <c r="BX47" s="184"/>
      <c r="BY47" s="184">
        <v>42163</v>
      </c>
      <c r="BZ47" s="184"/>
      <c r="CA47" s="184"/>
      <c r="CB47" s="184"/>
      <c r="CC47" s="184">
        <v>22646</v>
      </c>
      <c r="CD47" s="195"/>
      <c r="CE47" s="195">
        <f>SUM(C47:CC47)</f>
        <v>2045336</v>
      </c>
    </row>
    <row r="48" spans="1:83" ht="12.6" customHeight="1" x14ac:dyDescent="0.25">
      <c r="A48" s="175" t="s">
        <v>205</v>
      </c>
      <c r="B48" s="183">
        <v>4772451</v>
      </c>
      <c r="C48" s="245">
        <f>ROUND(((B48/CE61)*C61),0)</f>
        <v>194429</v>
      </c>
      <c r="D48" s="245">
        <f>ROUND(((B48/CE61)*D61),0)</f>
        <v>0</v>
      </c>
      <c r="E48" s="195">
        <f>ROUND(((B48/CE61)*E61),0)</f>
        <v>384494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135977</v>
      </c>
      <c r="Q48" s="195">
        <f>ROUND(((B48/CE61)*Q61),0)</f>
        <v>54489</v>
      </c>
      <c r="R48" s="195">
        <f>ROUND(((B48/CE61)*R61),0)</f>
        <v>0</v>
      </c>
      <c r="S48" s="195">
        <f>ROUND(((B48/CE61)*S61),0)</f>
        <v>10415</v>
      </c>
      <c r="T48" s="195">
        <f>ROUND(((B48/CE61)*T61),0)</f>
        <v>0</v>
      </c>
      <c r="U48" s="195">
        <f>ROUND(((B48/CE61)*U61),0)</f>
        <v>195596</v>
      </c>
      <c r="V48" s="195">
        <f>ROUND(((B48/CE61)*V61),0)</f>
        <v>14140</v>
      </c>
      <c r="W48" s="195">
        <f>ROUND(((B48/CE61)*W61),0)</f>
        <v>17493</v>
      </c>
      <c r="X48" s="195">
        <f>ROUND(((B48/CE61)*X61),0)</f>
        <v>1111</v>
      </c>
      <c r="Y48" s="195">
        <f>ROUND(((B48/CE61)*Y61),0)</f>
        <v>372743</v>
      </c>
      <c r="Z48" s="195">
        <f>ROUND(((B48/CE61)*Z61),0)</f>
        <v>0</v>
      </c>
      <c r="AA48" s="195">
        <f>ROUND(((B48/CE61)*AA61),0)</f>
        <v>11339</v>
      </c>
      <c r="AB48" s="195">
        <f>ROUND(((B48/CE61)*AB61),0)</f>
        <v>93598</v>
      </c>
      <c r="AC48" s="195">
        <f>ROUND(((B48/CE61)*AC61),0)</f>
        <v>8123</v>
      </c>
      <c r="AD48" s="195">
        <f>ROUND(((B48/CE61)*AD61),0)</f>
        <v>0</v>
      </c>
      <c r="AE48" s="195">
        <f>ROUND(((B48/CE61)*AE61),0)</f>
        <v>23859</v>
      </c>
      <c r="AF48" s="195">
        <f>ROUND(((B48/CE61)*AF61),0)</f>
        <v>0</v>
      </c>
      <c r="AG48" s="195">
        <f>ROUND(((B48/CE61)*AG61),0)</f>
        <v>348284</v>
      </c>
      <c r="AH48" s="195">
        <f>ROUND(((B48/CE61)*AH61),0)</f>
        <v>0</v>
      </c>
      <c r="AI48" s="195">
        <f>ROUND(((B48/CE61)*AI61),0)</f>
        <v>81845</v>
      </c>
      <c r="AJ48" s="195">
        <f>ROUND(((B48/CE61)*AJ61),0)</f>
        <v>1261370</v>
      </c>
      <c r="AK48" s="195">
        <f>ROUND(((B48/CE61)*AK61),0)</f>
        <v>0</v>
      </c>
      <c r="AL48" s="195">
        <f>ROUND(((B48/CE61)*AL61),0)</f>
        <v>53279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748366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48094</v>
      </c>
      <c r="AZ48" s="195">
        <f>ROUND(((B48/CE61)*AZ61),0)</f>
        <v>0</v>
      </c>
      <c r="BA48" s="195">
        <f>ROUND(((B48/CE61)*BA61),0)</f>
        <v>4296</v>
      </c>
      <c r="BB48" s="195">
        <f>ROUND(((B48/CE61)*BB61),0)</f>
        <v>19270</v>
      </c>
      <c r="BC48" s="195">
        <f>ROUND(((B48/CE61)*BC61),0)</f>
        <v>0</v>
      </c>
      <c r="BD48" s="195">
        <f>ROUND(((B48/CE61)*BD61),0)</f>
        <v>25482</v>
      </c>
      <c r="BE48" s="195">
        <f>ROUND(((B48/CE61)*BE61),0)</f>
        <v>40235</v>
      </c>
      <c r="BF48" s="195">
        <f>ROUND(((B48/CE61)*BF61),0)</f>
        <v>97624</v>
      </c>
      <c r="BG48" s="195">
        <f>ROUND(((B48/CE61)*BG61),0)</f>
        <v>0</v>
      </c>
      <c r="BH48" s="195">
        <f>ROUND(((B48/CE61)*BH61),0)</f>
        <v>114398</v>
      </c>
      <c r="BI48" s="195">
        <f>ROUND(((B48/CE61)*BI61),0)</f>
        <v>7390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128051</v>
      </c>
      <c r="BM48" s="195">
        <f>ROUND(((B48/CE61)*BM61),0)</f>
        <v>55145</v>
      </c>
      <c r="BN48" s="195">
        <f>ROUND(((B48/CE61)*BN61),0)</f>
        <v>28297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20502</v>
      </c>
      <c r="BR48" s="195">
        <f>ROUND(((B48/CE61)*BR61),0)</f>
        <v>41572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88809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42335</v>
      </c>
      <c r="CD48" s="195"/>
      <c r="CE48" s="195">
        <f>SUM(C48:CD48)</f>
        <v>4772450</v>
      </c>
    </row>
    <row r="49" spans="1:84" ht="12.6" customHeight="1" x14ac:dyDescent="0.25">
      <c r="A49" s="175" t="s">
        <v>206</v>
      </c>
      <c r="B49" s="195">
        <f>B47+B48</f>
        <v>6817787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3351533</v>
      </c>
      <c r="C52" s="195">
        <f>ROUND((B52/(CE76+CF76)*C76),0)</f>
        <v>66734</v>
      </c>
      <c r="D52" s="195">
        <f>ROUND((B52/(CE76+CF76)*D76),0)</f>
        <v>0</v>
      </c>
      <c r="E52" s="195">
        <f>ROUND((B52/(CE76+CF76)*E76),0)</f>
        <v>584904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111971</v>
      </c>
      <c r="P52" s="195">
        <f>ROUND((B52/(CE76+CF76)*P76),0)</f>
        <v>114658</v>
      </c>
      <c r="Q52" s="195">
        <f>ROUND((B52/(CE76+CF76)*Q76),0)</f>
        <v>34487</v>
      </c>
      <c r="R52" s="195">
        <f>ROUND((B52/(CE76+CF76)*R76),0)</f>
        <v>0</v>
      </c>
      <c r="S52" s="195">
        <f>ROUND((B52/(CE76+CF76)*S76),0)</f>
        <v>46251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76707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130602</v>
      </c>
      <c r="Z52" s="195">
        <f>ROUND((B52/(CE76+CF76)*Z76),0)</f>
        <v>0</v>
      </c>
      <c r="AA52" s="195">
        <f>ROUND((B52/(CE76+CF76)*AA76),0)</f>
        <v>6987</v>
      </c>
      <c r="AB52" s="195">
        <f>ROUND((B52/(CE76+CF76)*AB76),0)</f>
        <v>0</v>
      </c>
      <c r="AC52" s="195">
        <f>ROUND((B52/(CE76+CF76)*AC76),0)</f>
        <v>7345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241020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877372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18721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93637</v>
      </c>
      <c r="AZ52" s="195">
        <f>ROUND((B52/(CE76+CF76)*AZ76),0)</f>
        <v>0</v>
      </c>
      <c r="BA52" s="195">
        <f>ROUND((B52/(CE76+CF76)*BA76),0)</f>
        <v>19916</v>
      </c>
      <c r="BB52" s="195">
        <f>ROUND((B52/(CE76+CF76)*BB76),0)</f>
        <v>2896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232570</v>
      </c>
      <c r="BF52" s="195">
        <f>ROUND((B52/(CE76+CF76)*BF76),0)</f>
        <v>3314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62823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494462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79335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5584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39234</v>
      </c>
      <c r="CD52" s="195"/>
      <c r="CE52" s="195">
        <f>SUM(C52:CD52)</f>
        <v>3351530</v>
      </c>
    </row>
    <row r="53" spans="1:84" ht="12.6" customHeight="1" x14ac:dyDescent="0.25">
      <c r="A53" s="175" t="s">
        <v>206</v>
      </c>
      <c r="B53" s="195">
        <f>B51+B52</f>
        <v>3351533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1262</v>
      </c>
      <c r="D59" s="184"/>
      <c r="E59" s="184">
        <f>3636+795</f>
        <v>4431</v>
      </c>
      <c r="F59" s="184"/>
      <c r="G59" s="184"/>
      <c r="H59" s="184"/>
      <c r="I59" s="184"/>
      <c r="J59" s="184">
        <v>682</v>
      </c>
      <c r="K59" s="184"/>
      <c r="L59" s="184"/>
      <c r="M59" s="184"/>
      <c r="N59" s="184"/>
      <c r="O59" s="184">
        <v>438</v>
      </c>
      <c r="P59" s="185">
        <v>174211</v>
      </c>
      <c r="Q59" s="185"/>
      <c r="R59" s="185"/>
      <c r="S59" s="248"/>
      <c r="T59" s="248"/>
      <c r="U59" s="224">
        <v>164342</v>
      </c>
      <c r="V59" s="185">
        <v>819</v>
      </c>
      <c r="W59" s="185">
        <v>1824</v>
      </c>
      <c r="X59" s="185">
        <v>4523</v>
      </c>
      <c r="Y59" s="185">
        <v>58261</v>
      </c>
      <c r="Z59" s="185"/>
      <c r="AA59" s="185">
        <v>343</v>
      </c>
      <c r="AB59" s="248"/>
      <c r="AC59" s="185">
        <v>16216</v>
      </c>
      <c r="AD59" s="185"/>
      <c r="AE59" s="185">
        <v>9707</v>
      </c>
      <c r="AF59" s="185"/>
      <c r="AG59" s="185">
        <v>17981</v>
      </c>
      <c r="AH59" s="185"/>
      <c r="AI59" s="185">
        <v>1627</v>
      </c>
      <c r="AJ59" s="185">
        <v>74559</v>
      </c>
      <c r="AK59" s="185"/>
      <c r="AL59" s="185">
        <v>6163</v>
      </c>
      <c r="AM59" s="185"/>
      <c r="AN59" s="185"/>
      <c r="AO59" s="185">
        <v>19944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23999</v>
      </c>
      <c r="AZ59" s="185"/>
      <c r="BA59" s="248"/>
      <c r="BB59" s="248"/>
      <c r="BC59" s="248"/>
      <c r="BD59" s="248"/>
      <c r="BE59" s="185">
        <v>112246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17.45</v>
      </c>
      <c r="D60" s="187"/>
      <c r="E60" s="187">
        <f>19.98+18.52</f>
        <v>38.5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13.1</v>
      </c>
      <c r="Q60" s="221">
        <v>4.07</v>
      </c>
      <c r="R60" s="221"/>
      <c r="S60" s="221">
        <v>2.33</v>
      </c>
      <c r="T60" s="221"/>
      <c r="U60" s="221">
        <v>29.37</v>
      </c>
      <c r="V60" s="221">
        <v>1.44</v>
      </c>
      <c r="W60" s="221">
        <v>1.88</v>
      </c>
      <c r="X60" s="221">
        <v>0.04</v>
      </c>
      <c r="Y60" s="221">
        <v>27.78</v>
      </c>
      <c r="Z60" s="221"/>
      <c r="AA60" s="221">
        <v>0.96</v>
      </c>
      <c r="AB60" s="221">
        <v>8.1199999999999992</v>
      </c>
      <c r="AC60" s="221">
        <v>0.74</v>
      </c>
      <c r="AD60" s="221"/>
      <c r="AE60" s="221">
        <v>2.2799999999999998</v>
      </c>
      <c r="AF60" s="221"/>
      <c r="AG60" s="221">
        <v>23.01</v>
      </c>
      <c r="AH60" s="221"/>
      <c r="AI60" s="221">
        <v>6.87</v>
      </c>
      <c r="AJ60" s="221">
        <v>94.33</v>
      </c>
      <c r="AK60" s="221"/>
      <c r="AL60" s="221">
        <v>6.03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49.52</v>
      </c>
      <c r="AW60" s="221"/>
      <c r="AX60" s="221"/>
      <c r="AY60" s="221">
        <v>10.08</v>
      </c>
      <c r="AZ60" s="221"/>
      <c r="BA60" s="221">
        <v>1</v>
      </c>
      <c r="BB60" s="221">
        <v>2.0699999999999998</v>
      </c>
      <c r="BC60" s="221"/>
      <c r="BD60" s="221">
        <v>4.7300000000000004</v>
      </c>
      <c r="BE60" s="221">
        <v>4.1500000000000004</v>
      </c>
      <c r="BF60" s="221">
        <v>23.87</v>
      </c>
      <c r="BG60" s="221"/>
      <c r="BH60" s="221">
        <v>13.18</v>
      </c>
      <c r="BI60" s="221">
        <v>1.08</v>
      </c>
      <c r="BJ60" s="221"/>
      <c r="BK60" s="221">
        <v>21.21</v>
      </c>
      <c r="BL60" s="221">
        <v>26.01</v>
      </c>
      <c r="BM60" s="221">
        <v>6.54</v>
      </c>
      <c r="BN60" s="221">
        <v>3.37</v>
      </c>
      <c r="BO60" s="221"/>
      <c r="BP60" s="221">
        <v>1.32</v>
      </c>
      <c r="BQ60" s="221">
        <v>2.04</v>
      </c>
      <c r="BR60" s="221">
        <v>4.8899999999999997</v>
      </c>
      <c r="BS60" s="221"/>
      <c r="BT60" s="221"/>
      <c r="BU60" s="221"/>
      <c r="BV60" s="221">
        <v>9.0500000000000007</v>
      </c>
      <c r="BW60" s="221"/>
      <c r="BX60" s="221"/>
      <c r="BY60" s="221">
        <v>6.65</v>
      </c>
      <c r="BZ60" s="221"/>
      <c r="CA60" s="221"/>
      <c r="CB60" s="221"/>
      <c r="CC60" s="221">
        <v>4.26</v>
      </c>
      <c r="CD60" s="249" t="s">
        <v>221</v>
      </c>
      <c r="CE60" s="251">
        <f t="shared" ref="CE60:CE70" si="0">SUM(C60:CD60)</f>
        <v>473.31999999999994</v>
      </c>
    </row>
    <row r="61" spans="1:84" ht="12.6" customHeight="1" x14ac:dyDescent="0.25">
      <c r="A61" s="171" t="s">
        <v>235</v>
      </c>
      <c r="B61" s="175"/>
      <c r="C61" s="184">
        <v>1471380</v>
      </c>
      <c r="D61" s="184"/>
      <c r="E61" s="184">
        <f>1353983+1555325+422</f>
        <v>2909730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1029031</v>
      </c>
      <c r="Q61" s="185">
        <v>412356</v>
      </c>
      <c r="R61" s="185"/>
      <c r="S61" s="185">
        <v>78818</v>
      </c>
      <c r="T61" s="185"/>
      <c r="U61" s="185">
        <v>1480212</v>
      </c>
      <c r="V61" s="185">
        <v>107007</v>
      </c>
      <c r="W61" s="185">
        <v>132385</v>
      </c>
      <c r="X61" s="185">
        <v>8409</v>
      </c>
      <c r="Y61" s="185">
        <v>2820802</v>
      </c>
      <c r="Z61" s="185"/>
      <c r="AA61" s="185">
        <v>85808</v>
      </c>
      <c r="AB61" s="185">
        <v>708323</v>
      </c>
      <c r="AC61" s="185">
        <v>61475</v>
      </c>
      <c r="AD61" s="185"/>
      <c r="AE61" s="185">
        <v>180558</v>
      </c>
      <c r="AF61" s="185"/>
      <c r="AG61" s="185">
        <v>2635710</v>
      </c>
      <c r="AH61" s="185"/>
      <c r="AI61" s="185">
        <v>619378</v>
      </c>
      <c r="AJ61" s="185">
        <v>9545663</v>
      </c>
      <c r="AK61" s="185"/>
      <c r="AL61" s="185">
        <v>403201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5663409</v>
      </c>
      <c r="AW61" s="185"/>
      <c r="AX61" s="185"/>
      <c r="AY61" s="185">
        <v>363962</v>
      </c>
      <c r="AZ61" s="185"/>
      <c r="BA61" s="185">
        <v>32512</v>
      </c>
      <c r="BB61" s="185">
        <v>145829</v>
      </c>
      <c r="BC61" s="185"/>
      <c r="BD61" s="185">
        <v>192843</v>
      </c>
      <c r="BE61" s="185">
        <v>304486</v>
      </c>
      <c r="BF61" s="185">
        <v>738789</v>
      </c>
      <c r="BG61" s="185"/>
      <c r="BH61" s="185">
        <v>865731</v>
      </c>
      <c r="BI61" s="185">
        <v>55926</v>
      </c>
      <c r="BJ61" s="185"/>
      <c r="BK61" s="185"/>
      <c r="BL61" s="185">
        <v>969048</v>
      </c>
      <c r="BM61" s="185">
        <v>417317</v>
      </c>
      <c r="BN61" s="185">
        <v>214145</v>
      </c>
      <c r="BO61" s="185"/>
      <c r="BP61" s="185"/>
      <c r="BQ61" s="185">
        <v>155153</v>
      </c>
      <c r="BR61" s="185">
        <v>314607</v>
      </c>
      <c r="BS61" s="185"/>
      <c r="BT61" s="185"/>
      <c r="BU61" s="185"/>
      <c r="BV61" s="185"/>
      <c r="BW61" s="185"/>
      <c r="BX61" s="185"/>
      <c r="BY61" s="185">
        <v>672080</v>
      </c>
      <c r="BZ61" s="185"/>
      <c r="CA61" s="185"/>
      <c r="CB61" s="185"/>
      <c r="CC61" s="185">
        <f>320368+7</f>
        <v>320375</v>
      </c>
      <c r="CD61" s="249" t="s">
        <v>221</v>
      </c>
      <c r="CE61" s="195">
        <f t="shared" si="0"/>
        <v>36116458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286552</v>
      </c>
      <c r="D62" s="195">
        <f t="shared" si="1"/>
        <v>0</v>
      </c>
      <c r="E62" s="195">
        <f t="shared" si="1"/>
        <v>580020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203846</v>
      </c>
      <c r="Q62" s="195">
        <f t="shared" si="1"/>
        <v>74758</v>
      </c>
      <c r="R62" s="195">
        <f t="shared" si="1"/>
        <v>0</v>
      </c>
      <c r="S62" s="195">
        <f t="shared" si="1"/>
        <v>17442</v>
      </c>
      <c r="T62" s="195">
        <f t="shared" si="1"/>
        <v>0</v>
      </c>
      <c r="U62" s="195">
        <f t="shared" si="1"/>
        <v>302817</v>
      </c>
      <c r="V62" s="195">
        <f t="shared" si="1"/>
        <v>22675</v>
      </c>
      <c r="W62" s="195">
        <f t="shared" si="1"/>
        <v>27207</v>
      </c>
      <c r="X62" s="195">
        <f t="shared" si="1"/>
        <v>1464</v>
      </c>
      <c r="Y62" s="195">
        <f t="shared" si="1"/>
        <v>509410</v>
      </c>
      <c r="Z62" s="195">
        <f t="shared" si="1"/>
        <v>0</v>
      </c>
      <c r="AA62" s="195">
        <f t="shared" si="1"/>
        <v>19374</v>
      </c>
      <c r="AB62" s="195">
        <f t="shared" si="1"/>
        <v>136562</v>
      </c>
      <c r="AC62" s="195">
        <f t="shared" si="1"/>
        <v>11337</v>
      </c>
      <c r="AD62" s="195">
        <f t="shared" si="1"/>
        <v>0</v>
      </c>
      <c r="AE62" s="195">
        <f t="shared" si="1"/>
        <v>31518</v>
      </c>
      <c r="AF62" s="195">
        <f t="shared" si="1"/>
        <v>0</v>
      </c>
      <c r="AG62" s="195">
        <f t="shared" si="1"/>
        <v>479383</v>
      </c>
      <c r="AH62" s="195">
        <f t="shared" si="1"/>
        <v>0</v>
      </c>
      <c r="AI62" s="195">
        <f t="shared" si="1"/>
        <v>113427</v>
      </c>
      <c r="AJ62" s="195">
        <f t="shared" si="1"/>
        <v>1689302</v>
      </c>
      <c r="AK62" s="195">
        <f t="shared" si="1"/>
        <v>0</v>
      </c>
      <c r="AL62" s="195">
        <f t="shared" si="1"/>
        <v>69325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1002448</v>
      </c>
      <c r="AW62" s="195">
        <f t="shared" si="1"/>
        <v>0</v>
      </c>
      <c r="AX62" s="195">
        <f t="shared" si="1"/>
        <v>0</v>
      </c>
      <c r="AY62" s="195">
        <f>ROUND(AY47+AY48,0)</f>
        <v>79719</v>
      </c>
      <c r="AZ62" s="195">
        <f>ROUND(AZ47+AZ48,0)</f>
        <v>0</v>
      </c>
      <c r="BA62" s="195">
        <f>ROUND(BA47+BA48,0)</f>
        <v>9959</v>
      </c>
      <c r="BB62" s="195">
        <f t="shared" si="1"/>
        <v>27762</v>
      </c>
      <c r="BC62" s="195">
        <f t="shared" si="1"/>
        <v>0</v>
      </c>
      <c r="BD62" s="195">
        <f t="shared" si="1"/>
        <v>38561</v>
      </c>
      <c r="BE62" s="195">
        <f t="shared" si="1"/>
        <v>56887</v>
      </c>
      <c r="BF62" s="195">
        <f t="shared" si="1"/>
        <v>173430</v>
      </c>
      <c r="BG62" s="195">
        <f t="shared" si="1"/>
        <v>0</v>
      </c>
      <c r="BH62" s="195">
        <f t="shared" si="1"/>
        <v>180369</v>
      </c>
      <c r="BI62" s="195">
        <f t="shared" si="1"/>
        <v>11387</v>
      </c>
      <c r="BJ62" s="195">
        <f t="shared" si="1"/>
        <v>0</v>
      </c>
      <c r="BK62" s="195">
        <f t="shared" si="1"/>
        <v>0</v>
      </c>
      <c r="BL62" s="195">
        <f t="shared" si="1"/>
        <v>222707</v>
      </c>
      <c r="BM62" s="195">
        <f t="shared" si="1"/>
        <v>85798</v>
      </c>
      <c r="BN62" s="195">
        <f t="shared" si="1"/>
        <v>37476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29490</v>
      </c>
      <c r="BR62" s="195">
        <f t="shared" si="2"/>
        <v>60544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28877</v>
      </c>
      <c r="BW62" s="195">
        <f t="shared" si="2"/>
        <v>0</v>
      </c>
      <c r="BX62" s="195">
        <f t="shared" si="2"/>
        <v>0</v>
      </c>
      <c r="BY62" s="195">
        <f t="shared" si="2"/>
        <v>130972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64981</v>
      </c>
      <c r="CD62" s="249" t="s">
        <v>221</v>
      </c>
      <c r="CE62" s="195">
        <f t="shared" si="0"/>
        <v>6817786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6000</v>
      </c>
      <c r="Q63" s="185"/>
      <c r="R63" s="185"/>
      <c r="S63" s="185"/>
      <c r="T63" s="185"/>
      <c r="U63" s="185">
        <v>54000</v>
      </c>
      <c r="V63" s="185"/>
      <c r="W63" s="185"/>
      <c r="X63" s="185"/>
      <c r="Y63" s="185">
        <v>8733</v>
      </c>
      <c r="Z63" s="185"/>
      <c r="AA63" s="185"/>
      <c r="AB63" s="185">
        <v>12000</v>
      </c>
      <c r="AC63" s="185"/>
      <c r="AD63" s="185"/>
      <c r="AE63" s="185"/>
      <c r="AF63" s="185"/>
      <c r="AG63" s="185">
        <v>391475</v>
      </c>
      <c r="AH63" s="185"/>
      <c r="AI63" s="185"/>
      <c r="AJ63" s="185">
        <v>165874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183175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207746</v>
      </c>
      <c r="BL63" s="185"/>
      <c r="BM63" s="185">
        <v>74400</v>
      </c>
      <c r="BN63" s="185">
        <v>49956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3330</v>
      </c>
      <c r="CD63" s="249" t="s">
        <v>221</v>
      </c>
      <c r="CE63" s="195">
        <f t="shared" si="0"/>
        <v>1156689</v>
      </c>
      <c r="CF63" s="252"/>
    </row>
    <row r="64" spans="1:84" ht="12.6" customHeight="1" x14ac:dyDescent="0.25">
      <c r="A64" s="171" t="s">
        <v>237</v>
      </c>
      <c r="B64" s="175"/>
      <c r="C64" s="184">
        <v>110312</v>
      </c>
      <c r="D64" s="184"/>
      <c r="E64" s="185">
        <v>368414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f>4196359+131906-83414-854436</f>
        <v>3390415</v>
      </c>
      <c r="Q64" s="185">
        <v>30339</v>
      </c>
      <c r="R64" s="185"/>
      <c r="S64" s="185">
        <v>150160</v>
      </c>
      <c r="T64" s="185"/>
      <c r="U64" s="185">
        <v>1433113</v>
      </c>
      <c r="V64" s="185">
        <v>288</v>
      </c>
      <c r="W64" s="185">
        <v>15226</v>
      </c>
      <c r="X64" s="185">
        <v>66257</v>
      </c>
      <c r="Y64" s="185">
        <v>151568</v>
      </c>
      <c r="Z64" s="185"/>
      <c r="AA64" s="185">
        <v>36313</v>
      </c>
      <c r="AB64" s="185">
        <f>4315265+100729</f>
        <v>4415994</v>
      </c>
      <c r="AC64" s="185">
        <v>92066</v>
      </c>
      <c r="AD64" s="185"/>
      <c r="AE64" s="185">
        <v>4885</v>
      </c>
      <c r="AF64" s="185"/>
      <c r="AG64" s="185">
        <v>475976</v>
      </c>
      <c r="AH64" s="185"/>
      <c r="AI64" s="185">
        <v>80281</v>
      </c>
      <c r="AJ64" s="185">
        <v>1153013</v>
      </c>
      <c r="AK64" s="185"/>
      <c r="AL64" s="185">
        <v>105194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2251877</v>
      </c>
      <c r="AW64" s="185"/>
      <c r="AX64" s="185"/>
      <c r="AY64" s="185">
        <v>401795</v>
      </c>
      <c r="AZ64" s="185"/>
      <c r="BA64" s="185">
        <v>663</v>
      </c>
      <c r="BB64" s="185">
        <v>58</v>
      </c>
      <c r="BC64" s="185"/>
      <c r="BD64" s="185">
        <v>53185</v>
      </c>
      <c r="BE64" s="185">
        <v>10594</v>
      </c>
      <c r="BF64" s="185">
        <v>133958</v>
      </c>
      <c r="BG64" s="185"/>
      <c r="BH64" s="185">
        <v>284886</v>
      </c>
      <c r="BI64" s="185">
        <v>4116</v>
      </c>
      <c r="BJ64" s="185"/>
      <c r="BK64" s="185">
        <v>263</v>
      </c>
      <c r="BL64" s="185">
        <v>17469</v>
      </c>
      <c r="BM64" s="185">
        <v>4453</v>
      </c>
      <c r="BN64" s="185">
        <v>8627</v>
      </c>
      <c r="BO64" s="185"/>
      <c r="BP64" s="185">
        <v>1397</v>
      </c>
      <c r="BQ64" s="185">
        <v>3045</v>
      </c>
      <c r="BR64" s="185">
        <v>4694</v>
      </c>
      <c r="BS64" s="185"/>
      <c r="BT64" s="185"/>
      <c r="BU64" s="185"/>
      <c r="BV64" s="185">
        <v>5246</v>
      </c>
      <c r="BW64" s="185"/>
      <c r="BX64" s="185"/>
      <c r="BY64" s="185">
        <v>619</v>
      </c>
      <c r="BZ64" s="185"/>
      <c r="CA64" s="185"/>
      <c r="CB64" s="185"/>
      <c r="CC64" s="185">
        <v>9553</v>
      </c>
      <c r="CD64" s="249" t="s">
        <v>221</v>
      </c>
      <c r="CE64" s="195">
        <f t="shared" si="0"/>
        <v>15276312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191732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82331</v>
      </c>
      <c r="AW65" s="185"/>
      <c r="AX65" s="185"/>
      <c r="AY65" s="185"/>
      <c r="AZ65" s="185"/>
      <c r="BA65" s="185"/>
      <c r="BB65" s="185"/>
      <c r="BC65" s="185"/>
      <c r="BD65" s="185"/>
      <c r="BE65" s="185">
        <v>948407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1222470</v>
      </c>
      <c r="CF65" s="252"/>
    </row>
    <row r="66" spans="1:84" ht="12.6" customHeight="1" x14ac:dyDescent="0.25">
      <c r="A66" s="171" t="s">
        <v>239</v>
      </c>
      <c r="B66" s="175"/>
      <c r="C66" s="184">
        <v>357817</v>
      </c>
      <c r="D66" s="184"/>
      <c r="E66" s="184">
        <v>1726109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1209469</v>
      </c>
      <c r="Q66" s="185"/>
      <c r="R66" s="185"/>
      <c r="S66" s="184">
        <v>44806</v>
      </c>
      <c r="T66" s="184"/>
      <c r="U66" s="185">
        <v>417715</v>
      </c>
      <c r="V66" s="185">
        <v>75199</v>
      </c>
      <c r="W66" s="185">
        <v>77229</v>
      </c>
      <c r="X66" s="185">
        <v>41937</v>
      </c>
      <c r="Y66" s="185">
        <v>960398</v>
      </c>
      <c r="Z66" s="185"/>
      <c r="AA66" s="185">
        <v>128837</v>
      </c>
      <c r="AB66" s="185">
        <v>321923</v>
      </c>
      <c r="AC66" s="185">
        <v>782800</v>
      </c>
      <c r="AD66" s="185"/>
      <c r="AE66" s="185">
        <v>310950</v>
      </c>
      <c r="AF66" s="185"/>
      <c r="AG66" s="185">
        <v>1351103</v>
      </c>
      <c r="AH66" s="185"/>
      <c r="AI66" s="185"/>
      <c r="AJ66" s="185">
        <v>2765334</v>
      </c>
      <c r="AK66" s="185"/>
      <c r="AL66" s="185">
        <v>35310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2448866</v>
      </c>
      <c r="AW66" s="185"/>
      <c r="AX66" s="185"/>
      <c r="AY66" s="185">
        <v>2583</v>
      </c>
      <c r="AZ66" s="185"/>
      <c r="BA66" s="185">
        <v>405883</v>
      </c>
      <c r="BB66" s="185"/>
      <c r="BC66" s="185"/>
      <c r="BD66" s="185">
        <v>8801</v>
      </c>
      <c r="BE66" s="185">
        <f>75672+458640</f>
        <v>534312</v>
      </c>
      <c r="BF66" s="185">
        <v>24226</v>
      </c>
      <c r="BG66" s="185"/>
      <c r="BH66" s="185">
        <v>894131</v>
      </c>
      <c r="BI66" s="185">
        <v>14290</v>
      </c>
      <c r="BJ66" s="185"/>
      <c r="BK66" s="185">
        <v>47339</v>
      </c>
      <c r="BL66" s="185">
        <v>6330</v>
      </c>
      <c r="BM66" s="185">
        <v>15594</v>
      </c>
      <c r="BN66" s="185">
        <v>9670084</v>
      </c>
      <c r="BO66" s="185"/>
      <c r="BP66" s="185"/>
      <c r="BQ66" s="185">
        <v>154</v>
      </c>
      <c r="BR66" s="185">
        <v>27469</v>
      </c>
      <c r="BS66" s="185"/>
      <c r="BT66" s="185"/>
      <c r="BU66" s="185"/>
      <c r="BV66" s="185">
        <v>146223</v>
      </c>
      <c r="BW66" s="185"/>
      <c r="BX66" s="185"/>
      <c r="BY66" s="185">
        <v>54105</v>
      </c>
      <c r="BZ66" s="185"/>
      <c r="CA66" s="185"/>
      <c r="CB66" s="185"/>
      <c r="CC66" s="185">
        <f>154559+5</f>
        <v>154564</v>
      </c>
      <c r="CD66" s="249" t="s">
        <v>221</v>
      </c>
      <c r="CE66" s="195">
        <f t="shared" si="0"/>
        <v>25061890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66734</v>
      </c>
      <c r="D67" s="195">
        <f>ROUND(D51+D52,0)</f>
        <v>0</v>
      </c>
      <c r="E67" s="195">
        <f t="shared" ref="E67:BP67" si="3">ROUND(E51+E52,0)</f>
        <v>584904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111971</v>
      </c>
      <c r="P67" s="195">
        <f t="shared" si="3"/>
        <v>114658</v>
      </c>
      <c r="Q67" s="195">
        <f t="shared" si="3"/>
        <v>34487</v>
      </c>
      <c r="R67" s="195">
        <f t="shared" si="3"/>
        <v>0</v>
      </c>
      <c r="S67" s="195">
        <f t="shared" si="3"/>
        <v>46251</v>
      </c>
      <c r="T67" s="195">
        <f t="shared" si="3"/>
        <v>0</v>
      </c>
      <c r="U67" s="195">
        <f t="shared" si="3"/>
        <v>0</v>
      </c>
      <c r="V67" s="195">
        <f t="shared" si="3"/>
        <v>76707</v>
      </c>
      <c r="W67" s="195">
        <f t="shared" si="3"/>
        <v>0</v>
      </c>
      <c r="X67" s="195">
        <f t="shared" si="3"/>
        <v>0</v>
      </c>
      <c r="Y67" s="195">
        <f t="shared" si="3"/>
        <v>130602</v>
      </c>
      <c r="Z67" s="195">
        <f t="shared" si="3"/>
        <v>0</v>
      </c>
      <c r="AA67" s="195">
        <f t="shared" si="3"/>
        <v>6987</v>
      </c>
      <c r="AB67" s="195">
        <f t="shared" si="3"/>
        <v>0</v>
      </c>
      <c r="AC67" s="195">
        <f t="shared" si="3"/>
        <v>7345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241020</v>
      </c>
      <c r="AH67" s="195">
        <f t="shared" si="3"/>
        <v>0</v>
      </c>
      <c r="AI67" s="195">
        <f t="shared" si="3"/>
        <v>0</v>
      </c>
      <c r="AJ67" s="195">
        <f t="shared" si="3"/>
        <v>877372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18721</v>
      </c>
      <c r="AW67" s="195">
        <f t="shared" si="3"/>
        <v>0</v>
      </c>
      <c r="AX67" s="195">
        <f t="shared" si="3"/>
        <v>0</v>
      </c>
      <c r="AY67" s="195">
        <f t="shared" si="3"/>
        <v>93637</v>
      </c>
      <c r="AZ67" s="195">
        <f>ROUND(AZ51+AZ52,0)</f>
        <v>0</v>
      </c>
      <c r="BA67" s="195">
        <f>ROUND(BA51+BA52,0)</f>
        <v>19916</v>
      </c>
      <c r="BB67" s="195">
        <f t="shared" si="3"/>
        <v>2896</v>
      </c>
      <c r="BC67" s="195">
        <f t="shared" si="3"/>
        <v>0</v>
      </c>
      <c r="BD67" s="195">
        <f t="shared" si="3"/>
        <v>0</v>
      </c>
      <c r="BE67" s="195">
        <f t="shared" si="3"/>
        <v>232570</v>
      </c>
      <c r="BF67" s="195">
        <f t="shared" si="3"/>
        <v>3314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62823</v>
      </c>
      <c r="BL67" s="195">
        <f t="shared" si="3"/>
        <v>0</v>
      </c>
      <c r="BM67" s="195">
        <f t="shared" si="3"/>
        <v>0</v>
      </c>
      <c r="BN67" s="195">
        <f t="shared" si="3"/>
        <v>494462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79335</v>
      </c>
      <c r="BW67" s="195">
        <f t="shared" si="4"/>
        <v>0</v>
      </c>
      <c r="BX67" s="195">
        <f t="shared" si="4"/>
        <v>0</v>
      </c>
      <c r="BY67" s="195">
        <f t="shared" si="4"/>
        <v>5584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39234</v>
      </c>
      <c r="CD67" s="249" t="s">
        <v>221</v>
      </c>
      <c r="CE67" s="195">
        <f t="shared" si="0"/>
        <v>3351530</v>
      </c>
      <c r="CF67" s="252"/>
    </row>
    <row r="68" spans="1:84" ht="12.6" customHeight="1" x14ac:dyDescent="0.25">
      <c r="A68" s="171" t="s">
        <v>240</v>
      </c>
      <c r="B68" s="175"/>
      <c r="C68" s="184">
        <v>3326</v>
      </c>
      <c r="D68" s="184"/>
      <c r="E68" s="184">
        <v>16052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116914</v>
      </c>
      <c r="Q68" s="185"/>
      <c r="R68" s="185"/>
      <c r="S68" s="185"/>
      <c r="T68" s="185"/>
      <c r="U68" s="185">
        <v>24568</v>
      </c>
      <c r="V68" s="185"/>
      <c r="W68" s="185"/>
      <c r="X68" s="185"/>
      <c r="Y68" s="185"/>
      <c r="Z68" s="185"/>
      <c r="AA68" s="185"/>
      <c r="AB68" s="185">
        <v>94469</v>
      </c>
      <c r="AC68" s="185">
        <v>17929</v>
      </c>
      <c r="AD68" s="185"/>
      <c r="AE68" s="185">
        <v>28939</v>
      </c>
      <c r="AF68" s="185"/>
      <c r="AG68" s="185"/>
      <c r="AH68" s="185"/>
      <c r="AI68" s="185"/>
      <c r="AJ68" s="185">
        <v>488257</v>
      </c>
      <c r="AK68" s="185"/>
      <c r="AL68" s="185">
        <v>647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784962</v>
      </c>
      <c r="AW68" s="185"/>
      <c r="AX68" s="185"/>
      <c r="AY68" s="185">
        <v>1038</v>
      </c>
      <c r="AZ68" s="185"/>
      <c r="BA68" s="185"/>
      <c r="BB68" s="185"/>
      <c r="BC68" s="185"/>
      <c r="BD68" s="185"/>
      <c r="BE68" s="185">
        <v>91493</v>
      </c>
      <c r="BF68" s="185"/>
      <c r="BG68" s="185"/>
      <c r="BH68" s="185">
        <v>65486</v>
      </c>
      <c r="BI68" s="185"/>
      <c r="BJ68" s="185"/>
      <c r="BK68" s="185"/>
      <c r="BL68" s="185"/>
      <c r="BM68" s="185"/>
      <c r="BN68" s="185">
        <v>156105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1890185</v>
      </c>
      <c r="CF68" s="252"/>
    </row>
    <row r="69" spans="1:84" ht="12.6" customHeight="1" x14ac:dyDescent="0.25">
      <c r="A69" s="171" t="s">
        <v>241</v>
      </c>
      <c r="B69" s="175"/>
      <c r="C69" s="184">
        <v>2031</v>
      </c>
      <c r="D69" s="184"/>
      <c r="E69" s="185">
        <v>27916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86493</v>
      </c>
      <c r="Q69" s="185">
        <v>407</v>
      </c>
      <c r="R69" s="224"/>
      <c r="S69" s="185">
        <v>2281</v>
      </c>
      <c r="T69" s="184"/>
      <c r="U69" s="185">
        <v>27982</v>
      </c>
      <c r="V69" s="185">
        <v>6955</v>
      </c>
      <c r="W69" s="184">
        <v>109</v>
      </c>
      <c r="X69" s="185"/>
      <c r="Y69" s="185">
        <f>33041+605</f>
        <v>33646</v>
      </c>
      <c r="Z69" s="185"/>
      <c r="AA69" s="185">
        <v>16301</v>
      </c>
      <c r="AB69" s="185">
        <v>56792</v>
      </c>
      <c r="AC69" s="185"/>
      <c r="AD69" s="185"/>
      <c r="AE69" s="185">
        <v>11</v>
      </c>
      <c r="AF69" s="185"/>
      <c r="AG69" s="185">
        <v>5227</v>
      </c>
      <c r="AH69" s="185"/>
      <c r="AI69" s="185"/>
      <c r="AJ69" s="185">
        <v>275108</v>
      </c>
      <c r="AK69" s="185"/>
      <c r="AL69" s="185">
        <v>4152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35280</v>
      </c>
      <c r="AW69" s="185"/>
      <c r="AX69" s="185"/>
      <c r="AY69" s="185">
        <v>1479</v>
      </c>
      <c r="AZ69" s="185"/>
      <c r="BA69" s="185"/>
      <c r="BB69" s="185"/>
      <c r="BC69" s="185"/>
      <c r="BD69" s="185"/>
      <c r="BE69" s="185">
        <v>7212</v>
      </c>
      <c r="BF69" s="185">
        <v>16492</v>
      </c>
      <c r="BG69" s="185"/>
      <c r="BH69" s="224">
        <f>51689+2911</f>
        <v>54600</v>
      </c>
      <c r="BI69" s="185">
        <v>422</v>
      </c>
      <c r="BJ69" s="185"/>
      <c r="BK69" s="185">
        <v>1821</v>
      </c>
      <c r="BL69" s="185">
        <v>1288</v>
      </c>
      <c r="BM69" s="185">
        <v>39109</v>
      </c>
      <c r="BN69" s="185">
        <v>564389</v>
      </c>
      <c r="BO69" s="185"/>
      <c r="BP69" s="185"/>
      <c r="BQ69" s="185">
        <v>579</v>
      </c>
      <c r="BR69" s="185">
        <v>11115</v>
      </c>
      <c r="BS69" s="185"/>
      <c r="BT69" s="185"/>
      <c r="BU69" s="185"/>
      <c r="BV69" s="185">
        <v>19690</v>
      </c>
      <c r="BW69" s="185"/>
      <c r="BX69" s="185"/>
      <c r="BY69" s="185">
        <v>8619</v>
      </c>
      <c r="BZ69" s="185"/>
      <c r="CA69" s="185"/>
      <c r="CB69" s="185"/>
      <c r="CC69" s="185"/>
      <c r="CD69" s="188">
        <v>1381608</v>
      </c>
      <c r="CE69" s="195">
        <f t="shared" si="0"/>
        <v>2689114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370751</v>
      </c>
      <c r="CE70" s="195">
        <f t="shared" si="0"/>
        <v>370751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2298152</v>
      </c>
      <c r="D71" s="195">
        <f t="shared" ref="D71:AI71" si="5">SUM(D61:D69)-D70</f>
        <v>0</v>
      </c>
      <c r="E71" s="195">
        <f t="shared" si="5"/>
        <v>6213145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111971</v>
      </c>
      <c r="P71" s="195">
        <f t="shared" si="5"/>
        <v>6156826</v>
      </c>
      <c r="Q71" s="195">
        <f t="shared" si="5"/>
        <v>552347</v>
      </c>
      <c r="R71" s="195">
        <f t="shared" si="5"/>
        <v>0</v>
      </c>
      <c r="S71" s="195">
        <f t="shared" si="5"/>
        <v>339758</v>
      </c>
      <c r="T71" s="195">
        <f t="shared" si="5"/>
        <v>0</v>
      </c>
      <c r="U71" s="195">
        <f t="shared" si="5"/>
        <v>3740407</v>
      </c>
      <c r="V71" s="195">
        <f t="shared" si="5"/>
        <v>288831</v>
      </c>
      <c r="W71" s="195">
        <f t="shared" si="5"/>
        <v>252156</v>
      </c>
      <c r="X71" s="195">
        <f t="shared" si="5"/>
        <v>118067</v>
      </c>
      <c r="Y71" s="195">
        <f t="shared" si="5"/>
        <v>4615159</v>
      </c>
      <c r="Z71" s="195">
        <f t="shared" si="5"/>
        <v>0</v>
      </c>
      <c r="AA71" s="195">
        <f t="shared" si="5"/>
        <v>293620</v>
      </c>
      <c r="AB71" s="195">
        <f t="shared" si="5"/>
        <v>5746063</v>
      </c>
      <c r="AC71" s="195">
        <f t="shared" si="5"/>
        <v>972952</v>
      </c>
      <c r="AD71" s="195">
        <f t="shared" si="5"/>
        <v>0</v>
      </c>
      <c r="AE71" s="195">
        <f t="shared" si="5"/>
        <v>556861</v>
      </c>
      <c r="AF71" s="195">
        <f t="shared" si="5"/>
        <v>0</v>
      </c>
      <c r="AG71" s="195">
        <f t="shared" si="5"/>
        <v>5579894</v>
      </c>
      <c r="AH71" s="195">
        <f t="shared" si="5"/>
        <v>0</v>
      </c>
      <c r="AI71" s="195">
        <f t="shared" si="5"/>
        <v>813086</v>
      </c>
      <c r="AJ71" s="195">
        <f t="shared" ref="AJ71:BO71" si="6">SUM(AJ61:AJ69)-AJ70</f>
        <v>17151655</v>
      </c>
      <c r="AK71" s="195">
        <f t="shared" si="6"/>
        <v>0</v>
      </c>
      <c r="AL71" s="195">
        <f t="shared" si="6"/>
        <v>617829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12471069</v>
      </c>
      <c r="AW71" s="195">
        <f t="shared" si="6"/>
        <v>0</v>
      </c>
      <c r="AX71" s="195">
        <f t="shared" si="6"/>
        <v>0</v>
      </c>
      <c r="AY71" s="195">
        <f t="shared" si="6"/>
        <v>944213</v>
      </c>
      <c r="AZ71" s="195">
        <f t="shared" si="6"/>
        <v>0</v>
      </c>
      <c r="BA71" s="195">
        <f t="shared" si="6"/>
        <v>468933</v>
      </c>
      <c r="BB71" s="195">
        <f t="shared" si="6"/>
        <v>176545</v>
      </c>
      <c r="BC71" s="195">
        <f t="shared" si="6"/>
        <v>0</v>
      </c>
      <c r="BD71" s="195">
        <f t="shared" si="6"/>
        <v>293390</v>
      </c>
      <c r="BE71" s="195">
        <f t="shared" si="6"/>
        <v>2185961</v>
      </c>
      <c r="BF71" s="195">
        <f t="shared" si="6"/>
        <v>1090209</v>
      </c>
      <c r="BG71" s="195">
        <f t="shared" si="6"/>
        <v>0</v>
      </c>
      <c r="BH71" s="195">
        <f t="shared" si="6"/>
        <v>2345203</v>
      </c>
      <c r="BI71" s="195">
        <f t="shared" si="6"/>
        <v>86141</v>
      </c>
      <c r="BJ71" s="195">
        <f t="shared" si="6"/>
        <v>0</v>
      </c>
      <c r="BK71" s="195">
        <f t="shared" si="6"/>
        <v>319992</v>
      </c>
      <c r="BL71" s="195">
        <f t="shared" si="6"/>
        <v>1216842</v>
      </c>
      <c r="BM71" s="195">
        <f t="shared" si="6"/>
        <v>636671</v>
      </c>
      <c r="BN71" s="195">
        <f t="shared" si="6"/>
        <v>11195244</v>
      </c>
      <c r="BO71" s="195">
        <f t="shared" si="6"/>
        <v>0</v>
      </c>
      <c r="BP71" s="195">
        <f t="shared" ref="BP71:CC71" si="7">SUM(BP61:BP69)-BP70</f>
        <v>1397</v>
      </c>
      <c r="BQ71" s="195">
        <f t="shared" si="7"/>
        <v>188421</v>
      </c>
      <c r="BR71" s="195">
        <f t="shared" si="7"/>
        <v>418429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279371</v>
      </c>
      <c r="BW71" s="195">
        <f t="shared" si="7"/>
        <v>0</v>
      </c>
      <c r="BX71" s="195">
        <f t="shared" si="7"/>
        <v>0</v>
      </c>
      <c r="BY71" s="195">
        <f t="shared" si="7"/>
        <v>871979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592037</v>
      </c>
      <c r="CD71" s="245">
        <f>CD69-CD70</f>
        <v>1010857</v>
      </c>
      <c r="CE71" s="195">
        <f>SUM(CE61:CE69)-CE70</f>
        <v>93211683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4889083</v>
      </c>
      <c r="D73" s="184"/>
      <c r="E73" s="185">
        <v>16292425</v>
      </c>
      <c r="F73" s="185"/>
      <c r="G73" s="184"/>
      <c r="H73" s="184"/>
      <c r="I73" s="185"/>
      <c r="J73" s="185">
        <v>1681984</v>
      </c>
      <c r="K73" s="185"/>
      <c r="L73" s="185"/>
      <c r="M73" s="184"/>
      <c r="N73" s="184"/>
      <c r="O73" s="184">
        <v>2267293</v>
      </c>
      <c r="P73" s="185">
        <f>9352603</f>
        <v>9352603</v>
      </c>
      <c r="Q73" s="185">
        <v>2029698</v>
      </c>
      <c r="R73" s="185">
        <v>2647222</v>
      </c>
      <c r="S73" s="185">
        <v>1152881</v>
      </c>
      <c r="T73" s="185"/>
      <c r="U73" s="185">
        <v>6508865</v>
      </c>
      <c r="V73" s="185">
        <v>1680555</v>
      </c>
      <c r="W73" s="185">
        <v>576700</v>
      </c>
      <c r="X73" s="185">
        <v>2603468</v>
      </c>
      <c r="Y73" s="185">
        <v>3501646</v>
      </c>
      <c r="Z73" s="185"/>
      <c r="AA73" s="185">
        <v>83974</v>
      </c>
      <c r="AB73" s="185">
        <v>5543882</v>
      </c>
      <c r="AC73" s="185">
        <v>1604100</v>
      </c>
      <c r="AD73" s="185"/>
      <c r="AE73" s="185">
        <v>189640</v>
      </c>
      <c r="AF73" s="185"/>
      <c r="AG73" s="185">
        <v>1259810</v>
      </c>
      <c r="AH73" s="185"/>
      <c r="AI73" s="185">
        <v>140541</v>
      </c>
      <c r="AJ73" s="185">
        <v>2211166</v>
      </c>
      <c r="AK73" s="185"/>
      <c r="AL73" s="185">
        <v>55696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331723+9033379+6210+786038</f>
        <v>10157350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76430582</v>
      </c>
      <c r="CF73" s="252"/>
    </row>
    <row r="74" spans="1:84" ht="12.6" customHeight="1" x14ac:dyDescent="0.25">
      <c r="A74" s="171" t="s">
        <v>246</v>
      </c>
      <c r="B74" s="175"/>
      <c r="C74" s="184">
        <v>23234</v>
      </c>
      <c r="D74" s="184"/>
      <c r="E74" s="185">
        <v>1266403</v>
      </c>
      <c r="F74" s="185"/>
      <c r="G74" s="184"/>
      <c r="H74" s="184"/>
      <c r="I74" s="184"/>
      <c r="J74" s="185">
        <v>128820</v>
      </c>
      <c r="K74" s="185"/>
      <c r="L74" s="185"/>
      <c r="M74" s="184"/>
      <c r="N74" s="184"/>
      <c r="O74" s="184">
        <v>23456</v>
      </c>
      <c r="P74" s="185">
        <f>43259781</f>
        <v>43259781</v>
      </c>
      <c r="Q74" s="185">
        <v>4834326</v>
      </c>
      <c r="R74" s="185">
        <v>10517902</v>
      </c>
      <c r="S74" s="185">
        <v>2280646</v>
      </c>
      <c r="T74" s="185"/>
      <c r="U74" s="185">
        <v>23086589</v>
      </c>
      <c r="V74" s="185">
        <v>1564043</v>
      </c>
      <c r="W74" s="185">
        <v>9324895</v>
      </c>
      <c r="X74" s="185">
        <v>12200239</v>
      </c>
      <c r="Y74" s="185">
        <v>24843646</v>
      </c>
      <c r="Z74" s="185"/>
      <c r="AA74" s="185">
        <v>618641</v>
      </c>
      <c r="AB74" s="185">
        <v>20625009</v>
      </c>
      <c r="AC74" s="185">
        <v>3234130</v>
      </c>
      <c r="AD74" s="185"/>
      <c r="AE74" s="185">
        <v>1145053</v>
      </c>
      <c r="AF74" s="185"/>
      <c r="AG74" s="185">
        <v>20554991</v>
      </c>
      <c r="AH74" s="185"/>
      <c r="AI74" s="185">
        <v>2616149</v>
      </c>
      <c r="AJ74" s="185">
        <v>24697265</v>
      </c>
      <c r="AK74" s="185"/>
      <c r="AL74" s="185">
        <v>1150737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27506561+4429851+602571+420129+881889</f>
        <v>33841001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241836956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4912317</v>
      </c>
      <c r="D75" s="195">
        <f t="shared" si="9"/>
        <v>0</v>
      </c>
      <c r="E75" s="195">
        <f t="shared" si="9"/>
        <v>17558828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1810804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2290749</v>
      </c>
      <c r="P75" s="195">
        <f t="shared" si="9"/>
        <v>52612384</v>
      </c>
      <c r="Q75" s="195">
        <f t="shared" si="9"/>
        <v>6864024</v>
      </c>
      <c r="R75" s="195">
        <f t="shared" si="9"/>
        <v>13165124</v>
      </c>
      <c r="S75" s="195">
        <f t="shared" si="9"/>
        <v>3433527</v>
      </c>
      <c r="T75" s="195">
        <f t="shared" si="9"/>
        <v>0</v>
      </c>
      <c r="U75" s="195">
        <f t="shared" si="9"/>
        <v>29595454</v>
      </c>
      <c r="V75" s="195">
        <f t="shared" si="9"/>
        <v>3244598</v>
      </c>
      <c r="W75" s="195">
        <f t="shared" si="9"/>
        <v>9901595</v>
      </c>
      <c r="X75" s="195">
        <f t="shared" si="9"/>
        <v>14803707</v>
      </c>
      <c r="Y75" s="195">
        <f t="shared" si="9"/>
        <v>28345292</v>
      </c>
      <c r="Z75" s="195">
        <f t="shared" si="9"/>
        <v>0</v>
      </c>
      <c r="AA75" s="195">
        <f t="shared" si="9"/>
        <v>702615</v>
      </c>
      <c r="AB75" s="195">
        <f t="shared" si="9"/>
        <v>26168891</v>
      </c>
      <c r="AC75" s="195">
        <f t="shared" si="9"/>
        <v>4838230</v>
      </c>
      <c r="AD75" s="195">
        <f t="shared" si="9"/>
        <v>0</v>
      </c>
      <c r="AE75" s="195">
        <f t="shared" si="9"/>
        <v>1334693</v>
      </c>
      <c r="AF75" s="195">
        <f t="shared" si="9"/>
        <v>0</v>
      </c>
      <c r="AG75" s="195">
        <f t="shared" si="9"/>
        <v>21814801</v>
      </c>
      <c r="AH75" s="195">
        <f t="shared" si="9"/>
        <v>0</v>
      </c>
      <c r="AI75" s="195">
        <f t="shared" si="9"/>
        <v>2756690</v>
      </c>
      <c r="AJ75" s="195">
        <f t="shared" si="9"/>
        <v>26908431</v>
      </c>
      <c r="AK75" s="195">
        <f t="shared" si="9"/>
        <v>0</v>
      </c>
      <c r="AL75" s="195">
        <f t="shared" si="9"/>
        <v>1206433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43998351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318267538</v>
      </c>
      <c r="CF75" s="252"/>
    </row>
    <row r="76" spans="1:84" ht="12.6" customHeight="1" x14ac:dyDescent="0.25">
      <c r="A76" s="171" t="s">
        <v>248</v>
      </c>
      <c r="B76" s="175"/>
      <c r="C76" s="184">
        <v>2235</v>
      </c>
      <c r="D76" s="184"/>
      <c r="E76" s="185">
        <v>19589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3750</v>
      </c>
      <c r="P76" s="185">
        <v>3840</v>
      </c>
      <c r="Q76" s="185">
        <v>1155</v>
      </c>
      <c r="R76" s="185"/>
      <c r="S76" s="185">
        <v>1549</v>
      </c>
      <c r="T76" s="185"/>
      <c r="U76" s="185"/>
      <c r="V76" s="185">
        <v>2569</v>
      </c>
      <c r="W76" s="185"/>
      <c r="X76" s="185"/>
      <c r="Y76" s="185">
        <v>4374</v>
      </c>
      <c r="Z76" s="185"/>
      <c r="AA76" s="185">
        <v>234</v>
      </c>
      <c r="AB76" s="185"/>
      <c r="AC76" s="185">
        <v>246</v>
      </c>
      <c r="AD76" s="185"/>
      <c r="AE76" s="185"/>
      <c r="AF76" s="185"/>
      <c r="AG76" s="185">
        <v>8072</v>
      </c>
      <c r="AH76" s="185"/>
      <c r="AI76" s="185"/>
      <c r="AJ76" s="185">
        <v>29384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627</v>
      </c>
      <c r="AW76" s="185"/>
      <c r="AX76" s="185"/>
      <c r="AY76" s="185">
        <v>3136</v>
      </c>
      <c r="AZ76" s="185"/>
      <c r="BA76" s="185">
        <v>667</v>
      </c>
      <c r="BB76" s="185">
        <v>97</v>
      </c>
      <c r="BC76" s="185"/>
      <c r="BD76" s="185"/>
      <c r="BE76" s="185">
        <v>7789</v>
      </c>
      <c r="BF76" s="185">
        <v>111</v>
      </c>
      <c r="BG76" s="185"/>
      <c r="BH76" s="185"/>
      <c r="BI76" s="185"/>
      <c r="BJ76" s="185"/>
      <c r="BK76" s="185">
        <v>2104</v>
      </c>
      <c r="BL76" s="185"/>
      <c r="BM76" s="185"/>
      <c r="BN76" s="185">
        <v>16560</v>
      </c>
      <c r="BO76" s="185"/>
      <c r="BP76" s="185"/>
      <c r="BQ76" s="185"/>
      <c r="BR76" s="185"/>
      <c r="BS76" s="185"/>
      <c r="BT76" s="185"/>
      <c r="BU76" s="185"/>
      <c r="BV76" s="185">
        <v>2657</v>
      </c>
      <c r="BW76" s="185"/>
      <c r="BX76" s="185"/>
      <c r="BY76" s="185">
        <v>187</v>
      </c>
      <c r="BZ76" s="185"/>
      <c r="CA76" s="185"/>
      <c r="CB76" s="185"/>
      <c r="CC76" s="185">
        <v>1314</v>
      </c>
      <c r="CD76" s="249" t="s">
        <v>221</v>
      </c>
      <c r="CE76" s="195">
        <f t="shared" si="8"/>
        <v>112246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6352</v>
      </c>
      <c r="D77" s="184"/>
      <c r="E77" s="184">
        <v>14978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2669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23999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1901</v>
      </c>
      <c r="D78" s="184"/>
      <c r="E78" s="184">
        <v>7471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2852</v>
      </c>
      <c r="Q78" s="184">
        <v>448</v>
      </c>
      <c r="R78" s="184"/>
      <c r="S78" s="184">
        <v>360</v>
      </c>
      <c r="T78" s="184"/>
      <c r="U78" s="184">
        <v>733</v>
      </c>
      <c r="V78" s="184">
        <v>128</v>
      </c>
      <c r="W78" s="184">
        <v>143</v>
      </c>
      <c r="X78" s="184"/>
      <c r="Y78" s="184">
        <v>1335</v>
      </c>
      <c r="Z78" s="184"/>
      <c r="AA78" s="184"/>
      <c r="AB78" s="184">
        <v>276</v>
      </c>
      <c r="AC78" s="184">
        <v>399</v>
      </c>
      <c r="AD78" s="184"/>
      <c r="AE78" s="184">
        <v>443</v>
      </c>
      <c r="AF78" s="184"/>
      <c r="AG78" s="184">
        <v>3487</v>
      </c>
      <c r="AH78" s="184"/>
      <c r="AI78" s="184">
        <v>1020</v>
      </c>
      <c r="AJ78" s="184">
        <v>8476</v>
      </c>
      <c r="AK78" s="184"/>
      <c r="AL78" s="184">
        <v>1212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1142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443</v>
      </c>
      <c r="BL78" s="184">
        <v>759</v>
      </c>
      <c r="BM78" s="184">
        <v>123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122</v>
      </c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33273</v>
      </c>
      <c r="CF78" s="195"/>
    </row>
    <row r="79" spans="1:84" ht="12.6" customHeight="1" x14ac:dyDescent="0.25">
      <c r="A79" s="171" t="s">
        <v>251</v>
      </c>
      <c r="B79" s="175"/>
      <c r="C79" s="225">
        <v>48528</v>
      </c>
      <c r="D79" s="225"/>
      <c r="E79" s="184">
        <v>121128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24661</v>
      </c>
      <c r="Q79" s="184">
        <v>12139</v>
      </c>
      <c r="R79" s="184"/>
      <c r="S79" s="184">
        <v>308</v>
      </c>
      <c r="T79" s="184"/>
      <c r="U79" s="184">
        <v>128</v>
      </c>
      <c r="V79" s="184">
        <v>845</v>
      </c>
      <c r="W79" s="184">
        <v>2484</v>
      </c>
      <c r="X79" s="184">
        <v>3201</v>
      </c>
      <c r="Y79" s="184">
        <v>32856</v>
      </c>
      <c r="Z79" s="184"/>
      <c r="AA79" s="184"/>
      <c r="AB79" s="184"/>
      <c r="AC79" s="184"/>
      <c r="AD79" s="184"/>
      <c r="AE79" s="184"/>
      <c r="AF79" s="184"/>
      <c r="AG79" s="184">
        <v>77133</v>
      </c>
      <c r="AH79" s="184"/>
      <c r="AI79" s="184">
        <v>18233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6580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348224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17.45</v>
      </c>
      <c r="D80" s="187"/>
      <c r="E80" s="187">
        <v>38.5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13.1</v>
      </c>
      <c r="Q80" s="187">
        <v>4.07</v>
      </c>
      <c r="R80" s="187"/>
      <c r="S80" s="187">
        <v>2.33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23.01</v>
      </c>
      <c r="AH80" s="187"/>
      <c r="AI80" s="187">
        <v>6.87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105.33000000000001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1279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6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2351</v>
      </c>
      <c r="D111" s="174">
        <v>5693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</v>
      </c>
      <c r="D112" s="174">
        <v>21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438</v>
      </c>
      <c r="D114" s="174">
        <v>682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876</v>
      </c>
      <c r="C138" s="189">
        <v>833</v>
      </c>
      <c r="D138" s="174">
        <v>642</v>
      </c>
      <c r="E138" s="175">
        <f>SUM(B138:D138)</f>
        <v>2351</v>
      </c>
    </row>
    <row r="139" spans="1:6" ht="12.6" customHeight="1" x14ac:dyDescent="0.25">
      <c r="A139" s="173" t="s">
        <v>215</v>
      </c>
      <c r="B139" s="174">
        <v>2122</v>
      </c>
      <c r="C139" s="189">
        <v>2016</v>
      </c>
      <c r="D139" s="174">
        <v>1555</v>
      </c>
      <c r="E139" s="175">
        <f>SUM(B139:D139)</f>
        <v>5693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f>37072202-B147</f>
        <v>37031028</v>
      </c>
      <c r="C141" s="189">
        <v>28035929</v>
      </c>
      <c r="D141" s="174">
        <v>11322451</v>
      </c>
      <c r="E141" s="175">
        <f>SUM(B141:D141)</f>
        <v>76389408</v>
      </c>
      <c r="F141" s="199"/>
    </row>
    <row r="142" spans="1:6" ht="12.6" customHeight="1" x14ac:dyDescent="0.25">
      <c r="A142" s="173" t="s">
        <v>246</v>
      </c>
      <c r="B142" s="174">
        <v>81538012</v>
      </c>
      <c r="C142" s="189">
        <v>84689427</v>
      </c>
      <c r="D142" s="174">
        <v>75609517</v>
      </c>
      <c r="E142" s="175">
        <f>SUM(B142:D142)</f>
        <v>241836956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2</v>
      </c>
      <c r="C144" s="189"/>
      <c r="D144" s="174"/>
      <c r="E144" s="175">
        <f>SUM(B144:D144)</f>
        <v>2</v>
      </c>
    </row>
    <row r="145" spans="1:5" ht="12.6" customHeight="1" x14ac:dyDescent="0.25">
      <c r="A145" s="173" t="s">
        <v>215</v>
      </c>
      <c r="B145" s="174">
        <v>21</v>
      </c>
      <c r="C145" s="189"/>
      <c r="D145" s="174"/>
      <c r="E145" s="175">
        <f>SUM(B145:D145)</f>
        <v>21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41174</v>
      </c>
      <c r="C147" s="189"/>
      <c r="D147" s="174"/>
      <c r="E147" s="175">
        <f>SUM(B147:D147)</f>
        <v>41174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15838642</v>
      </c>
      <c r="C157" s="174">
        <v>7831991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1838288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232143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596755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2950876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1188844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10881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9.5" customHeight="1" x14ac:dyDescent="0.25">
      <c r="A173" s="173" t="s">
        <v>203</v>
      </c>
      <c r="B173" s="175"/>
      <c r="C173" s="191"/>
      <c r="D173" s="175">
        <f>SUM(C165:C172)</f>
        <v>6817787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4.55" customHeight="1" x14ac:dyDescent="0.25">
      <c r="A175" s="173" t="s">
        <v>315</v>
      </c>
      <c r="B175" s="172" t="s">
        <v>256</v>
      </c>
      <c r="C175" s="189">
        <v>856172</v>
      </c>
      <c r="D175" s="175"/>
      <c r="E175" s="175"/>
    </row>
    <row r="176" spans="1:5" ht="15" customHeight="1" x14ac:dyDescent="0.25">
      <c r="A176" s="173" t="s">
        <v>316</v>
      </c>
      <c r="B176" s="172" t="s">
        <v>256</v>
      </c>
      <c r="C176" s="189">
        <v>1034013</v>
      </c>
      <c r="D176" s="175"/>
      <c r="E176" s="175"/>
    </row>
    <row r="177" spans="1:5" ht="18" customHeight="1" x14ac:dyDescent="0.25">
      <c r="A177" s="173" t="s">
        <v>203</v>
      </c>
      <c r="B177" s="175"/>
      <c r="C177" s="191"/>
      <c r="D177" s="175">
        <f>SUM(C175:C176)</f>
        <v>1890185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883433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112626</v>
      </c>
      <c r="D180" s="175"/>
      <c r="E180" s="175"/>
    </row>
    <row r="181" spans="1:5" ht="13.8" x14ac:dyDescent="0.25">
      <c r="A181" s="173" t="s">
        <v>203</v>
      </c>
      <c r="B181" s="175"/>
      <c r="C181" s="191"/>
      <c r="D181" s="175">
        <f>SUM(C179:C180)</f>
        <v>996059</v>
      </c>
      <c r="E181" s="175"/>
    </row>
    <row r="182" spans="1:5" ht="13.8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316916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664602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6.95" customHeight="1" x14ac:dyDescent="0.25">
      <c r="A186" s="173" t="s">
        <v>203</v>
      </c>
      <c r="B186" s="175"/>
      <c r="C186" s="191"/>
      <c r="D186" s="175">
        <f>SUM(C183:C185)</f>
        <v>981518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666699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10225</v>
      </c>
      <c r="D189" s="175"/>
      <c r="E189" s="175"/>
    </row>
    <row r="190" spans="1:5" ht="14.55" customHeight="1" x14ac:dyDescent="0.25">
      <c r="A190" s="173" t="s">
        <v>203</v>
      </c>
      <c r="B190" s="175"/>
      <c r="C190" s="191"/>
      <c r="D190" s="175">
        <f>SUM(C188:C189)</f>
        <v>676924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1057687</v>
      </c>
      <c r="C195" s="189"/>
      <c r="D195" s="174"/>
      <c r="E195" s="175">
        <f t="shared" ref="E195:E203" si="10">SUM(B195:C195)-D195</f>
        <v>1057687</v>
      </c>
    </row>
    <row r="196" spans="1:8" ht="12.6" customHeight="1" x14ac:dyDescent="0.25">
      <c r="A196" s="173" t="s">
        <v>333</v>
      </c>
      <c r="B196" s="174">
        <v>1564552</v>
      </c>
      <c r="C196" s="189"/>
      <c r="D196" s="174"/>
      <c r="E196" s="175">
        <f t="shared" si="10"/>
        <v>1564552</v>
      </c>
    </row>
    <row r="197" spans="1:8" ht="12.6" customHeight="1" x14ac:dyDescent="0.25">
      <c r="A197" s="173" t="s">
        <v>334</v>
      </c>
      <c r="B197" s="174">
        <v>25456321</v>
      </c>
      <c r="C197" s="189">
        <v>9070</v>
      </c>
      <c r="D197" s="174"/>
      <c r="E197" s="175">
        <f t="shared" si="10"/>
        <v>25465391</v>
      </c>
    </row>
    <row r="198" spans="1:8" ht="12.6" customHeight="1" x14ac:dyDescent="0.25">
      <c r="A198" s="173" t="s">
        <v>335</v>
      </c>
      <c r="B198" s="174">
        <v>3922094</v>
      </c>
      <c r="C198" s="189"/>
      <c r="D198" s="174"/>
      <c r="E198" s="175">
        <f t="shared" si="10"/>
        <v>3922094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20175017</v>
      </c>
      <c r="C200" s="189">
        <v>514479</v>
      </c>
      <c r="D200" s="174">
        <v>1787789</v>
      </c>
      <c r="E200" s="175">
        <f t="shared" si="10"/>
        <v>18901707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114060</v>
      </c>
      <c r="C202" s="189"/>
      <c r="D202" s="174"/>
      <c r="E202" s="175">
        <f t="shared" si="10"/>
        <v>114060</v>
      </c>
    </row>
    <row r="203" spans="1:8" ht="12.6" customHeight="1" x14ac:dyDescent="0.25">
      <c r="A203" s="173" t="s">
        <v>340</v>
      </c>
      <c r="B203" s="174">
        <v>19924438</v>
      </c>
      <c r="C203" s="189">
        <v>742376</v>
      </c>
      <c r="D203" s="174"/>
      <c r="E203" s="175">
        <f t="shared" si="10"/>
        <v>20666814</v>
      </c>
    </row>
    <row r="204" spans="1:8" ht="12.6" customHeight="1" x14ac:dyDescent="0.25">
      <c r="A204" s="173" t="s">
        <v>203</v>
      </c>
      <c r="B204" s="175">
        <f>SUM(B195:B203)</f>
        <v>72214169</v>
      </c>
      <c r="C204" s="191">
        <f>SUM(C195:C203)</f>
        <v>1265925</v>
      </c>
      <c r="D204" s="175">
        <f>SUM(D195:D203)</f>
        <v>1787789</v>
      </c>
      <c r="E204" s="175">
        <f>SUM(E195:E203)</f>
        <v>71692305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1233907</v>
      </c>
      <c r="C209" s="189">
        <v>29012</v>
      </c>
      <c r="D209" s="174"/>
      <c r="E209" s="175">
        <f t="shared" ref="E209:E216" si="11">SUM(B209:C209)-D209</f>
        <v>1262919</v>
      </c>
      <c r="H209" s="259"/>
    </row>
    <row r="210" spans="1:8" ht="12.6" customHeight="1" x14ac:dyDescent="0.25">
      <c r="A210" s="173" t="s">
        <v>334</v>
      </c>
      <c r="B210" s="174">
        <v>14206337</v>
      </c>
      <c r="C210" s="189">
        <v>652207</v>
      </c>
      <c r="D210" s="174"/>
      <c r="E210" s="175">
        <f t="shared" si="11"/>
        <v>14858544</v>
      </c>
      <c r="H210" s="259"/>
    </row>
    <row r="211" spans="1:8" ht="12.6" customHeight="1" x14ac:dyDescent="0.25">
      <c r="A211" s="173" t="s">
        <v>335</v>
      </c>
      <c r="B211" s="174">
        <v>2244193</v>
      </c>
      <c r="C211" s="189">
        <v>116580</v>
      </c>
      <c r="D211" s="174"/>
      <c r="E211" s="175">
        <f t="shared" si="11"/>
        <v>2360773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17079443</v>
      </c>
      <c r="C213" s="189">
        <v>2553734</v>
      </c>
      <c r="D213" s="174">
        <v>424000</v>
      </c>
      <c r="E213" s="175">
        <f t="shared" si="11"/>
        <v>19209177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256285</v>
      </c>
      <c r="C215" s="189"/>
      <c r="D215" s="174"/>
      <c r="E215" s="175">
        <f t="shared" si="11"/>
        <v>256285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35020165</v>
      </c>
      <c r="C217" s="191">
        <f>SUM(C208:C216)</f>
        <v>3351533</v>
      </c>
      <c r="D217" s="175">
        <f>SUM(D208:D216)</f>
        <v>424000</v>
      </c>
      <c r="E217" s="175">
        <f>SUM(E208:E216)</f>
        <v>37947698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345462</v>
      </c>
      <c r="D221" s="172">
        <f>C221</f>
        <v>345462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75216484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71484611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6638923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48488850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201828868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6145008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6145008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208319338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3848619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89050570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56519422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34336605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1733236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426145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72875753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1057687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1564552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25465391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3922094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18901707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114060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20666814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71692305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37947698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33744607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476085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476085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2869671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2869671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109966116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16338572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3876463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-2701139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17513896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10015669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11411699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19836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21447204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21447204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71005016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109966116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109966116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76430582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241836956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318267538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345462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201828868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6145008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208319338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109948200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370751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370751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110318951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36116458</f>
        <v>36116458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6817787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1106733+49956</f>
        <v>1156689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15276312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1222470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23237839+458640+1365411</f>
        <v>25061890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3351533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1890185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996059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981518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676924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2689114-C387</f>
        <v>1707596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95255421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15063530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-520218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14543312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14543312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Astria Sunnyside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2351</v>
      </c>
      <c r="C414" s="194">
        <f>E138</f>
        <v>2351</v>
      </c>
      <c r="D414" s="179"/>
    </row>
    <row r="415" spans="1:5" ht="12.6" customHeight="1" x14ac:dyDescent="0.25">
      <c r="A415" s="179" t="s">
        <v>464</v>
      </c>
      <c r="B415" s="179">
        <f>D111</f>
        <v>5693</v>
      </c>
      <c r="C415" s="179">
        <f>E139</f>
        <v>5693</v>
      </c>
      <c r="D415" s="194">
        <f>SUM(C59:H59)+N59</f>
        <v>5693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</v>
      </c>
      <c r="C417" s="194">
        <f>E144</f>
        <v>2</v>
      </c>
      <c r="D417" s="179"/>
    </row>
    <row r="418" spans="1:7" ht="12.6" customHeight="1" x14ac:dyDescent="0.25">
      <c r="A418" s="179" t="s">
        <v>466</v>
      </c>
      <c r="B418" s="179">
        <f>D112</f>
        <v>21</v>
      </c>
      <c r="C418" s="179">
        <f>E145</f>
        <v>21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438</v>
      </c>
    </row>
    <row r="424" spans="1:7" ht="12.6" customHeight="1" x14ac:dyDescent="0.25">
      <c r="A424" s="179" t="s">
        <v>1244</v>
      </c>
      <c r="B424" s="179">
        <f>D114</f>
        <v>682</v>
      </c>
      <c r="D424" s="179">
        <f>J59</f>
        <v>682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36116458</v>
      </c>
      <c r="C427" s="179">
        <f t="shared" ref="C427:C434" si="13">CE61</f>
        <v>36116458</v>
      </c>
      <c r="D427" s="179"/>
    </row>
    <row r="428" spans="1:7" ht="12.6" customHeight="1" x14ac:dyDescent="0.25">
      <c r="A428" s="179" t="s">
        <v>3</v>
      </c>
      <c r="B428" s="179">
        <f t="shared" si="12"/>
        <v>6817787</v>
      </c>
      <c r="C428" s="179">
        <f t="shared" si="13"/>
        <v>6817786</v>
      </c>
      <c r="D428" s="179">
        <f>D173</f>
        <v>6817787</v>
      </c>
    </row>
    <row r="429" spans="1:7" ht="12.6" customHeight="1" x14ac:dyDescent="0.25">
      <c r="A429" s="179" t="s">
        <v>236</v>
      </c>
      <c r="B429" s="179">
        <f t="shared" si="12"/>
        <v>1156689</v>
      </c>
      <c r="C429" s="179">
        <f t="shared" si="13"/>
        <v>1156689</v>
      </c>
      <c r="D429" s="179"/>
    </row>
    <row r="430" spans="1:7" ht="12.6" customHeight="1" x14ac:dyDescent="0.25">
      <c r="A430" s="179" t="s">
        <v>237</v>
      </c>
      <c r="B430" s="179">
        <f t="shared" si="12"/>
        <v>15276312</v>
      </c>
      <c r="C430" s="179">
        <f t="shared" si="13"/>
        <v>15276312</v>
      </c>
      <c r="D430" s="179"/>
    </row>
    <row r="431" spans="1:7" ht="12.6" customHeight="1" x14ac:dyDescent="0.25">
      <c r="A431" s="179" t="s">
        <v>444</v>
      </c>
      <c r="B431" s="179">
        <f t="shared" si="12"/>
        <v>1222470</v>
      </c>
      <c r="C431" s="179">
        <f t="shared" si="13"/>
        <v>1222470</v>
      </c>
      <c r="D431" s="179"/>
    </row>
    <row r="432" spans="1:7" ht="12.6" customHeight="1" x14ac:dyDescent="0.25">
      <c r="A432" s="179" t="s">
        <v>445</v>
      </c>
      <c r="B432" s="179">
        <f t="shared" si="12"/>
        <v>25061890</v>
      </c>
      <c r="C432" s="179">
        <f t="shared" si="13"/>
        <v>25061890</v>
      </c>
      <c r="D432" s="179"/>
    </row>
    <row r="433" spans="1:7" ht="12.6" customHeight="1" x14ac:dyDescent="0.25">
      <c r="A433" s="179" t="s">
        <v>6</v>
      </c>
      <c r="B433" s="179">
        <f t="shared" si="12"/>
        <v>3351533</v>
      </c>
      <c r="C433" s="179">
        <f t="shared" si="13"/>
        <v>3351530</v>
      </c>
      <c r="D433" s="179">
        <f>C217</f>
        <v>3351533</v>
      </c>
    </row>
    <row r="434" spans="1:7" ht="12.6" customHeight="1" x14ac:dyDescent="0.25">
      <c r="A434" s="179" t="s">
        <v>474</v>
      </c>
      <c r="B434" s="179">
        <f t="shared" si="12"/>
        <v>1890185</v>
      </c>
      <c r="C434" s="179">
        <f t="shared" si="13"/>
        <v>1890185</v>
      </c>
      <c r="D434" s="179">
        <f>D177</f>
        <v>1890185</v>
      </c>
    </row>
    <row r="435" spans="1:7" ht="12.6" customHeight="1" x14ac:dyDescent="0.25">
      <c r="A435" s="179" t="s">
        <v>447</v>
      </c>
      <c r="B435" s="179">
        <f t="shared" si="12"/>
        <v>996059</v>
      </c>
      <c r="C435" s="179"/>
      <c r="D435" s="179">
        <f>D181</f>
        <v>996059</v>
      </c>
    </row>
    <row r="436" spans="1:7" ht="12.6" customHeight="1" x14ac:dyDescent="0.25">
      <c r="A436" s="179" t="s">
        <v>475</v>
      </c>
      <c r="B436" s="179">
        <f t="shared" si="12"/>
        <v>981518</v>
      </c>
      <c r="C436" s="179"/>
      <c r="D436" s="179">
        <f>D186</f>
        <v>981518</v>
      </c>
    </row>
    <row r="437" spans="1:7" ht="12.6" customHeight="1" x14ac:dyDescent="0.25">
      <c r="A437" s="194" t="s">
        <v>449</v>
      </c>
      <c r="B437" s="194">
        <f t="shared" si="12"/>
        <v>676924</v>
      </c>
      <c r="C437" s="194"/>
      <c r="D437" s="194">
        <f>D190</f>
        <v>676924</v>
      </c>
    </row>
    <row r="438" spans="1:7" ht="12.6" customHeight="1" x14ac:dyDescent="0.25">
      <c r="A438" s="194" t="s">
        <v>476</v>
      </c>
      <c r="B438" s="194">
        <f>C386+C387+C388</f>
        <v>2654501</v>
      </c>
      <c r="C438" s="194">
        <f>CD69</f>
        <v>1381608</v>
      </c>
      <c r="D438" s="194">
        <f>D181+D186+D190</f>
        <v>2654501</v>
      </c>
    </row>
    <row r="439" spans="1:7" ht="12.6" customHeight="1" x14ac:dyDescent="0.25">
      <c r="A439" s="179" t="s">
        <v>451</v>
      </c>
      <c r="B439" s="194">
        <f>C389</f>
        <v>1707596</v>
      </c>
      <c r="C439" s="194">
        <f>SUM(C69:CC69)</f>
        <v>1307506</v>
      </c>
      <c r="D439" s="179"/>
    </row>
    <row r="440" spans="1:7" ht="12.6" customHeight="1" x14ac:dyDescent="0.25">
      <c r="A440" s="179" t="s">
        <v>477</v>
      </c>
      <c r="B440" s="194">
        <f>B438+B439</f>
        <v>4362097</v>
      </c>
      <c r="C440" s="194">
        <f>CE69</f>
        <v>2689114</v>
      </c>
      <c r="D440" s="179"/>
    </row>
    <row r="441" spans="1:7" ht="12.6" customHeight="1" x14ac:dyDescent="0.25">
      <c r="A441" s="179" t="s">
        <v>478</v>
      </c>
      <c r="B441" s="179">
        <f>D390</f>
        <v>95255421</v>
      </c>
      <c r="C441" s="179">
        <f>SUM(C427:C437)+C440</f>
        <v>93582434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345462</v>
      </c>
      <c r="C444" s="179">
        <f>C363</f>
        <v>345462</v>
      </c>
      <c r="D444" s="179"/>
    </row>
    <row r="445" spans="1:7" ht="12.6" customHeight="1" x14ac:dyDescent="0.25">
      <c r="A445" s="179" t="s">
        <v>343</v>
      </c>
      <c r="B445" s="179">
        <f>D229</f>
        <v>201828868</v>
      </c>
      <c r="C445" s="179">
        <f>C364</f>
        <v>201828868</v>
      </c>
      <c r="D445" s="179"/>
    </row>
    <row r="446" spans="1:7" ht="12.6" customHeight="1" x14ac:dyDescent="0.25">
      <c r="A446" s="179" t="s">
        <v>351</v>
      </c>
      <c r="B446" s="179">
        <f>D236</f>
        <v>6145008</v>
      </c>
      <c r="C446" s="179">
        <f>C365</f>
        <v>6145008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208319338</v>
      </c>
      <c r="C448" s="179">
        <f>D367</f>
        <v>208319338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6145008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370751</v>
      </c>
      <c r="C458" s="194">
        <f>CE70</f>
        <v>370751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76430582</v>
      </c>
      <c r="C463" s="194">
        <f>CE73</f>
        <v>76430582</v>
      </c>
      <c r="D463" s="194">
        <f>E141+E147+E153</f>
        <v>76430582</v>
      </c>
    </row>
    <row r="464" spans="1:7" ht="12.6" customHeight="1" x14ac:dyDescent="0.25">
      <c r="A464" s="179" t="s">
        <v>246</v>
      </c>
      <c r="B464" s="194">
        <f>C360</f>
        <v>241836956</v>
      </c>
      <c r="C464" s="194">
        <f>CE74</f>
        <v>241836956</v>
      </c>
      <c r="D464" s="194">
        <f>E142+E148+E154</f>
        <v>241836956</v>
      </c>
    </row>
    <row r="465" spans="1:7" ht="12.6" customHeight="1" x14ac:dyDescent="0.25">
      <c r="A465" s="179" t="s">
        <v>247</v>
      </c>
      <c r="B465" s="194">
        <f>D361</f>
        <v>318267538</v>
      </c>
      <c r="C465" s="194">
        <f>CE75</f>
        <v>318267538</v>
      </c>
      <c r="D465" s="194">
        <f>D463+D464</f>
        <v>318267538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1057687</v>
      </c>
      <c r="C468" s="179">
        <f>E195</f>
        <v>1057687</v>
      </c>
      <c r="D468" s="179"/>
    </row>
    <row r="469" spans="1:7" ht="12.6" customHeight="1" x14ac:dyDescent="0.25">
      <c r="A469" s="179" t="s">
        <v>333</v>
      </c>
      <c r="B469" s="179">
        <f t="shared" si="14"/>
        <v>1564552</v>
      </c>
      <c r="C469" s="179">
        <f>E196</f>
        <v>1564552</v>
      </c>
      <c r="D469" s="179"/>
    </row>
    <row r="470" spans="1:7" ht="12.6" customHeight="1" x14ac:dyDescent="0.25">
      <c r="A470" s="179" t="s">
        <v>334</v>
      </c>
      <c r="B470" s="179">
        <f t="shared" si="14"/>
        <v>25465391</v>
      </c>
      <c r="C470" s="179">
        <f>E197</f>
        <v>25465391</v>
      </c>
      <c r="D470" s="179"/>
    </row>
    <row r="471" spans="1:7" ht="12.6" customHeight="1" x14ac:dyDescent="0.25">
      <c r="A471" s="179" t="s">
        <v>494</v>
      </c>
      <c r="B471" s="179">
        <f t="shared" si="14"/>
        <v>3922094</v>
      </c>
      <c r="C471" s="179">
        <f>E198</f>
        <v>3922094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18901707</v>
      </c>
      <c r="C473" s="179">
        <f>SUM(E200:E201)</f>
        <v>18901707</v>
      </c>
      <c r="D473" s="179"/>
    </row>
    <row r="474" spans="1:7" ht="12.6" customHeight="1" x14ac:dyDescent="0.25">
      <c r="A474" s="179" t="s">
        <v>339</v>
      </c>
      <c r="B474" s="179">
        <f t="shared" si="14"/>
        <v>114060</v>
      </c>
      <c r="C474" s="179">
        <f>E202</f>
        <v>114060</v>
      </c>
      <c r="D474" s="179"/>
    </row>
    <row r="475" spans="1:7" ht="12.6" customHeight="1" x14ac:dyDescent="0.25">
      <c r="A475" s="179" t="s">
        <v>340</v>
      </c>
      <c r="B475" s="179">
        <f t="shared" si="14"/>
        <v>20666814</v>
      </c>
      <c r="C475" s="179">
        <f>E203</f>
        <v>20666814</v>
      </c>
      <c r="D475" s="179"/>
    </row>
    <row r="476" spans="1:7" ht="12.6" customHeight="1" x14ac:dyDescent="0.25">
      <c r="A476" s="179" t="s">
        <v>203</v>
      </c>
      <c r="B476" s="179">
        <f>D275</f>
        <v>71692305</v>
      </c>
      <c r="C476" s="179">
        <f>E204</f>
        <v>71692305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37947698</v>
      </c>
      <c r="C478" s="179">
        <f>E217</f>
        <v>37947698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109966116</v>
      </c>
    </row>
    <row r="482" spans="1:12" ht="12.6" customHeight="1" x14ac:dyDescent="0.25">
      <c r="A482" s="180" t="s">
        <v>499</v>
      </c>
      <c r="C482" s="180">
        <f>D339</f>
        <v>109966116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198</v>
      </c>
      <c r="B493" s="261" t="str">
        <f>RIGHT('Prior Year'!C83,4)</f>
        <v>198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2384127</v>
      </c>
      <c r="C496" s="240">
        <f>C71</f>
        <v>2298152</v>
      </c>
      <c r="D496" s="240">
        <f>'Prior Year'!C59</f>
        <v>1221</v>
      </c>
      <c r="E496" s="180">
        <f>C59</f>
        <v>1262</v>
      </c>
      <c r="F496" s="263">
        <f t="shared" ref="F496:G511" si="15">IF(B496=0,"",IF(D496=0,"",B496/D496))</f>
        <v>1952.6019656019655</v>
      </c>
      <c r="G496" s="264">
        <f t="shared" si="15"/>
        <v>1821.039619651347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5296726</v>
      </c>
      <c r="C498" s="240">
        <f>E71</f>
        <v>6213145</v>
      </c>
      <c r="D498" s="240">
        <f>'Prior Year'!E59</f>
        <v>4812</v>
      </c>
      <c r="E498" s="180">
        <f>E59</f>
        <v>4431</v>
      </c>
      <c r="F498" s="263">
        <f t="shared" si="15"/>
        <v>1100.7327514546967</v>
      </c>
      <c r="G498" s="263">
        <f t="shared" si="15"/>
        <v>1402.1992778153915</v>
      </c>
      <c r="H498" s="265">
        <f t="shared" si="16"/>
        <v>0.27387803802720079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734</v>
      </c>
      <c r="E503" s="180">
        <f>J59</f>
        <v>682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94632</v>
      </c>
      <c r="C508" s="240">
        <f>O71</f>
        <v>111971</v>
      </c>
      <c r="D508" s="240">
        <f>'Prior Year'!O59</f>
        <v>479</v>
      </c>
      <c r="E508" s="180">
        <f>O59</f>
        <v>438</v>
      </c>
      <c r="F508" s="263">
        <f t="shared" si="15"/>
        <v>197.5615866388309</v>
      </c>
      <c r="G508" s="263">
        <f t="shared" si="15"/>
        <v>255.64155251141551</v>
      </c>
      <c r="H508" s="265">
        <f t="shared" si="16"/>
        <v>0.29398410318885815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2787776</v>
      </c>
      <c r="C509" s="240">
        <f>P71</f>
        <v>6156826</v>
      </c>
      <c r="D509" s="240">
        <f>'Prior Year'!P59</f>
        <v>194937</v>
      </c>
      <c r="E509" s="180">
        <f>P59</f>
        <v>174211</v>
      </c>
      <c r="F509" s="263">
        <f t="shared" si="15"/>
        <v>14.300907472670657</v>
      </c>
      <c r="G509" s="263">
        <f t="shared" si="15"/>
        <v>35.341201187066261</v>
      </c>
      <c r="H509" s="265">
        <f t="shared" si="16"/>
        <v>1.4712558454492526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575038</v>
      </c>
      <c r="C510" s="240">
        <f>Q71</f>
        <v>552347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935635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261882</v>
      </c>
      <c r="C512" s="240">
        <f>S71</f>
        <v>339758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3556954</v>
      </c>
      <c r="C514" s="240">
        <f>U71</f>
        <v>3740407</v>
      </c>
      <c r="D514" s="240">
        <f>'Prior Year'!U59</f>
        <v>189775</v>
      </c>
      <c r="E514" s="180">
        <f>U59</f>
        <v>164342</v>
      </c>
      <c r="F514" s="263">
        <f t="shared" si="17"/>
        <v>18.743006191542616</v>
      </c>
      <c r="G514" s="263">
        <f t="shared" si="17"/>
        <v>22.759897043969282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247301</v>
      </c>
      <c r="C515" s="240">
        <f>V71</f>
        <v>288831</v>
      </c>
      <c r="D515" s="240">
        <f>'Prior Year'!V59</f>
        <v>931</v>
      </c>
      <c r="E515" s="180">
        <f>V59</f>
        <v>819</v>
      </c>
      <c r="F515" s="263">
        <f t="shared" si="17"/>
        <v>265.62943071965628</v>
      </c>
      <c r="G515" s="263">
        <f t="shared" si="17"/>
        <v>352.66300366300368</v>
      </c>
      <c r="H515" s="265">
        <f t="shared" si="16"/>
        <v>0.32765033869760507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293012</v>
      </c>
      <c r="C516" s="240">
        <f>W71</f>
        <v>252156</v>
      </c>
      <c r="D516" s="240">
        <f>'Prior Year'!W59</f>
        <v>1624</v>
      </c>
      <c r="E516" s="180">
        <f>W59</f>
        <v>1824</v>
      </c>
      <c r="F516" s="263">
        <f t="shared" si="17"/>
        <v>180.42610837438423</v>
      </c>
      <c r="G516" s="263">
        <f t="shared" si="17"/>
        <v>138.24342105263159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149315</v>
      </c>
      <c r="C517" s="240">
        <f>X71</f>
        <v>118067</v>
      </c>
      <c r="D517" s="240">
        <f>'Prior Year'!X59</f>
        <v>4652</v>
      </c>
      <c r="E517" s="180">
        <f>X59</f>
        <v>4523</v>
      </c>
      <c r="F517" s="263">
        <f t="shared" si="17"/>
        <v>32.096947549441097</v>
      </c>
      <c r="G517" s="263">
        <f t="shared" si="17"/>
        <v>26.103692239663939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5743010</v>
      </c>
      <c r="C518" s="240">
        <f>Y71</f>
        <v>4615159</v>
      </c>
      <c r="D518" s="240">
        <f>'Prior Year'!Y59</f>
        <v>59745</v>
      </c>
      <c r="E518" s="180">
        <f>Y59</f>
        <v>58261</v>
      </c>
      <c r="F518" s="263">
        <f t="shared" si="17"/>
        <v>96.125366139425893</v>
      </c>
      <c r="G518" s="263">
        <f t="shared" si="17"/>
        <v>79.215238324093306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249184</v>
      </c>
      <c r="C520" s="240">
        <f>AA71</f>
        <v>293620</v>
      </c>
      <c r="D520" s="240">
        <f>'Prior Year'!AA59</f>
        <v>412</v>
      </c>
      <c r="E520" s="180">
        <f>AA59</f>
        <v>343</v>
      </c>
      <c r="F520" s="263">
        <f t="shared" si="17"/>
        <v>604.81553398058247</v>
      </c>
      <c r="G520" s="263">
        <f t="shared" si="17"/>
        <v>856.03498542274053</v>
      </c>
      <c r="H520" s="265">
        <f t="shared" si="16"/>
        <v>0.41536540867057736</v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4562826</v>
      </c>
      <c r="C521" s="240">
        <f>AB71</f>
        <v>5746063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801514</v>
      </c>
      <c r="C522" s="240">
        <f>AC71</f>
        <v>972952</v>
      </c>
      <c r="D522" s="240">
        <f>'Prior Year'!AC59</f>
        <v>16776</v>
      </c>
      <c r="E522" s="180">
        <f>AC59</f>
        <v>16216</v>
      </c>
      <c r="F522" s="263">
        <f t="shared" si="17"/>
        <v>47.777420123986644</v>
      </c>
      <c r="G522" s="263">
        <f t="shared" si="17"/>
        <v>59.999506660088798</v>
      </c>
      <c r="H522" s="265">
        <f t="shared" si="16"/>
        <v>0.25581302850561527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813166</v>
      </c>
      <c r="C524" s="240">
        <f>AE71</f>
        <v>556861</v>
      </c>
      <c r="D524" s="240">
        <f>'Prior Year'!AE59</f>
        <v>19976</v>
      </c>
      <c r="E524" s="180">
        <f>AE59</f>
        <v>9707</v>
      </c>
      <c r="F524" s="263">
        <f t="shared" si="17"/>
        <v>40.707148578293953</v>
      </c>
      <c r="G524" s="263">
        <f t="shared" si="17"/>
        <v>57.366951684351498</v>
      </c>
      <c r="H524" s="265">
        <f t="shared" si="16"/>
        <v>0.40925988893609122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6184555</v>
      </c>
      <c r="C526" s="240">
        <f>AG71</f>
        <v>5579894</v>
      </c>
      <c r="D526" s="240">
        <f>'Prior Year'!AG59</f>
        <v>18770</v>
      </c>
      <c r="E526" s="180">
        <f>AG59</f>
        <v>17981</v>
      </c>
      <c r="F526" s="263">
        <f t="shared" si="17"/>
        <v>329.49147575919022</v>
      </c>
      <c r="G526" s="263">
        <f t="shared" si="17"/>
        <v>310.32167287692562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854499</v>
      </c>
      <c r="C528" s="240">
        <f>AI71</f>
        <v>813086</v>
      </c>
      <c r="D528" s="240">
        <f>'Prior Year'!AI59</f>
        <v>1514</v>
      </c>
      <c r="E528" s="180">
        <f>AI59</f>
        <v>1627</v>
      </c>
      <c r="F528" s="263">
        <f t="shared" ref="F528:G540" si="18">IF(B528=0,"",IF(D528=0,"",B528/D528))</f>
        <v>564.39828269484804</v>
      </c>
      <c r="G528" s="263">
        <f t="shared" si="18"/>
        <v>499.74554394591274</v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19193868</v>
      </c>
      <c r="C529" s="240">
        <f>AJ71</f>
        <v>17151655</v>
      </c>
      <c r="D529" s="240">
        <f>'Prior Year'!AJ59</f>
        <v>68650</v>
      </c>
      <c r="E529" s="180">
        <f>AJ59</f>
        <v>74559</v>
      </c>
      <c r="F529" s="263">
        <f t="shared" si="18"/>
        <v>279.59021121631463</v>
      </c>
      <c r="G529" s="263">
        <f t="shared" si="18"/>
        <v>230.04137662790541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892922</v>
      </c>
      <c r="C531" s="240">
        <f>AL71</f>
        <v>617829</v>
      </c>
      <c r="D531" s="240">
        <f>'Prior Year'!AL59</f>
        <v>8245</v>
      </c>
      <c r="E531" s="180">
        <f>AL59</f>
        <v>6163</v>
      </c>
      <c r="F531" s="263">
        <f t="shared" si="18"/>
        <v>108.298605215282</v>
      </c>
      <c r="G531" s="263">
        <f t="shared" si="18"/>
        <v>100.24809346097679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23139.35</v>
      </c>
      <c r="E534" s="180">
        <f>AO59</f>
        <v>19944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11882845</v>
      </c>
      <c r="C541" s="240">
        <f>AV71</f>
        <v>12471069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956801</v>
      </c>
      <c r="C544" s="240">
        <f>AY71</f>
        <v>944213</v>
      </c>
      <c r="D544" s="240">
        <f>'Prior Year'!AY59</f>
        <v>23684</v>
      </c>
      <c r="E544" s="180">
        <f>AY59</f>
        <v>23999</v>
      </c>
      <c r="F544" s="263">
        <f t="shared" ref="F544:G550" si="19">IF(B544=0,"",IF(D544=0,"",B544/D544))</f>
        <v>40.398623543320383</v>
      </c>
      <c r="G544" s="263">
        <f t="shared" si="19"/>
        <v>39.343847660319177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544473</v>
      </c>
      <c r="C546" s="240">
        <f>BA71</f>
        <v>468933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210052</v>
      </c>
      <c r="C547" s="240">
        <f>BB71</f>
        <v>176545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2764717</v>
      </c>
      <c r="C549" s="240">
        <f>BD71</f>
        <v>293390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2071526</v>
      </c>
      <c r="C550" s="240">
        <f>BE71</f>
        <v>2185961</v>
      </c>
      <c r="D550" s="240">
        <f>'Prior Year'!BE59</f>
        <v>112246</v>
      </c>
      <c r="E550" s="180">
        <f>BE59</f>
        <v>112246</v>
      </c>
      <c r="F550" s="263">
        <f t="shared" si="19"/>
        <v>18.455232257719651</v>
      </c>
      <c r="G550" s="263">
        <f t="shared" si="19"/>
        <v>19.47473406624735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1184391</v>
      </c>
      <c r="C551" s="240">
        <f>BF71</f>
        <v>1090209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3253206</v>
      </c>
      <c r="C553" s="240">
        <f>BH71</f>
        <v>2345203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80696</v>
      </c>
      <c r="C554" s="240">
        <f>BI71</f>
        <v>86141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3020175</v>
      </c>
      <c r="C556" s="240">
        <f>BK71</f>
        <v>319992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1043890</v>
      </c>
      <c r="C557" s="240">
        <f>BL71</f>
        <v>1216842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528116</v>
      </c>
      <c r="C558" s="240">
        <f>BM71</f>
        <v>636671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9435901</v>
      </c>
      <c r="C559" s="240">
        <f>BN71</f>
        <v>11195244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63325</v>
      </c>
      <c r="C561" s="240">
        <f>BP71</f>
        <v>1397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191874</v>
      </c>
      <c r="C562" s="240">
        <f>BQ71</f>
        <v>188421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585559</v>
      </c>
      <c r="C563" s="240">
        <f>BR71</f>
        <v>418429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764285</v>
      </c>
      <c r="C567" s="240">
        <f>BV71</f>
        <v>279371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42503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994387</v>
      </c>
      <c r="C570" s="240">
        <f>BY71</f>
        <v>871979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1111143</v>
      </c>
      <c r="C574" s="240">
        <f>CC71</f>
        <v>592037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1142978</v>
      </c>
      <c r="C575" s="240">
        <f>CD71</f>
        <v>1010857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104457</v>
      </c>
      <c r="E612" s="180">
        <f>SUM(C624:D647)+SUM(C668:D713)</f>
        <v>80687565.370975614</v>
      </c>
      <c r="F612" s="180">
        <f>CE64-(AX64+BD64+BE64+BG64+BJ64+BN64+BP64+BQ64+CB64+CC64+CD64)</f>
        <v>15189911</v>
      </c>
      <c r="G612" s="180">
        <f>CE77-(AX77+AY77+BD77+BE77+BG77+BJ77+BN77+BP77+BQ77+CB77+CC77+CD77)</f>
        <v>23999</v>
      </c>
      <c r="H612" s="197">
        <f>CE60-(AX60+AY60+AZ60+BD60+BE60+BG60+BJ60+BN60+BO60+BP60+BQ60+BR60+CB60+CC60+CD60)</f>
        <v>438.4799999999999</v>
      </c>
      <c r="I612" s="180">
        <f>CE78-(AX78+AY78+AZ78+BD78+BE78+BF78+BG78+BJ78+BN78+BO78+BP78+BQ78+BR78+CB78+CC78+CD78)</f>
        <v>33273</v>
      </c>
      <c r="J612" s="180">
        <f>CE79-(AX79+AY79+AZ79+BA79+BD79+BE79+BF79+BG79+BJ79+BN79+BO79+BP79+BQ79+BR79+CB79+CC79+CD79)</f>
        <v>348224</v>
      </c>
      <c r="K612" s="180">
        <f>CE75-(AW75+AX75+AY75+AZ75+BA75+BB75+BC75+BD75+BE75+BF75+BG75+BH75+BI75+BJ75+BK75+BL75+BM75+BN75+BO75+BP75+BQ75+BR75+BS75+BT75+BU75+BV75+BW75+BX75+CB75+CC75+CD75)</f>
        <v>318267538</v>
      </c>
      <c r="L612" s="197">
        <f>CE80-(AW80+AX80+AY80+AZ80+BA80+BB80+BC80+BD80+BE80+BF80+BG80+BH80+BI80+BJ80+BK80+BL80+BM80+BN80+BO80+BP80+BQ80+BR80+BS80+BT80+BU80+BV80+BW80+BX80+BY80+BZ80+CA80+CB80+CC80+CD80)</f>
        <v>105.33000000000001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2185961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1010857</v>
      </c>
      <c r="D615" s="266">
        <f>SUM(C614:C615)</f>
        <v>3196818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11195244</v>
      </c>
      <c r="D619" s="180">
        <f>(D615/D612)*BN76</f>
        <v>506804.77210718289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592037</v>
      </c>
      <c r="D620" s="180">
        <f>(D615/D612)*CC76</f>
        <v>40213.856917200377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1397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188421</v>
      </c>
      <c r="D623" s="180">
        <f>(D615/D612)*BQ76</f>
        <v>0</v>
      </c>
      <c r="E623" s="180">
        <f>SUM(C616:D623)</f>
        <v>12524117.629024383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293390</v>
      </c>
      <c r="D624" s="180">
        <f>(D615/D612)*BD76</f>
        <v>0</v>
      </c>
      <c r="E624" s="180">
        <f>(E623/E612)*SUM(C624:D624)</f>
        <v>45539.245784471423</v>
      </c>
      <c r="F624" s="180">
        <f>SUM(C624:E624)</f>
        <v>338929.24578447139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944213</v>
      </c>
      <c r="D625" s="180">
        <f>(D615/D612)*AY76</f>
        <v>95974.623510152509</v>
      </c>
      <c r="E625" s="180">
        <f>(E623/E612)*SUM(C625:D625)</f>
        <v>161455.26380924389</v>
      </c>
      <c r="F625" s="180">
        <f>(F624/F612)*AY64</f>
        <v>8965.1661757578222</v>
      </c>
      <c r="G625" s="180">
        <f>SUM(C625:F625)</f>
        <v>1210608.0534951543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418429</v>
      </c>
      <c r="D626" s="180">
        <f>(D615/D612)*BR76</f>
        <v>0</v>
      </c>
      <c r="E626" s="180">
        <f>(E623/E612)*SUM(C626:D626)</f>
        <v>64947.479717613394</v>
      </c>
      <c r="F626" s="180">
        <f>(F624/F612)*BR64</f>
        <v>104.73622127952618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483481.21593889291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1090209</v>
      </c>
      <c r="D629" s="180">
        <f>(D615/D612)*BF76</f>
        <v>3397.0609724575665</v>
      </c>
      <c r="E629" s="180">
        <f>(E623/E612)*SUM(C629:D629)</f>
        <v>169746.73711446329</v>
      </c>
      <c r="F629" s="180">
        <f>(F624/F612)*BF64</f>
        <v>2988.9762953052336</v>
      </c>
      <c r="G629" s="180">
        <f>(G625/G612)*BF77</f>
        <v>0</v>
      </c>
      <c r="H629" s="180">
        <f>(H628/H612)*BF60</f>
        <v>26319.778837031055</v>
      </c>
      <c r="I629" s="180">
        <f>SUM(C629:H629)</f>
        <v>1292661.5532192569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468933</v>
      </c>
      <c r="D630" s="180">
        <f>(D615/D612)*BA76</f>
        <v>20412.96998765042</v>
      </c>
      <c r="E630" s="180">
        <f>(E623/E612)*SUM(C630:D630)</f>
        <v>75955.030508566037</v>
      </c>
      <c r="F630" s="180">
        <f>(F624/F612)*BA64</f>
        <v>14.793377654095837</v>
      </c>
      <c r="G630" s="180">
        <f>(G625/G612)*BA77</f>
        <v>0</v>
      </c>
      <c r="H630" s="180">
        <f>(H628/H612)*BA60</f>
        <v>1102.6300308768771</v>
      </c>
      <c r="I630" s="180">
        <f>(I629/I612)*BA78</f>
        <v>0</v>
      </c>
      <c r="J630" s="180">
        <f>SUM(C630:I630)</f>
        <v>566418.42390474735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176545</v>
      </c>
      <c r="D632" s="180">
        <f>(D615/D612)*BB76</f>
        <v>2968.6028317872428</v>
      </c>
      <c r="E632" s="180">
        <f>(E623/E612)*SUM(C632:D632)</f>
        <v>27863.642527055268</v>
      </c>
      <c r="F632" s="180">
        <f>(F624/F612)*BB64</f>
        <v>1.2941416348982782</v>
      </c>
      <c r="G632" s="180">
        <f>(G625/G612)*BB77</f>
        <v>0</v>
      </c>
      <c r="H632" s="180">
        <f>(H628/H612)*BB60</f>
        <v>2282.4441639151355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86141</v>
      </c>
      <c r="D634" s="180">
        <f>(D615/D612)*BI76</f>
        <v>0</v>
      </c>
      <c r="E634" s="180">
        <f>(E623/E612)*SUM(C634:D634)</f>
        <v>13370.585811105195</v>
      </c>
      <c r="F634" s="180">
        <f>(F624/F612)*BI64</f>
        <v>91.839430504160575</v>
      </c>
      <c r="G634" s="180">
        <f>(G625/G612)*BI77</f>
        <v>0</v>
      </c>
      <c r="H634" s="180">
        <f>(H628/H612)*BI60</f>
        <v>1190.8404333470273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319992</v>
      </c>
      <c r="D635" s="180">
        <f>(D615/D612)*BK76</f>
        <v>64391.137712168646</v>
      </c>
      <c r="E635" s="180">
        <f>(E623/E612)*SUM(C635:D635)</f>
        <v>59662.968007364849</v>
      </c>
      <c r="F635" s="180">
        <f>(F624/F612)*BK64</f>
        <v>5.8682629306594345</v>
      </c>
      <c r="G635" s="180">
        <f>(G625/G612)*BK77</f>
        <v>0</v>
      </c>
      <c r="H635" s="180">
        <f>(H628/H612)*BK60</f>
        <v>23386.782954898565</v>
      </c>
      <c r="I635" s="180">
        <f>(I629/I612)*BK78</f>
        <v>17210.623270403354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2345203</v>
      </c>
      <c r="D636" s="180">
        <f>(D615/D612)*BH76</f>
        <v>0</v>
      </c>
      <c r="E636" s="180">
        <f>(E623/E612)*SUM(C636:D636)</f>
        <v>364016.41443634662</v>
      </c>
      <c r="F636" s="180">
        <f>(F624/F612)*BH64</f>
        <v>6356.6005827522567</v>
      </c>
      <c r="G636" s="180">
        <f>(G625/G612)*BH77</f>
        <v>0</v>
      </c>
      <c r="H636" s="180">
        <f>(H628/H612)*BH60</f>
        <v>14532.66380695724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1216842</v>
      </c>
      <c r="D637" s="180">
        <f>(D615/D612)*BL76</f>
        <v>0</v>
      </c>
      <c r="E637" s="180">
        <f>(E623/E612)*SUM(C637:D637)</f>
        <v>188875.1045327645</v>
      </c>
      <c r="F637" s="180">
        <f>(F624/F612)*BL64</f>
        <v>389.78207275927628</v>
      </c>
      <c r="G637" s="180">
        <f>(G625/G612)*BL77</f>
        <v>0</v>
      </c>
      <c r="H637" s="180">
        <f>(H628/H612)*BL60</f>
        <v>28679.407103107573</v>
      </c>
      <c r="I637" s="180">
        <f>(I629/I612)*BL78</f>
        <v>29487.275535521774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636671</v>
      </c>
      <c r="D638" s="180">
        <f>(D615/D612)*BM76</f>
        <v>0</v>
      </c>
      <c r="E638" s="180">
        <f>(E623/E612)*SUM(C638:D638)</f>
        <v>98822.445048724243</v>
      </c>
      <c r="F638" s="180">
        <f>(F624/F612)*BM64</f>
        <v>99.358839658655739</v>
      </c>
      <c r="G638" s="180">
        <f>(G625/G612)*BM77</f>
        <v>0</v>
      </c>
      <c r="H638" s="180">
        <f>(H628/H612)*BM60</f>
        <v>7211.200401934776</v>
      </c>
      <c r="I638" s="180">
        <f>(I629/I612)*BM78</f>
        <v>4778.5703437011571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279371</v>
      </c>
      <c r="D642" s="180">
        <f>(D615/D612)*BV76</f>
        <v>81315.234268646425</v>
      </c>
      <c r="E642" s="180">
        <f>(E623/E612)*SUM(C642:D642)</f>
        <v>55984.795233086777</v>
      </c>
      <c r="F642" s="180">
        <f>(F624/F612)*BV64</f>
        <v>117.05287959786841</v>
      </c>
      <c r="G642" s="180">
        <f>(G625/G612)*BV77</f>
        <v>0</v>
      </c>
      <c r="H642" s="180">
        <f>(H628/H612)*BV60</f>
        <v>9978.8017794357384</v>
      </c>
      <c r="I642" s="180">
        <f>(I629/I612)*BV78</f>
        <v>4739.7201783052124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6168576.0565904155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871979</v>
      </c>
      <c r="D645" s="180">
        <f>(D615/D612)*BY76</f>
        <v>5722.9765932393238</v>
      </c>
      <c r="E645" s="180">
        <f>(E623/E612)*SUM(C645:D645)</f>
        <v>136234.65706941584</v>
      </c>
      <c r="F645" s="180">
        <f>(F624/F612)*BY64</f>
        <v>13.811615034517832</v>
      </c>
      <c r="G645" s="180">
        <f>(G625/G612)*BY77</f>
        <v>0</v>
      </c>
      <c r="H645" s="180">
        <f>(H628/H612)*BY60</f>
        <v>7332.4897053312325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1021282.934983021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24321835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2298152</v>
      </c>
      <c r="D668" s="180">
        <f>(D615/D612)*C76</f>
        <v>68400.281742726671</v>
      </c>
      <c r="E668" s="180">
        <f>(E623/E612)*SUM(C668:D668)</f>
        <v>367330.19537163398</v>
      </c>
      <c r="F668" s="180">
        <f>(F624/F612)*C64</f>
        <v>2461.3681384292909</v>
      </c>
      <c r="G668" s="180">
        <f>(G625/G612)*C77</f>
        <v>320420.94903126045</v>
      </c>
      <c r="H668" s="180">
        <f>(H628/H612)*C60</f>
        <v>19240.894038801503</v>
      </c>
      <c r="I668" s="180">
        <f>(I629/I612)*C78</f>
        <v>73854.164417690234</v>
      </c>
      <c r="J668" s="180">
        <f>(J630/J612)*C79</f>
        <v>78935.263724641554</v>
      </c>
      <c r="K668" s="180">
        <f>(K644/K612)*C75</f>
        <v>95209.210524580922</v>
      </c>
      <c r="L668" s="180">
        <f>(L647/L612)*C80</f>
        <v>169195.73925238501</v>
      </c>
      <c r="M668" s="180">
        <f t="shared" ref="M668:M713" si="20">ROUND(SUM(D668:L668),0)</f>
        <v>1195048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6213145</v>
      </c>
      <c r="D670" s="180">
        <f>(D615/D612)*E76</f>
        <v>599504.75125649793</v>
      </c>
      <c r="E670" s="180">
        <f>(E623/E612)*SUM(C670:D670)</f>
        <v>1057442.0786870301</v>
      </c>
      <c r="F670" s="180">
        <f>(F624/F612)*E64</f>
        <v>8220.3430393002454</v>
      </c>
      <c r="G670" s="180">
        <f>(G625/G612)*E77</f>
        <v>755551.79071004712</v>
      </c>
      <c r="H670" s="180">
        <f>(H628/H612)*E60</f>
        <v>42451.256188759769</v>
      </c>
      <c r="I670" s="180">
        <f>(I629/I612)*E78</f>
        <v>290249.58567310037</v>
      </c>
      <c r="J670" s="180">
        <f>(J630/J612)*E79</f>
        <v>197025.85361932043</v>
      </c>
      <c r="K670" s="180">
        <f>(K644/K612)*E75</f>
        <v>340320.49471092894</v>
      </c>
      <c r="L670" s="180">
        <f>(L647/L612)*E80</f>
        <v>373297.18975454575</v>
      </c>
      <c r="M670" s="180">
        <f t="shared" si="20"/>
        <v>3664063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35096.517438665549</v>
      </c>
      <c r="L675" s="180">
        <f>(L647/L612)*J80</f>
        <v>0</v>
      </c>
      <c r="M675" s="180">
        <f t="shared" si="20"/>
        <v>35097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111971</v>
      </c>
      <c r="D680" s="180">
        <f>(D615/D612)*O76</f>
        <v>114765.5733938367</v>
      </c>
      <c r="E680" s="180">
        <f>(E623/E612)*SUM(C680:D680)</f>
        <v>35193.471297967801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44398.682699014178</v>
      </c>
      <c r="L680" s="180">
        <f>(L647/L612)*O80</f>
        <v>0</v>
      </c>
      <c r="M680" s="180">
        <f t="shared" si="20"/>
        <v>194358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6156826</v>
      </c>
      <c r="D681" s="180">
        <f>(D615/D612)*P76</f>
        <v>117519.94715528878</v>
      </c>
      <c r="E681" s="180">
        <f>(E623/E612)*SUM(C681:D681)</f>
        <v>973887.93832205201</v>
      </c>
      <c r="F681" s="180">
        <f>(F624/F612)*P64</f>
        <v>75649.60708764907</v>
      </c>
      <c r="G681" s="180">
        <f>(G625/G612)*P77</f>
        <v>0</v>
      </c>
      <c r="H681" s="180">
        <f>(H628/H612)*P60</f>
        <v>14444.453404487089</v>
      </c>
      <c r="I681" s="180">
        <f>(I629/I612)*P78</f>
        <v>110800.67170923333</v>
      </c>
      <c r="J681" s="180">
        <f>(J630/J612)*P79</f>
        <v>40113.388944802697</v>
      </c>
      <c r="K681" s="180">
        <f>(K644/K612)*P75</f>
        <v>1019719.1151255289</v>
      </c>
      <c r="L681" s="180">
        <f>(L647/L612)*P80</f>
        <v>127018.00482557272</v>
      </c>
      <c r="M681" s="180">
        <f t="shared" si="20"/>
        <v>2479153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552347</v>
      </c>
      <c r="D682" s="180">
        <f>(D615/D612)*Q76</f>
        <v>35347.796605301701</v>
      </c>
      <c r="E682" s="180">
        <f>(E623/E612)*SUM(C682:D682)</f>
        <v>91220.483959452526</v>
      </c>
      <c r="F682" s="180">
        <f>(F624/F612)*Q64</f>
        <v>676.94763898584245</v>
      </c>
      <c r="G682" s="180">
        <f>(G625/G612)*Q77</f>
        <v>0</v>
      </c>
      <c r="H682" s="180">
        <f>(H628/H612)*Q60</f>
        <v>4487.7042256688901</v>
      </c>
      <c r="I682" s="180">
        <f>(I629/I612)*Q78</f>
        <v>17404.874097383075</v>
      </c>
      <c r="J682" s="180">
        <f>(J630/J612)*Q79</f>
        <v>19745.202076191556</v>
      </c>
      <c r="K682" s="180">
        <f>(K644/K612)*Q75</f>
        <v>133036.67211659509</v>
      </c>
      <c r="L682" s="180">
        <f>(L647/L612)*Q80</f>
        <v>39462.845774051981</v>
      </c>
      <c r="M682" s="180">
        <f t="shared" si="20"/>
        <v>341383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255162.90225126207</v>
      </c>
      <c r="L683" s="180">
        <f>(L647/L612)*R80</f>
        <v>0</v>
      </c>
      <c r="M683" s="180">
        <f t="shared" si="20"/>
        <v>255163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339758</v>
      </c>
      <c r="D684" s="180">
        <f>(D615/D612)*S76</f>
        <v>47405.832849880811</v>
      </c>
      <c r="E684" s="180">
        <f>(E623/E612)*SUM(C684:D684)</f>
        <v>60094.580398134676</v>
      </c>
      <c r="F684" s="180">
        <f>(F624/F612)*S64</f>
        <v>3350.4880671780252</v>
      </c>
      <c r="G684" s="180">
        <f>(G625/G612)*S77</f>
        <v>0</v>
      </c>
      <c r="H684" s="180">
        <f>(H628/H612)*S60</f>
        <v>2569.1279719431236</v>
      </c>
      <c r="I684" s="180">
        <f>(I629/I612)*S78</f>
        <v>13986.059542539972</v>
      </c>
      <c r="J684" s="180">
        <f>(J630/J612)*S79</f>
        <v>500.99038137136495</v>
      </c>
      <c r="K684" s="180">
        <f>(K644/K612)*S75</f>
        <v>66547.699381948027</v>
      </c>
      <c r="L684" s="180">
        <f>(L647/L612)*S80</f>
        <v>22591.752003327056</v>
      </c>
      <c r="M684" s="180">
        <f t="shared" si="20"/>
        <v>217047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3740407</v>
      </c>
      <c r="D686" s="180">
        <f>(D615/D612)*U76</f>
        <v>0</v>
      </c>
      <c r="E686" s="180">
        <f>(E623/E612)*SUM(C686:D686)</f>
        <v>580576.41264854767</v>
      </c>
      <c r="F686" s="180">
        <f>(F624/F612)*U64</f>
        <v>31976.744841620279</v>
      </c>
      <c r="G686" s="180">
        <f>(G625/G612)*U77</f>
        <v>0</v>
      </c>
      <c r="H686" s="180">
        <f>(H628/H612)*U60</f>
        <v>32384.244006853882</v>
      </c>
      <c r="I686" s="180">
        <f>(I629/I612)*U78</f>
        <v>28477.171235227219</v>
      </c>
      <c r="J686" s="180">
        <f>(J630/J612)*U79</f>
        <v>208.2037948556322</v>
      </c>
      <c r="K686" s="180">
        <f>(K644/K612)*U75</f>
        <v>573611.1514091111</v>
      </c>
      <c r="L686" s="180">
        <f>(L647/L612)*U80</f>
        <v>0</v>
      </c>
      <c r="M686" s="180">
        <f t="shared" si="20"/>
        <v>1247234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288831</v>
      </c>
      <c r="D687" s="180">
        <f>(D615/D612)*V76</f>
        <v>78622.0688130044</v>
      </c>
      <c r="E687" s="180">
        <f>(E623/E612)*SUM(C687:D687)</f>
        <v>57035.125992479974</v>
      </c>
      <c r="F687" s="180">
        <f>(F624/F612)*V64</f>
        <v>6.4260826008742091</v>
      </c>
      <c r="G687" s="180">
        <f>(G625/G612)*V77</f>
        <v>0</v>
      </c>
      <c r="H687" s="180">
        <f>(H628/H612)*V60</f>
        <v>1587.787244462703</v>
      </c>
      <c r="I687" s="180">
        <f>(I629/I612)*V78</f>
        <v>4972.8211706808788</v>
      </c>
      <c r="J687" s="180">
        <f>(J630/J612)*V79</f>
        <v>1374.4703644766344</v>
      </c>
      <c r="K687" s="180">
        <f>(K644/K612)*V75</f>
        <v>62885.92817801339</v>
      </c>
      <c r="L687" s="180">
        <f>(L647/L612)*V80</f>
        <v>0</v>
      </c>
      <c r="M687" s="180">
        <f t="shared" si="20"/>
        <v>206485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252156</v>
      </c>
      <c r="D688" s="180">
        <f>(D615/D612)*W76</f>
        <v>0</v>
      </c>
      <c r="E688" s="180">
        <f>(E623/E612)*SUM(C688:D688)</f>
        <v>39139.009714131964</v>
      </c>
      <c r="F688" s="180">
        <f>(F624/F612)*W64</f>
        <v>339.73449194760661</v>
      </c>
      <c r="G688" s="180">
        <f>(G625/G612)*W77</f>
        <v>0</v>
      </c>
      <c r="H688" s="180">
        <f>(H628/H612)*W60</f>
        <v>2072.9444580485288</v>
      </c>
      <c r="I688" s="180">
        <f>(I629/I612)*W78</f>
        <v>5555.5736516200441</v>
      </c>
      <c r="J688" s="180">
        <f>(J630/J612)*W79</f>
        <v>4040.4548939171123</v>
      </c>
      <c r="K688" s="180">
        <f>(K644/K612)*W75</f>
        <v>191910.0585088743</v>
      </c>
      <c r="L688" s="180">
        <f>(L647/L612)*W80</f>
        <v>0</v>
      </c>
      <c r="M688" s="180">
        <f t="shared" si="20"/>
        <v>243058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118067</v>
      </c>
      <c r="D689" s="180">
        <f>(D615/D612)*X76</f>
        <v>0</v>
      </c>
      <c r="E689" s="180">
        <f>(E623/E612)*SUM(C689:D689)</f>
        <v>18326.057916204329</v>
      </c>
      <c r="F689" s="180">
        <f>(F624/F612)*X64</f>
        <v>1478.3783155768142</v>
      </c>
      <c r="G689" s="180">
        <f>(G625/G612)*X77</f>
        <v>0</v>
      </c>
      <c r="H689" s="180">
        <f>(H628/H612)*X60</f>
        <v>44.105201235075086</v>
      </c>
      <c r="I689" s="180">
        <f>(I629/I612)*X78</f>
        <v>0</v>
      </c>
      <c r="J689" s="180">
        <f>(J630/J612)*X79</f>
        <v>5206.7214635381142</v>
      </c>
      <c r="K689" s="180">
        <f>(K644/K612)*X75</f>
        <v>286921.47846061486</v>
      </c>
      <c r="L689" s="180">
        <f>(L647/L612)*X80</f>
        <v>0</v>
      </c>
      <c r="M689" s="180">
        <f t="shared" si="20"/>
        <v>311977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4615159</v>
      </c>
      <c r="D690" s="180">
        <f>(D615/D612)*Y76</f>
        <v>133862.56480657114</v>
      </c>
      <c r="E690" s="180">
        <f>(E623/E612)*SUM(C690:D690)</f>
        <v>737130.98699847143</v>
      </c>
      <c r="F690" s="180">
        <f>(F624/F612)*Y64</f>
        <v>3381.9044710045214</v>
      </c>
      <c r="G690" s="180">
        <f>(G625/G612)*Y77</f>
        <v>0</v>
      </c>
      <c r="H690" s="180">
        <f>(H628/H612)*Y60</f>
        <v>30631.062257759648</v>
      </c>
      <c r="I690" s="180">
        <f>(I629/I612)*Y78</f>
        <v>51864.970803585726</v>
      </c>
      <c r="J690" s="180">
        <f>(J630/J612)*Y79</f>
        <v>53443.311592005091</v>
      </c>
      <c r="K690" s="180">
        <f>(K644/K612)*Y75</f>
        <v>549380.846840446</v>
      </c>
      <c r="L690" s="180">
        <f>(L647/L612)*Y80</f>
        <v>0</v>
      </c>
      <c r="M690" s="180">
        <f t="shared" si="20"/>
        <v>1559696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293620</v>
      </c>
      <c r="D692" s="180">
        <f>(D615/D612)*AA76</f>
        <v>7161.3717797754098</v>
      </c>
      <c r="E692" s="180">
        <f>(E623/E612)*SUM(C692:D692)</f>
        <v>46686.515616993318</v>
      </c>
      <c r="F692" s="180">
        <f>(F624/F612)*AA64</f>
        <v>810.24422738036515</v>
      </c>
      <c r="G692" s="180">
        <f>(G625/G612)*AA77</f>
        <v>0</v>
      </c>
      <c r="H692" s="180">
        <f>(H628/H612)*AA60</f>
        <v>1058.5248296418019</v>
      </c>
      <c r="I692" s="180">
        <f>(I629/I612)*AA78</f>
        <v>0</v>
      </c>
      <c r="J692" s="180">
        <f>(J630/J612)*AA79</f>
        <v>0</v>
      </c>
      <c r="K692" s="180">
        <f>(K644/K612)*AA75</f>
        <v>13617.895476356356</v>
      </c>
      <c r="L692" s="180">
        <f>(L647/L612)*AA80</f>
        <v>0</v>
      </c>
      <c r="M692" s="180">
        <f t="shared" si="20"/>
        <v>69335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5746063</v>
      </c>
      <c r="D693" s="180">
        <f>(D615/D612)*AB76</f>
        <v>0</v>
      </c>
      <c r="E693" s="180">
        <f>(E623/E612)*SUM(C693:D693)</f>
        <v>891889.20975512872</v>
      </c>
      <c r="F693" s="180">
        <f>(F624/F612)*AB64</f>
        <v>98533.132670017018</v>
      </c>
      <c r="G693" s="180">
        <f>(G625/G612)*AB77</f>
        <v>0</v>
      </c>
      <c r="H693" s="180">
        <f>(H628/H612)*AB60</f>
        <v>8953.3558507202415</v>
      </c>
      <c r="I693" s="180">
        <f>(I629/I612)*AB78</f>
        <v>10722.645649280645</v>
      </c>
      <c r="J693" s="180">
        <f>(J630/J612)*AB79</f>
        <v>0</v>
      </c>
      <c r="K693" s="180">
        <f>(K644/K612)*AB75</f>
        <v>507198.42640729639</v>
      </c>
      <c r="L693" s="180">
        <f>(L647/L612)*AB80</f>
        <v>0</v>
      </c>
      <c r="M693" s="180">
        <f t="shared" si="20"/>
        <v>1517297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972952</v>
      </c>
      <c r="D694" s="180">
        <f>(D615/D612)*AC76</f>
        <v>7528.6216146356874</v>
      </c>
      <c r="E694" s="180">
        <f>(E623/E612)*SUM(C694:D694)</f>
        <v>152187.69560864454</v>
      </c>
      <c r="F694" s="180">
        <f>(F624/F612)*AC64</f>
        <v>2054.2490303197392</v>
      </c>
      <c r="G694" s="180">
        <f>(G625/G612)*AC77</f>
        <v>0</v>
      </c>
      <c r="H694" s="180">
        <f>(H628/H612)*AC60</f>
        <v>815.94622284888908</v>
      </c>
      <c r="I694" s="180">
        <f>(I629/I612)*AC78</f>
        <v>15501.215992981803</v>
      </c>
      <c r="J694" s="180">
        <f>(J630/J612)*AC79</f>
        <v>0</v>
      </c>
      <c r="K694" s="180">
        <f>(K644/K612)*AC75</f>
        <v>93773.27616201136</v>
      </c>
      <c r="L694" s="180">
        <f>(L647/L612)*AC80</f>
        <v>0</v>
      </c>
      <c r="M694" s="180">
        <f t="shared" si="20"/>
        <v>271861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556861</v>
      </c>
      <c r="D696" s="180">
        <f>(D615/D612)*AE76</f>
        <v>0</v>
      </c>
      <c r="E696" s="180">
        <f>(E623/E612)*SUM(C696:D696)</f>
        <v>86434.540873194521</v>
      </c>
      <c r="F696" s="180">
        <f>(F624/F612)*AE64</f>
        <v>108.99796355996706</v>
      </c>
      <c r="G696" s="180">
        <f>(G625/G612)*AE77</f>
        <v>0</v>
      </c>
      <c r="H696" s="180">
        <f>(H628/H612)*AE60</f>
        <v>2513.9964703992796</v>
      </c>
      <c r="I696" s="180">
        <f>(I629/I612)*AE78</f>
        <v>17210.623270403354</v>
      </c>
      <c r="J696" s="180">
        <f>(J630/J612)*AE79</f>
        <v>0</v>
      </c>
      <c r="K696" s="180">
        <f>(K644/K612)*AE75</f>
        <v>25868.661737971001</v>
      </c>
      <c r="L696" s="180">
        <f>(L647/L612)*AE80</f>
        <v>0</v>
      </c>
      <c r="M696" s="180">
        <f t="shared" si="20"/>
        <v>132137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5579894</v>
      </c>
      <c r="D698" s="180">
        <f>(D615/D612)*AG76</f>
        <v>247036.72224934664</v>
      </c>
      <c r="E698" s="180">
        <f>(E623/E612)*SUM(C698:D698)</f>
        <v>904441.29087426502</v>
      </c>
      <c r="F698" s="180">
        <f>(F624/F612)*AG64</f>
        <v>10620.351014005912</v>
      </c>
      <c r="G698" s="180">
        <f>(G625/G612)*AG77</f>
        <v>0</v>
      </c>
      <c r="H698" s="180">
        <f>(H628/H612)*AG60</f>
        <v>25371.517010476942</v>
      </c>
      <c r="I698" s="180">
        <f>(I629/I612)*AG78</f>
        <v>135470.526735658</v>
      </c>
      <c r="J698" s="180">
        <f>(J630/J612)*AG79</f>
        <v>125463.93209843342</v>
      </c>
      <c r="K698" s="180">
        <f>(K644/K612)*AG75</f>
        <v>422808.62187046121</v>
      </c>
      <c r="L698" s="180">
        <f>(L647/L612)*AG80</f>
        <v>223105.67107148308</v>
      </c>
      <c r="M698" s="180">
        <f t="shared" si="20"/>
        <v>2094319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813086</v>
      </c>
      <c r="D700" s="180">
        <f>(D615/D612)*AI76</f>
        <v>0</v>
      </c>
      <c r="E700" s="180">
        <f>(E623/E612)*SUM(C700:D700)</f>
        <v>126205.13036542735</v>
      </c>
      <c r="F700" s="180">
        <f>(F624/F612)*AI64</f>
        <v>1791.2928377804944</v>
      </c>
      <c r="G700" s="180">
        <f>(G625/G612)*AI77</f>
        <v>134635.31375384668</v>
      </c>
      <c r="H700" s="180">
        <f>(H628/H612)*AI60</f>
        <v>7575.0683121241455</v>
      </c>
      <c r="I700" s="180">
        <f>(I629/I612)*AI78</f>
        <v>39627.168703863252</v>
      </c>
      <c r="J700" s="180">
        <f>(J630/J612)*AI79</f>
        <v>29657.654621896421</v>
      </c>
      <c r="K700" s="180">
        <f>(K644/K612)*AI75</f>
        <v>53429.426187480771</v>
      </c>
      <c r="L700" s="180">
        <f>(L647/L612)*AI80</f>
        <v>66611.732301655313</v>
      </c>
      <c r="M700" s="180">
        <f t="shared" si="20"/>
        <v>459533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17151655</v>
      </c>
      <c r="D701" s="180">
        <f>(D615/D612)*AJ76</f>
        <v>899272.42896119936</v>
      </c>
      <c r="E701" s="180">
        <f>(E623/E612)*SUM(C701:D701)</f>
        <v>2801818.8105426938</v>
      </c>
      <c r="F701" s="180">
        <f>(F624/F612)*AJ64</f>
        <v>25726.933256533939</v>
      </c>
      <c r="G701" s="180">
        <f>(G625/G612)*AJ77</f>
        <v>0</v>
      </c>
      <c r="H701" s="180">
        <f>(H628/H612)*AJ60</f>
        <v>104011.09081261582</v>
      </c>
      <c r="I701" s="180">
        <f>(I629/I612)*AJ78</f>
        <v>329294.00189602445</v>
      </c>
      <c r="J701" s="180">
        <f>(J630/J612)*AJ79</f>
        <v>0</v>
      </c>
      <c r="K701" s="180">
        <f>(K644/K612)*AJ75</f>
        <v>521531.99232972128</v>
      </c>
      <c r="L701" s="180">
        <f>(L647/L612)*AJ80</f>
        <v>0</v>
      </c>
      <c r="M701" s="180">
        <f t="shared" si="20"/>
        <v>4681655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617829</v>
      </c>
      <c r="D703" s="180">
        <f>(D615/D612)*AL76</f>
        <v>0</v>
      </c>
      <c r="E703" s="180">
        <f>(E623/E612)*SUM(C703:D703)</f>
        <v>95897.837975984847</v>
      </c>
      <c r="F703" s="180">
        <f>(F624/F612)*AL64</f>
        <v>2347.1712955429221</v>
      </c>
      <c r="G703" s="180">
        <f>(G625/G612)*AL77</f>
        <v>0</v>
      </c>
      <c r="H703" s="180">
        <f>(H628/H612)*AL60</f>
        <v>6648.8590861875691</v>
      </c>
      <c r="I703" s="180">
        <f>(I629/I612)*AL78</f>
        <v>47086.400459884571</v>
      </c>
      <c r="J703" s="180">
        <f>(J630/J612)*AL79</f>
        <v>0</v>
      </c>
      <c r="K703" s="180">
        <f>(K644/K612)*AL75</f>
        <v>23382.760819548439</v>
      </c>
      <c r="L703" s="180">
        <f>(L647/L612)*AL80</f>
        <v>0</v>
      </c>
      <c r="M703" s="180">
        <f t="shared" si="20"/>
        <v>175363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12471069</v>
      </c>
      <c r="D713" s="180">
        <f>(D615/D612)*AV76</f>
        <v>19188.803871449498</v>
      </c>
      <c r="E713" s="180">
        <f>(E623/E612)*SUM(C713:D713)</f>
        <v>1938705.8865057235</v>
      </c>
      <c r="F713" s="180">
        <f>(F624/F612)*AV64</f>
        <v>50245.651420169488</v>
      </c>
      <c r="G713" s="180">
        <f>(G625/G612)*AV77</f>
        <v>0</v>
      </c>
      <c r="H713" s="180">
        <f>(H628/H612)*AV60</f>
        <v>54602.239129022957</v>
      </c>
      <c r="I713" s="180">
        <f>(I629/I612)*AV78</f>
        <v>44366.888882168467</v>
      </c>
      <c r="J713" s="180">
        <f>(J630/J612)*AV79</f>
        <v>10702.976329297342</v>
      </c>
      <c r="K713" s="180">
        <f>(K644/K612)*AV75</f>
        <v>852764.23795398499</v>
      </c>
      <c r="L713" s="180">
        <f>(L647/L612)*AV80</f>
        <v>0</v>
      </c>
      <c r="M713" s="180">
        <f t="shared" si="20"/>
        <v>2970577</v>
      </c>
      <c r="N713" s="199" t="s">
        <v>741</v>
      </c>
    </row>
    <row r="715" spans="1:15" ht="12.6" customHeight="1" x14ac:dyDescent="0.25">
      <c r="C715" s="180">
        <f>SUM(C614:C647)+SUM(C668:C713)</f>
        <v>93211683</v>
      </c>
      <c r="D715" s="180">
        <f>SUM(D616:D647)+SUM(D668:D713)</f>
        <v>3196818</v>
      </c>
      <c r="E715" s="180">
        <f>SUM(E624:E647)+SUM(E668:E713)</f>
        <v>12524117.629024385</v>
      </c>
      <c r="F715" s="180">
        <f>SUM(F625:F648)+SUM(F668:F713)</f>
        <v>338929.24578447139</v>
      </c>
      <c r="G715" s="180">
        <f>SUM(G626:G647)+SUM(G668:G713)</f>
        <v>1210608.0534951543</v>
      </c>
      <c r="H715" s="180">
        <f>SUM(H629:H647)+SUM(H668:H713)</f>
        <v>483481.21593889309</v>
      </c>
      <c r="I715" s="180">
        <f>SUM(I630:I647)+SUM(I668:I713)</f>
        <v>1292661.5532192574</v>
      </c>
      <c r="J715" s="180">
        <f>SUM(J631:J647)+SUM(J668:J713)</f>
        <v>566418.42390474724</v>
      </c>
      <c r="K715" s="180">
        <f>SUM(K668:K713)</f>
        <v>6168576.0565904146</v>
      </c>
      <c r="L715" s="180">
        <f>SUM(L668:L713)</f>
        <v>1021282.9349830209</v>
      </c>
      <c r="M715" s="180">
        <f>SUM(M668:M713)</f>
        <v>24321839</v>
      </c>
      <c r="N715" s="198" t="s">
        <v>742</v>
      </c>
    </row>
    <row r="716" spans="1:15" ht="12.6" customHeight="1" x14ac:dyDescent="0.25">
      <c r="C716" s="180">
        <f>CE71</f>
        <v>93211683</v>
      </c>
      <c r="D716" s="180">
        <f>D615</f>
        <v>3196818</v>
      </c>
      <c r="E716" s="180">
        <f>E623</f>
        <v>12524117.629024383</v>
      </c>
      <c r="F716" s="180">
        <f>F624</f>
        <v>338929.24578447139</v>
      </c>
      <c r="G716" s="180">
        <f>G625</f>
        <v>1210608.0534951543</v>
      </c>
      <c r="H716" s="180">
        <f>H628</f>
        <v>483481.21593889291</v>
      </c>
      <c r="I716" s="180">
        <f>I629</f>
        <v>1292661.5532192569</v>
      </c>
      <c r="J716" s="180">
        <f>J630</f>
        <v>566418.42390474735</v>
      </c>
      <c r="K716" s="180">
        <f>K644</f>
        <v>6168576.0565904155</v>
      </c>
      <c r="L716" s="180">
        <f>L647</f>
        <v>1021282.934983021</v>
      </c>
      <c r="M716" s="180">
        <f>C648</f>
        <v>24321835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autoPageBreaks="0" fitToPage="1"/>
  </sheetPr>
  <dimension ref="A1:CF817"/>
  <sheetViews>
    <sheetView showGridLines="0" zoomScale="80" zoomScaleNormal="80" workbookViewId="0">
      <selection activeCell="C6" sqref="C6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SUM(C47:CC47)</f>
        <v>2435286</v>
      </c>
      <c r="C47" s="184">
        <v>107573</v>
      </c>
      <c r="D47" s="184"/>
      <c r="E47" s="184">
        <f>94982+101637</f>
        <v>196619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>
        <v>76959</v>
      </c>
      <c r="Q47" s="184">
        <v>31635</v>
      </c>
      <c r="R47" s="184"/>
      <c r="S47" s="184">
        <v>6921</v>
      </c>
      <c r="T47" s="184"/>
      <c r="U47" s="184">
        <v>104817</v>
      </c>
      <c r="V47" s="184">
        <v>8762</v>
      </c>
      <c r="W47" s="184">
        <v>9752</v>
      </c>
      <c r="X47" s="184">
        <v>2474</v>
      </c>
      <c r="Y47" s="184">
        <f>127319+20991</f>
        <v>148310</v>
      </c>
      <c r="Z47" s="184"/>
      <c r="AA47" s="184">
        <v>5817</v>
      </c>
      <c r="AB47" s="184">
        <v>50162</v>
      </c>
      <c r="AC47" s="184">
        <v>7337</v>
      </c>
      <c r="AD47" s="184"/>
      <c r="AE47" s="184">
        <v>8989</v>
      </c>
      <c r="AF47" s="184"/>
      <c r="AG47" s="184">
        <v>166688</v>
      </c>
      <c r="AH47" s="184"/>
      <c r="AI47" s="184">
        <v>46266</v>
      </c>
      <c r="AJ47" s="184">
        <v>572250</v>
      </c>
      <c r="AK47" s="184"/>
      <c r="AL47" s="184">
        <f>44754</f>
        <v>44754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278865</v>
      </c>
      <c r="AW47" s="184"/>
      <c r="AX47" s="184"/>
      <c r="AY47" s="184">
        <v>26620</v>
      </c>
      <c r="AZ47" s="184"/>
      <c r="BA47" s="184">
        <v>1477</v>
      </c>
      <c r="BB47" s="184">
        <v>10794</v>
      </c>
      <c r="BC47" s="184"/>
      <c r="BD47" s="184">
        <v>15401</v>
      </c>
      <c r="BE47" s="184">
        <v>22581</v>
      </c>
      <c r="BF47" s="184">
        <v>61593</v>
      </c>
      <c r="BG47" s="184"/>
      <c r="BH47" s="184">
        <f>21111+67397</f>
        <v>88508</v>
      </c>
      <c r="BI47" s="184">
        <v>3791</v>
      </c>
      <c r="BJ47" s="184"/>
      <c r="BK47" s="184">
        <f>14991+43818</f>
        <v>58809</v>
      </c>
      <c r="BL47" s="184">
        <v>59315</v>
      </c>
      <c r="BM47" s="184">
        <v>21273</v>
      </c>
      <c r="BN47" s="184">
        <v>22497</v>
      </c>
      <c r="BO47" s="184"/>
      <c r="BP47" s="184"/>
      <c r="BQ47" s="184">
        <v>11443</v>
      </c>
      <c r="BR47" s="184">
        <v>22958</v>
      </c>
      <c r="BS47" s="184"/>
      <c r="BT47" s="184"/>
      <c r="BU47" s="184"/>
      <c r="BV47" s="184">
        <v>32563</v>
      </c>
      <c r="BW47" s="184">
        <v>5797</v>
      </c>
      <c r="BX47" s="184"/>
      <c r="BY47" s="184">
        <v>51746</v>
      </c>
      <c r="BZ47" s="184"/>
      <c r="CA47" s="184"/>
      <c r="CB47" s="184"/>
      <c r="CC47" s="184">
        <f>5892+29390+7888</f>
        <v>43170</v>
      </c>
      <c r="CD47" s="195"/>
      <c r="CE47" s="195">
        <f>SUM(C47:CC47)</f>
        <v>2435286</v>
      </c>
    </row>
    <row r="48" spans="1:83" ht="12.6" customHeight="1" x14ac:dyDescent="0.25">
      <c r="A48" s="175" t="s">
        <v>205</v>
      </c>
      <c r="B48" s="183">
        <v>5665619</v>
      </c>
      <c r="C48" s="245">
        <f>ROUND(((B48/CE61)*C61),0)</f>
        <v>217356</v>
      </c>
      <c r="D48" s="245">
        <f>ROUND(((B48/CE61)*D61),0)</f>
        <v>0</v>
      </c>
      <c r="E48" s="195">
        <f>ROUND(((B48/CE61)*E61),0)</f>
        <v>391404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153213</v>
      </c>
      <c r="Q48" s="195">
        <f>ROUND(((B48/CE61)*Q61),0)</f>
        <v>63138</v>
      </c>
      <c r="R48" s="195">
        <f>ROUND(((B48/CE61)*R61),0)</f>
        <v>0</v>
      </c>
      <c r="S48" s="195">
        <f>ROUND(((B48/CE61)*S61),0)</f>
        <v>14041</v>
      </c>
      <c r="T48" s="195">
        <f>ROUND(((B48/CE61)*T61),0)</f>
        <v>0</v>
      </c>
      <c r="U48" s="195">
        <f>ROUND(((B48/CE61)*U61),0)</f>
        <v>209300</v>
      </c>
      <c r="V48" s="195">
        <f>ROUND(((B48/CE61)*V61),0)</f>
        <v>18395</v>
      </c>
      <c r="W48" s="195">
        <f>ROUND(((B48/CE61)*W61),0)</f>
        <v>20179</v>
      </c>
      <c r="X48" s="195">
        <f>ROUND(((B48/CE61)*X61),0)</f>
        <v>4085</v>
      </c>
      <c r="Y48" s="195">
        <f>ROUND(((B48/CE61)*Y61),0)</f>
        <v>338662</v>
      </c>
      <c r="Z48" s="195">
        <f>ROUND(((B48/CE61)*Z61),0)</f>
        <v>0</v>
      </c>
      <c r="AA48" s="195">
        <f>ROUND(((B48/CE61)*AA61),0)</f>
        <v>12694</v>
      </c>
      <c r="AB48" s="195">
        <f>ROUND(((B48/CE61)*AB61),0)</f>
        <v>104046</v>
      </c>
      <c r="AC48" s="195">
        <f>ROUND(((B48/CE61)*AC61),0)</f>
        <v>13893</v>
      </c>
      <c r="AD48" s="195">
        <f>ROUND(((B48/CE61)*AD61),0)</f>
        <v>0</v>
      </c>
      <c r="AE48" s="195">
        <f>ROUND(((B48/CE61)*AE61),0)</f>
        <v>16523</v>
      </c>
      <c r="AF48" s="195">
        <f>ROUND(((B48/CE61)*AF61),0)</f>
        <v>0</v>
      </c>
      <c r="AG48" s="195">
        <f>ROUND(((B48/CE61)*AG61),0)</f>
        <v>387320</v>
      </c>
      <c r="AH48" s="195">
        <f>ROUND(((B48/CE61)*AH61),0)</f>
        <v>0</v>
      </c>
      <c r="AI48" s="195">
        <f>ROUND(((B48/CE61)*AI61),0)</f>
        <v>93241</v>
      </c>
      <c r="AJ48" s="195">
        <f>ROUND(((B48/CE61)*AJ61),0)</f>
        <v>1699196</v>
      </c>
      <c r="AK48" s="195">
        <f>ROUND(((B48/CE61)*AK61),0)</f>
        <v>0</v>
      </c>
      <c r="AL48" s="195">
        <f>ROUND(((B48/CE61)*AL61),0)</f>
        <v>86391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712684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54229</v>
      </c>
      <c r="AZ48" s="195">
        <f>ROUND(((B48/CE61)*AZ61),0)</f>
        <v>0</v>
      </c>
      <c r="BA48" s="195">
        <f>ROUND(((B48/CE61)*BA61),0)</f>
        <v>3502</v>
      </c>
      <c r="BB48" s="195">
        <f>ROUND(((B48/CE61)*BB61),0)</f>
        <v>21939</v>
      </c>
      <c r="BC48" s="195">
        <f>ROUND(((B48/CE61)*BC61),0)</f>
        <v>0</v>
      </c>
      <c r="BD48" s="195">
        <f>ROUND(((B48/CE61)*BD61),0)</f>
        <v>29520</v>
      </c>
      <c r="BE48" s="195">
        <f>ROUND(((B48/CE61)*BE61),0)</f>
        <v>43746</v>
      </c>
      <c r="BF48" s="195">
        <f>ROUND(((B48/CE61)*BF61),0)</f>
        <v>123253</v>
      </c>
      <c r="BG48" s="195">
        <f>ROUND(((B48/CE61)*BG61),0)</f>
        <v>0</v>
      </c>
      <c r="BH48" s="195">
        <f>ROUND(((B48/CE61)*BH61),0)</f>
        <v>181446</v>
      </c>
      <c r="BI48" s="195">
        <f>ROUND(((B48/CE61)*BI61),0)</f>
        <v>7776</v>
      </c>
      <c r="BJ48" s="195">
        <f>ROUND(((B48/CE61)*BJ61),0)</f>
        <v>0</v>
      </c>
      <c r="BK48" s="195">
        <f>ROUND(((B48/CE61)*BK61),0)</f>
        <v>120378</v>
      </c>
      <c r="BL48" s="195">
        <f>ROUND(((B48/CE61)*BL61),0)</f>
        <v>120534</v>
      </c>
      <c r="BM48" s="195">
        <f>ROUND(((B48/CE61)*BM61),0)</f>
        <v>45548</v>
      </c>
      <c r="BN48" s="195">
        <f>ROUND(((B48/CE61)*BN61),0)</f>
        <v>38715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22435</v>
      </c>
      <c r="BR48" s="195">
        <f>ROUND(((B48/CE61)*BR61),0)</f>
        <v>46418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67167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98890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84362</v>
      </c>
      <c r="CD48" s="195"/>
      <c r="CE48" s="195">
        <f>SUM(C48:CD48)</f>
        <v>5665619</v>
      </c>
    </row>
    <row r="49" spans="1:84" ht="12.6" customHeight="1" x14ac:dyDescent="0.25">
      <c r="A49" s="175" t="s">
        <v>206</v>
      </c>
      <c r="B49" s="195">
        <f>B47+B48</f>
        <v>8100905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2832561</v>
      </c>
      <c r="C52" s="195">
        <f>ROUND((B52/(CE76+CF76)*C76),0)</f>
        <v>56401</v>
      </c>
      <c r="D52" s="195">
        <f>ROUND((B52/(CE76+CF76)*D76),0)</f>
        <v>0</v>
      </c>
      <c r="E52" s="195">
        <f>ROUND((B52/(CE76+CF76)*E76),0)</f>
        <v>494334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94632</v>
      </c>
      <c r="P52" s="195">
        <f>ROUND((B52/(CE76+CF76)*P76),0)</f>
        <v>96904</v>
      </c>
      <c r="Q52" s="195">
        <f>ROUND((B52/(CE76+CF76)*Q76),0)</f>
        <v>29147</v>
      </c>
      <c r="R52" s="195">
        <f>ROUND((B52/(CE76+CF76)*R76),0)</f>
        <v>0</v>
      </c>
      <c r="S52" s="195">
        <f>ROUND((B52/(CE76+CF76)*S76),0)</f>
        <v>39089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64829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110379</v>
      </c>
      <c r="Z52" s="195">
        <f>ROUND((B52/(CE76+CF76)*Z76),0)</f>
        <v>0</v>
      </c>
      <c r="AA52" s="195">
        <f>ROUND((B52/(CE76+CF76)*AA76),0)</f>
        <v>5905</v>
      </c>
      <c r="AB52" s="195">
        <f>ROUND((B52/(CE76+CF76)*AB76),0)</f>
        <v>0</v>
      </c>
      <c r="AC52" s="195">
        <f>ROUND((B52/(CE76+CF76)*AC76),0)</f>
        <v>6208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203699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741514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15823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79138</v>
      </c>
      <c r="AZ52" s="195">
        <f>ROUND((B52/(CE76+CF76)*AZ76),0)</f>
        <v>0</v>
      </c>
      <c r="BA52" s="195">
        <f>ROUND((B52/(CE76+CF76)*BA76),0)</f>
        <v>16832</v>
      </c>
      <c r="BB52" s="195">
        <f>ROUND((B52/(CE76+CF76)*BB76),0)</f>
        <v>2448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196558</v>
      </c>
      <c r="BF52" s="195">
        <f>ROUND((B52/(CE76+CF76)*BF76),0)</f>
        <v>2801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53095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417896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67050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4719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33159</v>
      </c>
      <c r="CD52" s="195"/>
      <c r="CE52" s="195">
        <f>SUM(C52:CD52)</f>
        <v>2832560</v>
      </c>
    </row>
    <row r="53" spans="1:84" ht="12.6" customHeight="1" x14ac:dyDescent="0.25">
      <c r="A53" s="175" t="s">
        <v>206</v>
      </c>
      <c r="B53" s="195">
        <f>B51+B52</f>
        <v>2832561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1221</v>
      </c>
      <c r="D59" s="184"/>
      <c r="E59" s="184">
        <f>3912+900</f>
        <v>4812</v>
      </c>
      <c r="F59" s="184"/>
      <c r="G59" s="184"/>
      <c r="H59" s="184"/>
      <c r="I59" s="184"/>
      <c r="J59" s="184">
        <v>734</v>
      </c>
      <c r="K59" s="184"/>
      <c r="L59" s="184"/>
      <c r="M59" s="184"/>
      <c r="N59" s="184"/>
      <c r="O59" s="184">
        <v>479</v>
      </c>
      <c r="P59" s="185">
        <v>194937</v>
      </c>
      <c r="Q59" s="185"/>
      <c r="R59" s="185"/>
      <c r="S59" s="248"/>
      <c r="T59" s="248"/>
      <c r="U59" s="224">
        <v>189775</v>
      </c>
      <c r="V59" s="185">
        <v>931</v>
      </c>
      <c r="W59" s="185">
        <v>1624</v>
      </c>
      <c r="X59" s="185">
        <v>4652</v>
      </c>
      <c r="Y59" s="185">
        <v>59745</v>
      </c>
      <c r="Z59" s="185"/>
      <c r="AA59" s="185">
        <v>412</v>
      </c>
      <c r="AB59" s="248"/>
      <c r="AC59" s="185">
        <v>16776</v>
      </c>
      <c r="AD59" s="185"/>
      <c r="AE59" s="185">
        <v>19976</v>
      </c>
      <c r="AF59" s="185"/>
      <c r="AG59" s="185">
        <v>18770</v>
      </c>
      <c r="AH59" s="185"/>
      <c r="AI59" s="185">
        <v>1514</v>
      </c>
      <c r="AJ59" s="185">
        <v>68650</v>
      </c>
      <c r="AK59" s="185"/>
      <c r="AL59" s="185">
        <v>8245</v>
      </c>
      <c r="AM59" s="185"/>
      <c r="AN59" s="185"/>
      <c r="AO59" s="185">
        <v>23139.35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23684</v>
      </c>
      <c r="AZ59" s="185"/>
      <c r="BA59" s="248"/>
      <c r="BB59" s="248"/>
      <c r="BC59" s="248"/>
      <c r="BD59" s="248"/>
      <c r="BE59" s="185">
        <v>112246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16.940000000000001</v>
      </c>
      <c r="D60" s="187"/>
      <c r="E60" s="187">
        <f>18.07+15.94</f>
        <v>34.01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>
        <v>13.11</v>
      </c>
      <c r="Q60" s="221">
        <v>3.73</v>
      </c>
      <c r="R60" s="221"/>
      <c r="S60" s="221">
        <v>2.92</v>
      </c>
      <c r="T60" s="221"/>
      <c r="U60" s="221">
        <v>27.12</v>
      </c>
      <c r="V60" s="221">
        <v>1.92</v>
      </c>
      <c r="W60" s="221">
        <v>1.73</v>
      </c>
      <c r="X60" s="221">
        <v>0.45</v>
      </c>
      <c r="Y60" s="221">
        <f>13.36+1.23+3.22+3.69+2.11+0.35+1</f>
        <v>24.96</v>
      </c>
      <c r="Z60" s="221"/>
      <c r="AA60" s="221">
        <v>0.92</v>
      </c>
      <c r="AB60" s="221">
        <v>8.4</v>
      </c>
      <c r="AC60" s="221">
        <v>1</v>
      </c>
      <c r="AD60" s="221"/>
      <c r="AE60" s="221">
        <v>2.0099999999999998</v>
      </c>
      <c r="AF60" s="221"/>
      <c r="AG60" s="221">
        <v>22.66</v>
      </c>
      <c r="AH60" s="221"/>
      <c r="AI60" s="221">
        <v>6.82</v>
      </c>
      <c r="AJ60" s="221">
        <v>102.5</v>
      </c>
      <c r="AK60" s="221"/>
      <c r="AL60" s="221">
        <v>8.66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45.67</v>
      </c>
      <c r="AW60" s="221"/>
      <c r="AX60" s="221"/>
      <c r="AY60" s="221">
        <v>10.199999999999999</v>
      </c>
      <c r="AZ60" s="221"/>
      <c r="BA60" s="221">
        <v>0.75</v>
      </c>
      <c r="BB60" s="221">
        <v>2</v>
      </c>
      <c r="BC60" s="221"/>
      <c r="BD60" s="221">
        <v>5.14</v>
      </c>
      <c r="BE60" s="221">
        <v>4.13</v>
      </c>
      <c r="BF60" s="221">
        <v>26.93</v>
      </c>
      <c r="BG60" s="221"/>
      <c r="BH60" s="221">
        <f>3.79+13.58</f>
        <v>17.37</v>
      </c>
      <c r="BI60" s="221">
        <v>1.0900000000000001</v>
      </c>
      <c r="BJ60" s="221"/>
      <c r="BK60" s="221">
        <f>5.15+22.25</f>
        <v>27.4</v>
      </c>
      <c r="BL60" s="221">
        <v>21.61</v>
      </c>
      <c r="BM60" s="221">
        <v>4.91</v>
      </c>
      <c r="BN60" s="221">
        <v>2.92</v>
      </c>
      <c r="BO60" s="221"/>
      <c r="BP60" s="221"/>
      <c r="BQ60" s="221">
        <v>2.0499999999999998</v>
      </c>
      <c r="BR60" s="221">
        <v>4.99</v>
      </c>
      <c r="BS60" s="221"/>
      <c r="BT60" s="221"/>
      <c r="BU60" s="221"/>
      <c r="BV60" s="221">
        <v>10.08</v>
      </c>
      <c r="BW60" s="221"/>
      <c r="BX60" s="221"/>
      <c r="BY60" s="221">
        <v>7.79</v>
      </c>
      <c r="BZ60" s="221"/>
      <c r="CA60" s="221"/>
      <c r="CB60" s="221"/>
      <c r="CC60" s="221">
        <f>1+3.26+1+2.69+1.58</f>
        <v>9.5299999999999994</v>
      </c>
      <c r="CD60" s="249" t="s">
        <v>221</v>
      </c>
      <c r="CE60" s="251">
        <f t="shared" ref="CE60:CE70" si="0">SUM(C60:CD60)</f>
        <v>484.42</v>
      </c>
    </row>
    <row r="61" spans="1:84" ht="12.6" customHeight="1" x14ac:dyDescent="0.25">
      <c r="A61" s="171" t="s">
        <v>235</v>
      </c>
      <c r="B61" s="175"/>
      <c r="C61" s="184">
        <v>1469073</v>
      </c>
      <c r="D61" s="184"/>
      <c r="E61" s="184">
        <f>1276370+1369060</f>
        <v>2645430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>
        <v>1035536</v>
      </c>
      <c r="Q61" s="185">
        <v>426738</v>
      </c>
      <c r="R61" s="185"/>
      <c r="S61" s="185">
        <v>94898</v>
      </c>
      <c r="T61" s="185"/>
      <c r="U61" s="185">
        <v>1414619</v>
      </c>
      <c r="V61" s="185">
        <v>124328</v>
      </c>
      <c r="W61" s="185">
        <v>136384</v>
      </c>
      <c r="X61" s="185">
        <v>27608</v>
      </c>
      <c r="Y61" s="185">
        <f>901736+632839+292565+381138+1635+79039</f>
        <v>2288952</v>
      </c>
      <c r="Z61" s="185"/>
      <c r="AA61" s="185">
        <v>85795</v>
      </c>
      <c r="AB61" s="185">
        <v>703230</v>
      </c>
      <c r="AC61" s="185">
        <v>93900</v>
      </c>
      <c r="AD61" s="185"/>
      <c r="AE61" s="185">
        <v>111676</v>
      </c>
      <c r="AF61" s="185"/>
      <c r="AG61" s="185">
        <v>2617827</v>
      </c>
      <c r="AH61" s="185"/>
      <c r="AI61" s="185">
        <v>630202</v>
      </c>
      <c r="AJ61" s="185">
        <v>11484562</v>
      </c>
      <c r="AK61" s="185"/>
      <c r="AL61" s="185">
        <v>583900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4816903</v>
      </c>
      <c r="AW61" s="185"/>
      <c r="AX61" s="185"/>
      <c r="AY61" s="185">
        <v>366527</v>
      </c>
      <c r="AZ61" s="185"/>
      <c r="BA61" s="185">
        <v>23670</v>
      </c>
      <c r="BB61" s="185">
        <v>148283</v>
      </c>
      <c r="BC61" s="185"/>
      <c r="BD61" s="185">
        <v>199523</v>
      </c>
      <c r="BE61" s="185">
        <v>295668</v>
      </c>
      <c r="BF61" s="185">
        <v>833042</v>
      </c>
      <c r="BG61" s="185"/>
      <c r="BH61" s="185">
        <f>930257+296105</f>
        <v>1226362</v>
      </c>
      <c r="BI61" s="185">
        <v>52555</v>
      </c>
      <c r="BJ61" s="185"/>
      <c r="BK61" s="185">
        <f>208291+605321</f>
        <v>813612</v>
      </c>
      <c r="BL61" s="185">
        <v>814670</v>
      </c>
      <c r="BM61" s="185">
        <v>307852</v>
      </c>
      <c r="BN61" s="185">
        <v>261670</v>
      </c>
      <c r="BO61" s="185"/>
      <c r="BP61" s="185"/>
      <c r="BQ61" s="185">
        <v>151636</v>
      </c>
      <c r="BR61" s="185">
        <v>313730</v>
      </c>
      <c r="BS61" s="185"/>
      <c r="BT61" s="185"/>
      <c r="BU61" s="185"/>
      <c r="BV61" s="185">
        <v>453969</v>
      </c>
      <c r="BW61" s="185"/>
      <c r="BX61" s="185"/>
      <c r="BY61" s="185">
        <v>668381</v>
      </c>
      <c r="BZ61" s="185"/>
      <c r="CA61" s="185"/>
      <c r="CB61" s="185"/>
      <c r="CC61" s="185">
        <f>75681+389981+104523</f>
        <v>570185</v>
      </c>
      <c r="CD61" s="249" t="s">
        <v>221</v>
      </c>
      <c r="CE61" s="195">
        <f t="shared" si="0"/>
        <v>38292896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324929</v>
      </c>
      <c r="D62" s="195">
        <f t="shared" si="1"/>
        <v>0</v>
      </c>
      <c r="E62" s="195">
        <f t="shared" si="1"/>
        <v>588023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230172</v>
      </c>
      <c r="Q62" s="195">
        <f t="shared" si="1"/>
        <v>94773</v>
      </c>
      <c r="R62" s="195">
        <f t="shared" si="1"/>
        <v>0</v>
      </c>
      <c r="S62" s="195">
        <f t="shared" si="1"/>
        <v>20962</v>
      </c>
      <c r="T62" s="195">
        <f t="shared" si="1"/>
        <v>0</v>
      </c>
      <c r="U62" s="195">
        <f t="shared" si="1"/>
        <v>314117</v>
      </c>
      <c r="V62" s="195">
        <f t="shared" si="1"/>
        <v>27157</v>
      </c>
      <c r="W62" s="195">
        <f t="shared" si="1"/>
        <v>29931</v>
      </c>
      <c r="X62" s="195">
        <f t="shared" si="1"/>
        <v>6559</v>
      </c>
      <c r="Y62" s="195">
        <f t="shared" si="1"/>
        <v>486972</v>
      </c>
      <c r="Z62" s="195">
        <f t="shared" si="1"/>
        <v>0</v>
      </c>
      <c r="AA62" s="195">
        <f t="shared" si="1"/>
        <v>18511</v>
      </c>
      <c r="AB62" s="195">
        <f t="shared" si="1"/>
        <v>154208</v>
      </c>
      <c r="AC62" s="195">
        <f t="shared" si="1"/>
        <v>21230</v>
      </c>
      <c r="AD62" s="195">
        <f t="shared" si="1"/>
        <v>0</v>
      </c>
      <c r="AE62" s="195">
        <f t="shared" si="1"/>
        <v>25512</v>
      </c>
      <c r="AF62" s="195">
        <f t="shared" si="1"/>
        <v>0</v>
      </c>
      <c r="AG62" s="195">
        <f t="shared" si="1"/>
        <v>554008</v>
      </c>
      <c r="AH62" s="195">
        <f t="shared" si="1"/>
        <v>0</v>
      </c>
      <c r="AI62" s="195">
        <f t="shared" si="1"/>
        <v>139507</v>
      </c>
      <c r="AJ62" s="195">
        <f t="shared" si="1"/>
        <v>2271446</v>
      </c>
      <c r="AK62" s="195">
        <f t="shared" si="1"/>
        <v>0</v>
      </c>
      <c r="AL62" s="195">
        <f t="shared" si="1"/>
        <v>131145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991549</v>
      </c>
      <c r="AW62" s="195">
        <f t="shared" si="1"/>
        <v>0</v>
      </c>
      <c r="AX62" s="195">
        <f t="shared" si="1"/>
        <v>0</v>
      </c>
      <c r="AY62" s="195">
        <f>ROUND(AY47+AY48,0)</f>
        <v>80849</v>
      </c>
      <c r="AZ62" s="195">
        <f>ROUND(AZ47+AZ48,0)</f>
        <v>0</v>
      </c>
      <c r="BA62" s="195">
        <f>ROUND(BA47+BA48,0)</f>
        <v>4979</v>
      </c>
      <c r="BB62" s="195">
        <f t="shared" si="1"/>
        <v>32733</v>
      </c>
      <c r="BC62" s="195">
        <f t="shared" si="1"/>
        <v>0</v>
      </c>
      <c r="BD62" s="195">
        <f t="shared" si="1"/>
        <v>44921</v>
      </c>
      <c r="BE62" s="195">
        <f t="shared" si="1"/>
        <v>66327</v>
      </c>
      <c r="BF62" s="195">
        <f t="shared" si="1"/>
        <v>184846</v>
      </c>
      <c r="BG62" s="195">
        <f t="shared" si="1"/>
        <v>0</v>
      </c>
      <c r="BH62" s="195">
        <f t="shared" si="1"/>
        <v>269954</v>
      </c>
      <c r="BI62" s="195">
        <f t="shared" si="1"/>
        <v>11567</v>
      </c>
      <c r="BJ62" s="195">
        <f t="shared" si="1"/>
        <v>0</v>
      </c>
      <c r="BK62" s="195">
        <f t="shared" si="1"/>
        <v>179187</v>
      </c>
      <c r="BL62" s="195">
        <f t="shared" si="1"/>
        <v>179849</v>
      </c>
      <c r="BM62" s="195">
        <f t="shared" si="1"/>
        <v>66821</v>
      </c>
      <c r="BN62" s="195">
        <f t="shared" si="1"/>
        <v>61212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33878</v>
      </c>
      <c r="BR62" s="195">
        <f t="shared" si="2"/>
        <v>69376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99730</v>
      </c>
      <c r="BW62" s="195">
        <f t="shared" si="2"/>
        <v>5797</v>
      </c>
      <c r="BX62" s="195">
        <f t="shared" si="2"/>
        <v>0</v>
      </c>
      <c r="BY62" s="195">
        <f t="shared" si="2"/>
        <v>150636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127532</v>
      </c>
      <c r="CD62" s="249" t="s">
        <v>221</v>
      </c>
      <c r="CE62" s="195">
        <f t="shared" si="0"/>
        <v>8100905</v>
      </c>
      <c r="CF62" s="252"/>
    </row>
    <row r="63" spans="1:84" ht="12.6" customHeight="1" x14ac:dyDescent="0.25">
      <c r="A63" s="171" t="s">
        <v>236</v>
      </c>
      <c r="B63" s="175"/>
      <c r="C63" s="184">
        <v>377736</v>
      </c>
      <c r="D63" s="184"/>
      <c r="E63" s="184">
        <f>162667+298162</f>
        <v>460829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72000</v>
      </c>
      <c r="V63" s="185"/>
      <c r="W63" s="185"/>
      <c r="X63" s="185"/>
      <c r="Y63" s="185">
        <f>1069200</f>
        <v>1069200</v>
      </c>
      <c r="Z63" s="185"/>
      <c r="AA63" s="185"/>
      <c r="AB63" s="185"/>
      <c r="AC63" s="185"/>
      <c r="AD63" s="185"/>
      <c r="AE63" s="185"/>
      <c r="AF63" s="185"/>
      <c r="AG63" s="185">
        <f>1193696+217860</f>
        <v>1411556</v>
      </c>
      <c r="AH63" s="185"/>
      <c r="AI63" s="185">
        <v>405</v>
      </c>
      <c r="AJ63" s="185">
        <v>954087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108+42520+48265</f>
        <v>90893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>
        <v>234542</v>
      </c>
      <c r="BL63" s="185"/>
      <c r="BM63" s="185">
        <v>101270</v>
      </c>
      <c r="BN63" s="185">
        <f>793489-69865</f>
        <v>723624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>
        <f>141024</f>
        <v>141024</v>
      </c>
      <c r="BZ63" s="185"/>
      <c r="CA63" s="185"/>
      <c r="CB63" s="185"/>
      <c r="CC63" s="185">
        <f>68208</f>
        <v>68208</v>
      </c>
      <c r="CD63" s="249" t="s">
        <v>221</v>
      </c>
      <c r="CE63" s="195">
        <f t="shared" si="0"/>
        <v>5705374</v>
      </c>
      <c r="CF63" s="252"/>
    </row>
    <row r="64" spans="1:84" ht="12.6" customHeight="1" x14ac:dyDescent="0.25">
      <c r="A64" s="171" t="s">
        <v>237</v>
      </c>
      <c r="B64" s="175"/>
      <c r="C64" s="184">
        <v>100029</v>
      </c>
      <c r="D64" s="184"/>
      <c r="E64" s="185">
        <f>151095+211986</f>
        <v>363081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>
        <v>1176086</v>
      </c>
      <c r="Q64" s="185">
        <v>24380</v>
      </c>
      <c r="R64" s="185">
        <v>138927</v>
      </c>
      <c r="S64" s="185">
        <v>62457</v>
      </c>
      <c r="T64" s="185"/>
      <c r="U64" s="185">
        <f>812339+251988</f>
        <v>1064327</v>
      </c>
      <c r="V64" s="185">
        <v>11976</v>
      </c>
      <c r="W64" s="185">
        <v>13978</v>
      </c>
      <c r="X64" s="185">
        <v>34727</v>
      </c>
      <c r="Y64" s="185">
        <v>59366</v>
      </c>
      <c r="Z64" s="185"/>
      <c r="AA64" s="185">
        <v>46320</v>
      </c>
      <c r="AB64" s="185">
        <v>3215995</v>
      </c>
      <c r="AC64" s="185">
        <f>58870+3631</f>
        <v>62501</v>
      </c>
      <c r="AD64" s="185"/>
      <c r="AE64" s="185">
        <v>22740</v>
      </c>
      <c r="AF64" s="185"/>
      <c r="AG64" s="185">
        <v>430573</v>
      </c>
      <c r="AH64" s="185"/>
      <c r="AI64" s="185">
        <v>84188</v>
      </c>
      <c r="AJ64" s="185">
        <v>922446</v>
      </c>
      <c r="AK64" s="185"/>
      <c r="AL64" s="185">
        <f>127625+746</f>
        <v>128371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1882180+3938</f>
        <v>1886118</v>
      </c>
      <c r="AW64" s="185"/>
      <c r="AX64" s="185"/>
      <c r="AY64" s="185">
        <v>417698</v>
      </c>
      <c r="AZ64" s="185"/>
      <c r="BA64" s="185">
        <v>9516</v>
      </c>
      <c r="BB64" s="185">
        <v>271</v>
      </c>
      <c r="BC64" s="185"/>
      <c r="BD64" s="185">
        <f>2469323+3377</f>
        <v>2472700</v>
      </c>
      <c r="BE64" s="185">
        <v>21922</v>
      </c>
      <c r="BF64" s="185">
        <v>141693</v>
      </c>
      <c r="BG64" s="185"/>
      <c r="BH64" s="185">
        <f>373404</f>
        <v>373404</v>
      </c>
      <c r="BI64" s="185">
        <v>3385</v>
      </c>
      <c r="BJ64" s="185"/>
      <c r="BK64" s="185">
        <v>12281</v>
      </c>
      <c r="BL64" s="185">
        <v>21199</v>
      </c>
      <c r="BM64" s="185">
        <v>2424</v>
      </c>
      <c r="BN64" s="185">
        <v>4046</v>
      </c>
      <c r="BO64" s="185"/>
      <c r="BP64" s="185"/>
      <c r="BQ64" s="185">
        <v>4501</v>
      </c>
      <c r="BR64" s="185">
        <v>4683</v>
      </c>
      <c r="BS64" s="185"/>
      <c r="BT64" s="185"/>
      <c r="BU64" s="185"/>
      <c r="BV64" s="185">
        <v>10776</v>
      </c>
      <c r="BW64" s="185">
        <v>27715</v>
      </c>
      <c r="BX64" s="185"/>
      <c r="BY64" s="185">
        <v>1021</v>
      </c>
      <c r="BZ64" s="185"/>
      <c r="CA64" s="185"/>
      <c r="CB64" s="185"/>
      <c r="CC64" s="185">
        <f>32693+29859+2</f>
        <v>62554</v>
      </c>
      <c r="CD64" s="249" t="s">
        <v>221</v>
      </c>
      <c r="CE64" s="195">
        <f t="shared" si="0"/>
        <v>13440375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215402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f>120233+17478</f>
        <v>137711</v>
      </c>
      <c r="AW65" s="185"/>
      <c r="AX65" s="185"/>
      <c r="AY65" s="185"/>
      <c r="AZ65" s="185"/>
      <c r="BA65" s="185"/>
      <c r="BB65" s="185"/>
      <c r="BC65" s="185"/>
      <c r="BD65" s="185"/>
      <c r="BE65" s="185">
        <v>931537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1284650</v>
      </c>
      <c r="CF65" s="252"/>
    </row>
    <row r="66" spans="1:84" ht="12.6" customHeight="1" x14ac:dyDescent="0.25">
      <c r="A66" s="171" t="s">
        <v>239</v>
      </c>
      <c r="B66" s="175"/>
      <c r="C66" s="184">
        <v>52498</v>
      </c>
      <c r="D66" s="184"/>
      <c r="E66" s="184">
        <f>355824+96188+272383</f>
        <v>724395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>
        <v>243971</v>
      </c>
      <c r="Q66" s="185"/>
      <c r="R66" s="185">
        <v>796708</v>
      </c>
      <c r="S66" s="184">
        <v>43877</v>
      </c>
      <c r="T66" s="184"/>
      <c r="U66" s="185">
        <v>678444</v>
      </c>
      <c r="V66" s="185">
        <v>15892</v>
      </c>
      <c r="W66" s="185">
        <v>112659</v>
      </c>
      <c r="X66" s="185">
        <v>79921</v>
      </c>
      <c r="Y66" s="185">
        <v>1165810</v>
      </c>
      <c r="Z66" s="185"/>
      <c r="AA66" s="185">
        <v>77550</v>
      </c>
      <c r="AB66" s="185">
        <f>178790+158965</f>
        <v>337755</v>
      </c>
      <c r="AC66" s="185">
        <v>581364</v>
      </c>
      <c r="AD66" s="185"/>
      <c r="AE66" s="185">
        <v>620806</v>
      </c>
      <c r="AF66" s="185"/>
      <c r="AG66" s="185">
        <v>954940</v>
      </c>
      <c r="AH66" s="185"/>
      <c r="AI66" s="185"/>
      <c r="AJ66" s="185">
        <v>1765474</v>
      </c>
      <c r="AK66" s="185"/>
      <c r="AL66" s="185">
        <v>31779</v>
      </c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2957716</v>
      </c>
      <c r="AW66" s="185"/>
      <c r="AX66" s="185"/>
      <c r="AY66" s="185">
        <v>10982</v>
      </c>
      <c r="AZ66" s="185"/>
      <c r="BA66" s="185">
        <v>489476</v>
      </c>
      <c r="BB66" s="185">
        <v>13624</v>
      </c>
      <c r="BC66" s="185"/>
      <c r="BD66" s="185">
        <f>1980+7</f>
        <v>1987</v>
      </c>
      <c r="BE66" s="185">
        <f>189631+161469</f>
        <v>351100</v>
      </c>
      <c r="BF66" s="185">
        <v>9768</v>
      </c>
      <c r="BG66" s="185"/>
      <c r="BH66" s="185">
        <f>1254558</f>
        <v>1254558</v>
      </c>
      <c r="BI66" s="185">
        <v>12691</v>
      </c>
      <c r="BJ66" s="185"/>
      <c r="BK66" s="185">
        <f>551333+1150102</f>
        <v>1701435</v>
      </c>
      <c r="BL66" s="185">
        <v>27587</v>
      </c>
      <c r="BM66" s="185">
        <v>7114</v>
      </c>
      <c r="BN66" s="185">
        <v>7578080</v>
      </c>
      <c r="BO66" s="185"/>
      <c r="BP66" s="185">
        <v>59340</v>
      </c>
      <c r="BQ66" s="185">
        <v>1848</v>
      </c>
      <c r="BR66" s="185">
        <v>84145</v>
      </c>
      <c r="BS66" s="185"/>
      <c r="BT66" s="185"/>
      <c r="BU66" s="185"/>
      <c r="BV66" s="185">
        <v>131594</v>
      </c>
      <c r="BW66" s="185">
        <v>2943</v>
      </c>
      <c r="BX66" s="185"/>
      <c r="BY66" s="185">
        <v>12010</v>
      </c>
      <c r="BZ66" s="185"/>
      <c r="CA66" s="185"/>
      <c r="CB66" s="185"/>
      <c r="CC66" s="185">
        <f>248400+541</f>
        <v>248941</v>
      </c>
      <c r="CD66" s="249" t="s">
        <v>221</v>
      </c>
      <c r="CE66" s="195">
        <f t="shared" si="0"/>
        <v>23240782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56401</v>
      </c>
      <c r="D67" s="195">
        <f>ROUND(D51+D52,0)</f>
        <v>0</v>
      </c>
      <c r="E67" s="195">
        <f t="shared" ref="E67:BP67" si="3">ROUND(E51+E52,0)</f>
        <v>494334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94632</v>
      </c>
      <c r="P67" s="195">
        <f t="shared" si="3"/>
        <v>96904</v>
      </c>
      <c r="Q67" s="195">
        <f t="shared" si="3"/>
        <v>29147</v>
      </c>
      <c r="R67" s="195">
        <f t="shared" si="3"/>
        <v>0</v>
      </c>
      <c r="S67" s="195">
        <f t="shared" si="3"/>
        <v>39089</v>
      </c>
      <c r="T67" s="195">
        <f t="shared" si="3"/>
        <v>0</v>
      </c>
      <c r="U67" s="195">
        <f t="shared" si="3"/>
        <v>0</v>
      </c>
      <c r="V67" s="195">
        <f t="shared" si="3"/>
        <v>64829</v>
      </c>
      <c r="W67" s="195">
        <f t="shared" si="3"/>
        <v>0</v>
      </c>
      <c r="X67" s="195">
        <f t="shared" si="3"/>
        <v>0</v>
      </c>
      <c r="Y67" s="195">
        <f t="shared" si="3"/>
        <v>110379</v>
      </c>
      <c r="Z67" s="195">
        <f t="shared" si="3"/>
        <v>0</v>
      </c>
      <c r="AA67" s="195">
        <f t="shared" si="3"/>
        <v>5905</v>
      </c>
      <c r="AB67" s="195">
        <f t="shared" si="3"/>
        <v>0</v>
      </c>
      <c r="AC67" s="195">
        <f t="shared" si="3"/>
        <v>6208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203699</v>
      </c>
      <c r="AH67" s="195">
        <f t="shared" si="3"/>
        <v>0</v>
      </c>
      <c r="AI67" s="195">
        <f t="shared" si="3"/>
        <v>0</v>
      </c>
      <c r="AJ67" s="195">
        <f t="shared" si="3"/>
        <v>741514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15823</v>
      </c>
      <c r="AW67" s="195">
        <f t="shared" si="3"/>
        <v>0</v>
      </c>
      <c r="AX67" s="195">
        <f t="shared" si="3"/>
        <v>0</v>
      </c>
      <c r="AY67" s="195">
        <f t="shared" si="3"/>
        <v>79138</v>
      </c>
      <c r="AZ67" s="195">
        <f>ROUND(AZ51+AZ52,0)</f>
        <v>0</v>
      </c>
      <c r="BA67" s="195">
        <f>ROUND(BA51+BA52,0)</f>
        <v>16832</v>
      </c>
      <c r="BB67" s="195">
        <f t="shared" si="3"/>
        <v>2448</v>
      </c>
      <c r="BC67" s="195">
        <f t="shared" si="3"/>
        <v>0</v>
      </c>
      <c r="BD67" s="195">
        <f t="shared" si="3"/>
        <v>0</v>
      </c>
      <c r="BE67" s="195">
        <f t="shared" si="3"/>
        <v>196558</v>
      </c>
      <c r="BF67" s="195">
        <f t="shared" si="3"/>
        <v>2801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53095</v>
      </c>
      <c r="BL67" s="195">
        <f t="shared" si="3"/>
        <v>0</v>
      </c>
      <c r="BM67" s="195">
        <f t="shared" si="3"/>
        <v>0</v>
      </c>
      <c r="BN67" s="195">
        <f t="shared" si="3"/>
        <v>417896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67050</v>
      </c>
      <c r="BW67" s="195">
        <f t="shared" si="4"/>
        <v>0</v>
      </c>
      <c r="BX67" s="195">
        <f t="shared" si="4"/>
        <v>0</v>
      </c>
      <c r="BY67" s="195">
        <f t="shared" si="4"/>
        <v>4719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33159</v>
      </c>
      <c r="CD67" s="249" t="s">
        <v>221</v>
      </c>
      <c r="CE67" s="195">
        <f t="shared" si="0"/>
        <v>2832560</v>
      </c>
      <c r="CF67" s="252"/>
    </row>
    <row r="68" spans="1:84" ht="12.6" customHeight="1" x14ac:dyDescent="0.25">
      <c r="A68" s="171" t="s">
        <v>240</v>
      </c>
      <c r="B68" s="175"/>
      <c r="C68" s="184">
        <v>816</v>
      </c>
      <c r="D68" s="184"/>
      <c r="E68" s="184">
        <v>14888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1946</v>
      </c>
      <c r="V68" s="185">
        <v>2704</v>
      </c>
      <c r="W68" s="185"/>
      <c r="X68" s="185"/>
      <c r="Y68" s="185">
        <v>509303</v>
      </c>
      <c r="Z68" s="185"/>
      <c r="AA68" s="185"/>
      <c r="AB68" s="185">
        <v>108583</v>
      </c>
      <c r="AC68" s="185">
        <v>36263</v>
      </c>
      <c r="AD68" s="185"/>
      <c r="AE68" s="185">
        <v>28939</v>
      </c>
      <c r="AF68" s="185"/>
      <c r="AG68" s="185"/>
      <c r="AH68" s="185"/>
      <c r="AI68" s="185"/>
      <c r="AJ68" s="185">
        <v>625428</v>
      </c>
      <c r="AK68" s="185"/>
      <c r="AL68" s="185">
        <v>6587</v>
      </c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833331</v>
      </c>
      <c r="AW68" s="185"/>
      <c r="AX68" s="185"/>
      <c r="AY68" s="185">
        <v>853</v>
      </c>
      <c r="AZ68" s="185"/>
      <c r="BA68" s="185"/>
      <c r="BB68" s="185"/>
      <c r="BC68" s="185"/>
      <c r="BD68" s="185"/>
      <c r="BE68" s="185">
        <v>207676</v>
      </c>
      <c r="BF68" s="185"/>
      <c r="BG68" s="185"/>
      <c r="BH68" s="185">
        <v>71974</v>
      </c>
      <c r="BI68" s="185"/>
      <c r="BJ68" s="185"/>
      <c r="BK68" s="185">
        <f>782+5166</f>
        <v>5948</v>
      </c>
      <c r="BL68" s="185"/>
      <c r="BM68" s="185"/>
      <c r="BN68" s="185">
        <v>129933</v>
      </c>
      <c r="BO68" s="185"/>
      <c r="BP68" s="185"/>
      <c r="BQ68" s="185">
        <v>11</v>
      </c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564</v>
      </c>
      <c r="CD68" s="249" t="s">
        <v>221</v>
      </c>
      <c r="CE68" s="195">
        <f t="shared" si="0"/>
        <v>2585747</v>
      </c>
      <c r="CF68" s="252"/>
    </row>
    <row r="69" spans="1:84" ht="12.6" customHeight="1" x14ac:dyDescent="0.25">
      <c r="A69" s="171" t="s">
        <v>241</v>
      </c>
      <c r="B69" s="175"/>
      <c r="C69" s="184">
        <v>2645</v>
      </c>
      <c r="D69" s="184"/>
      <c r="E69" s="185">
        <f>1570+4176</f>
        <v>5746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5107</v>
      </c>
      <c r="Q69" s="185"/>
      <c r="R69" s="224"/>
      <c r="S69" s="185">
        <v>599</v>
      </c>
      <c r="T69" s="184"/>
      <c r="U69" s="185">
        <v>11501</v>
      </c>
      <c r="V69" s="185">
        <v>415</v>
      </c>
      <c r="W69" s="184">
        <v>60</v>
      </c>
      <c r="X69" s="185">
        <v>500</v>
      </c>
      <c r="Y69" s="185">
        <v>53028</v>
      </c>
      <c r="Z69" s="185"/>
      <c r="AA69" s="185">
        <v>15103</v>
      </c>
      <c r="AB69" s="185">
        <v>43055</v>
      </c>
      <c r="AC69" s="185">
        <v>48</v>
      </c>
      <c r="AD69" s="185"/>
      <c r="AE69" s="185">
        <v>3493</v>
      </c>
      <c r="AF69" s="185"/>
      <c r="AG69" s="185">
        <v>11952</v>
      </c>
      <c r="AH69" s="185"/>
      <c r="AI69" s="185">
        <v>197</v>
      </c>
      <c r="AJ69" s="185">
        <v>213509</v>
      </c>
      <c r="AK69" s="185"/>
      <c r="AL69" s="185">
        <v>11140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152801</v>
      </c>
      <c r="AW69" s="185"/>
      <c r="AX69" s="185"/>
      <c r="AY69" s="185">
        <v>754</v>
      </c>
      <c r="AZ69" s="185"/>
      <c r="BA69" s="185"/>
      <c r="BB69" s="185">
        <v>12693</v>
      </c>
      <c r="BC69" s="185"/>
      <c r="BD69" s="185">
        <f>19746+25840</f>
        <v>45586</v>
      </c>
      <c r="BE69" s="185">
        <v>738</v>
      </c>
      <c r="BF69" s="185">
        <v>12241</v>
      </c>
      <c r="BG69" s="185"/>
      <c r="BH69" s="224">
        <v>56954</v>
      </c>
      <c r="BI69" s="185">
        <v>498</v>
      </c>
      <c r="BJ69" s="185"/>
      <c r="BK69" s="185">
        <v>20075</v>
      </c>
      <c r="BL69" s="185">
        <v>585</v>
      </c>
      <c r="BM69" s="185">
        <v>42635</v>
      </c>
      <c r="BN69" s="185">
        <v>259440</v>
      </c>
      <c r="BO69" s="185"/>
      <c r="BP69" s="185">
        <v>3985</v>
      </c>
      <c r="BQ69" s="185"/>
      <c r="BR69" s="185">
        <v>113625</v>
      </c>
      <c r="BS69" s="185"/>
      <c r="BT69" s="185"/>
      <c r="BU69" s="185"/>
      <c r="BV69" s="185">
        <v>1166</v>
      </c>
      <c r="BW69" s="185">
        <v>6048</v>
      </c>
      <c r="BX69" s="185"/>
      <c r="BY69" s="185">
        <v>16596</v>
      </c>
      <c r="BZ69" s="185"/>
      <c r="CA69" s="185"/>
      <c r="CB69" s="185"/>
      <c r="CC69" s="185"/>
      <c r="CD69" s="188">
        <v>1142978</v>
      </c>
      <c r="CE69" s="195">
        <f t="shared" si="0"/>
        <v>2267496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2384127</v>
      </c>
      <c r="D71" s="195">
        <f t="shared" ref="D71:AI71" si="5">SUM(D61:D69)-D70</f>
        <v>0</v>
      </c>
      <c r="E71" s="195">
        <f t="shared" si="5"/>
        <v>5296726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94632</v>
      </c>
      <c r="P71" s="195">
        <f t="shared" si="5"/>
        <v>2787776</v>
      </c>
      <c r="Q71" s="195">
        <f t="shared" si="5"/>
        <v>575038</v>
      </c>
      <c r="R71" s="195">
        <f t="shared" si="5"/>
        <v>935635</v>
      </c>
      <c r="S71" s="195">
        <f t="shared" si="5"/>
        <v>261882</v>
      </c>
      <c r="T71" s="195">
        <f t="shared" si="5"/>
        <v>0</v>
      </c>
      <c r="U71" s="195">
        <f t="shared" si="5"/>
        <v>3556954</v>
      </c>
      <c r="V71" s="195">
        <f t="shared" si="5"/>
        <v>247301</v>
      </c>
      <c r="W71" s="195">
        <f t="shared" si="5"/>
        <v>293012</v>
      </c>
      <c r="X71" s="195">
        <f t="shared" si="5"/>
        <v>149315</v>
      </c>
      <c r="Y71" s="195">
        <f t="shared" si="5"/>
        <v>5743010</v>
      </c>
      <c r="Z71" s="195">
        <f t="shared" si="5"/>
        <v>0</v>
      </c>
      <c r="AA71" s="195">
        <f t="shared" si="5"/>
        <v>249184</v>
      </c>
      <c r="AB71" s="195">
        <f t="shared" si="5"/>
        <v>4562826</v>
      </c>
      <c r="AC71" s="195">
        <f t="shared" si="5"/>
        <v>801514</v>
      </c>
      <c r="AD71" s="195">
        <f t="shared" si="5"/>
        <v>0</v>
      </c>
      <c r="AE71" s="195">
        <f t="shared" si="5"/>
        <v>813166</v>
      </c>
      <c r="AF71" s="195">
        <f t="shared" si="5"/>
        <v>0</v>
      </c>
      <c r="AG71" s="195">
        <f t="shared" si="5"/>
        <v>6184555</v>
      </c>
      <c r="AH71" s="195">
        <f t="shared" si="5"/>
        <v>0</v>
      </c>
      <c r="AI71" s="195">
        <f t="shared" si="5"/>
        <v>854499</v>
      </c>
      <c r="AJ71" s="195">
        <f t="shared" ref="AJ71:BO71" si="6">SUM(AJ61:AJ69)-AJ70</f>
        <v>19193868</v>
      </c>
      <c r="AK71" s="195">
        <f t="shared" si="6"/>
        <v>0</v>
      </c>
      <c r="AL71" s="195">
        <f t="shared" si="6"/>
        <v>892922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11882845</v>
      </c>
      <c r="AW71" s="195">
        <f t="shared" si="6"/>
        <v>0</v>
      </c>
      <c r="AX71" s="195">
        <f t="shared" si="6"/>
        <v>0</v>
      </c>
      <c r="AY71" s="195">
        <f t="shared" si="6"/>
        <v>956801</v>
      </c>
      <c r="AZ71" s="195">
        <f t="shared" si="6"/>
        <v>0</v>
      </c>
      <c r="BA71" s="195">
        <f t="shared" si="6"/>
        <v>544473</v>
      </c>
      <c r="BB71" s="195">
        <f t="shared" si="6"/>
        <v>210052</v>
      </c>
      <c r="BC71" s="195">
        <f t="shared" si="6"/>
        <v>0</v>
      </c>
      <c r="BD71" s="195">
        <f t="shared" si="6"/>
        <v>2764717</v>
      </c>
      <c r="BE71" s="195">
        <f t="shared" si="6"/>
        <v>2071526</v>
      </c>
      <c r="BF71" s="195">
        <f t="shared" si="6"/>
        <v>1184391</v>
      </c>
      <c r="BG71" s="195">
        <f t="shared" si="6"/>
        <v>0</v>
      </c>
      <c r="BH71" s="195">
        <f t="shared" si="6"/>
        <v>3253206</v>
      </c>
      <c r="BI71" s="195">
        <f t="shared" si="6"/>
        <v>80696</v>
      </c>
      <c r="BJ71" s="195">
        <f t="shared" si="6"/>
        <v>0</v>
      </c>
      <c r="BK71" s="195">
        <f t="shared" si="6"/>
        <v>3020175</v>
      </c>
      <c r="BL71" s="195">
        <f t="shared" si="6"/>
        <v>1043890</v>
      </c>
      <c r="BM71" s="195">
        <f t="shared" si="6"/>
        <v>528116</v>
      </c>
      <c r="BN71" s="195">
        <f t="shared" si="6"/>
        <v>9435901</v>
      </c>
      <c r="BO71" s="195">
        <f t="shared" si="6"/>
        <v>0</v>
      </c>
      <c r="BP71" s="195">
        <f t="shared" ref="BP71:CC71" si="7">SUM(BP61:BP69)-BP70</f>
        <v>63325</v>
      </c>
      <c r="BQ71" s="195">
        <f t="shared" si="7"/>
        <v>191874</v>
      </c>
      <c r="BR71" s="195">
        <f t="shared" si="7"/>
        <v>585559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764285</v>
      </c>
      <c r="BW71" s="195">
        <f t="shared" si="7"/>
        <v>42503</v>
      </c>
      <c r="BX71" s="195">
        <f t="shared" si="7"/>
        <v>0</v>
      </c>
      <c r="BY71" s="195">
        <f t="shared" si="7"/>
        <v>994387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1111143</v>
      </c>
      <c r="CD71" s="245">
        <f>CD69-CD70</f>
        <v>1142978</v>
      </c>
      <c r="CE71" s="195">
        <f>SUM(CE61:CE69)-CE70</f>
        <v>97750785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5460685</v>
      </c>
      <c r="D73" s="184"/>
      <c r="E73" s="185">
        <f>11709807+983555</f>
        <v>12693362</v>
      </c>
      <c r="F73" s="185"/>
      <c r="G73" s="184"/>
      <c r="H73" s="184"/>
      <c r="I73" s="185"/>
      <c r="J73" s="185">
        <v>1605709</v>
      </c>
      <c r="K73" s="185"/>
      <c r="L73" s="185"/>
      <c r="M73" s="184"/>
      <c r="N73" s="184"/>
      <c r="O73" s="184">
        <v>3696548</v>
      </c>
      <c r="P73" s="185">
        <v>8827673</v>
      </c>
      <c r="Q73" s="185">
        <v>1693868</v>
      </c>
      <c r="R73" s="185">
        <v>2263224</v>
      </c>
      <c r="S73" s="185">
        <v>727752</v>
      </c>
      <c r="T73" s="185"/>
      <c r="U73" s="185">
        <f>5250721+371195</f>
        <v>5621916</v>
      </c>
      <c r="V73" s="185">
        <f>1247880+112992</f>
        <v>1360872</v>
      </c>
      <c r="W73" s="185">
        <v>252139</v>
      </c>
      <c r="X73" s="185">
        <v>2014892</v>
      </c>
      <c r="Y73" s="185">
        <v>2832115</v>
      </c>
      <c r="Z73" s="185"/>
      <c r="AA73" s="185">
        <v>64883</v>
      </c>
      <c r="AB73" s="185">
        <f>4256619</f>
        <v>4256619</v>
      </c>
      <c r="AC73" s="185">
        <v>1008472</v>
      </c>
      <c r="AD73" s="185"/>
      <c r="AE73" s="185">
        <v>696607</v>
      </c>
      <c r="AF73" s="185"/>
      <c r="AG73" s="185">
        <f>1176366</f>
        <v>1176366</v>
      </c>
      <c r="AH73" s="185"/>
      <c r="AI73" s="185">
        <v>2685</v>
      </c>
      <c r="AJ73" s="185">
        <v>1360074</v>
      </c>
      <c r="AK73" s="185"/>
      <c r="AL73" s="185">
        <v>31604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9700592-127419</f>
        <v>9573173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67221238</v>
      </c>
      <c r="CF73" s="252"/>
    </row>
    <row r="74" spans="1:84" ht="12.6" customHeight="1" x14ac:dyDescent="0.25">
      <c r="A74" s="171" t="s">
        <v>246</v>
      </c>
      <c r="B74" s="175"/>
      <c r="C74" s="184">
        <v>108811</v>
      </c>
      <c r="D74" s="184"/>
      <c r="E74" s="185">
        <f>1175212+202518</f>
        <v>1377730</v>
      </c>
      <c r="F74" s="185"/>
      <c r="G74" s="184"/>
      <c r="H74" s="184"/>
      <c r="I74" s="184"/>
      <c r="J74" s="185">
        <v>6770</v>
      </c>
      <c r="K74" s="185"/>
      <c r="L74" s="185"/>
      <c r="M74" s="184"/>
      <c r="N74" s="184"/>
      <c r="O74" s="184">
        <v>229609</v>
      </c>
      <c r="P74" s="185">
        <v>22576384</v>
      </c>
      <c r="Q74" s="185">
        <v>4404813</v>
      </c>
      <c r="R74" s="185">
        <v>5985218</v>
      </c>
      <c r="S74" s="185">
        <v>1119452</v>
      </c>
      <c r="T74" s="185"/>
      <c r="U74" s="185">
        <f>23196097+160232+5100</f>
        <v>23361429</v>
      </c>
      <c r="V74" s="185">
        <v>1247514</v>
      </c>
      <c r="W74" s="185">
        <f>8173772+5102</f>
        <v>8178874</v>
      </c>
      <c r="X74" s="185">
        <v>11936520</v>
      </c>
      <c r="Y74" s="185">
        <v>23475411</v>
      </c>
      <c r="Z74" s="185"/>
      <c r="AA74" s="185">
        <v>678731</v>
      </c>
      <c r="AB74" s="185">
        <f>14248903+1669</f>
        <v>14250572</v>
      </c>
      <c r="AC74" s="185">
        <v>1075344</v>
      </c>
      <c r="AD74" s="185"/>
      <c r="AE74" s="185">
        <f>2374490</f>
        <v>2374490</v>
      </c>
      <c r="AF74" s="185"/>
      <c r="AG74" s="185">
        <f>17552653</f>
        <v>17552653</v>
      </c>
      <c r="AH74" s="185"/>
      <c r="AI74" s="185">
        <v>2640140</v>
      </c>
      <c r="AJ74" s="185">
        <v>24615620</v>
      </c>
      <c r="AK74" s="185"/>
      <c r="AL74" s="185">
        <f>1489434+512489+2376</f>
        <v>2004299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f>52171255+594939</f>
        <v>52766194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221966578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5569496</v>
      </c>
      <c r="D75" s="195">
        <f t="shared" si="9"/>
        <v>0</v>
      </c>
      <c r="E75" s="195">
        <f t="shared" si="9"/>
        <v>14071092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1612479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3926157</v>
      </c>
      <c r="P75" s="195">
        <f t="shared" si="9"/>
        <v>31404057</v>
      </c>
      <c r="Q75" s="195">
        <f t="shared" si="9"/>
        <v>6098681</v>
      </c>
      <c r="R75" s="195">
        <f t="shared" si="9"/>
        <v>8248442</v>
      </c>
      <c r="S75" s="195">
        <f t="shared" si="9"/>
        <v>1847204</v>
      </c>
      <c r="T75" s="195">
        <f t="shared" si="9"/>
        <v>0</v>
      </c>
      <c r="U75" s="195">
        <f t="shared" si="9"/>
        <v>28983345</v>
      </c>
      <c r="V75" s="195">
        <f t="shared" si="9"/>
        <v>2608386</v>
      </c>
      <c r="W75" s="195">
        <f t="shared" si="9"/>
        <v>8431013</v>
      </c>
      <c r="X75" s="195">
        <f t="shared" si="9"/>
        <v>13951412</v>
      </c>
      <c r="Y75" s="195">
        <f t="shared" si="9"/>
        <v>26307526</v>
      </c>
      <c r="Z75" s="195">
        <f t="shared" si="9"/>
        <v>0</v>
      </c>
      <c r="AA75" s="195">
        <f t="shared" si="9"/>
        <v>743614</v>
      </c>
      <c r="AB75" s="195">
        <f t="shared" si="9"/>
        <v>18507191</v>
      </c>
      <c r="AC75" s="195">
        <f t="shared" si="9"/>
        <v>2083816</v>
      </c>
      <c r="AD75" s="195">
        <f t="shared" si="9"/>
        <v>0</v>
      </c>
      <c r="AE75" s="195">
        <f t="shared" si="9"/>
        <v>3071097</v>
      </c>
      <c r="AF75" s="195">
        <f t="shared" si="9"/>
        <v>0</v>
      </c>
      <c r="AG75" s="195">
        <f t="shared" si="9"/>
        <v>18729019</v>
      </c>
      <c r="AH75" s="195">
        <f t="shared" si="9"/>
        <v>0</v>
      </c>
      <c r="AI75" s="195">
        <f t="shared" si="9"/>
        <v>2642825</v>
      </c>
      <c r="AJ75" s="195">
        <f t="shared" si="9"/>
        <v>25975694</v>
      </c>
      <c r="AK75" s="195">
        <f t="shared" si="9"/>
        <v>0</v>
      </c>
      <c r="AL75" s="195">
        <f t="shared" si="9"/>
        <v>2035903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62339367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289187816</v>
      </c>
      <c r="CF75" s="252"/>
    </row>
    <row r="76" spans="1:84" ht="12.6" customHeight="1" x14ac:dyDescent="0.25">
      <c r="A76" s="171" t="s">
        <v>248</v>
      </c>
      <c r="B76" s="175"/>
      <c r="C76" s="184">
        <v>2235</v>
      </c>
      <c r="D76" s="184"/>
      <c r="E76" s="185">
        <v>19589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3750</v>
      </c>
      <c r="P76" s="185">
        <v>3840</v>
      </c>
      <c r="Q76" s="185">
        <v>1155</v>
      </c>
      <c r="R76" s="185"/>
      <c r="S76" s="185">
        <v>1549</v>
      </c>
      <c r="T76" s="185"/>
      <c r="U76" s="185"/>
      <c r="V76" s="185">
        <v>2569</v>
      </c>
      <c r="W76" s="185"/>
      <c r="X76" s="185"/>
      <c r="Y76" s="185">
        <v>4374</v>
      </c>
      <c r="Z76" s="185"/>
      <c r="AA76" s="185">
        <v>234</v>
      </c>
      <c r="AB76" s="185"/>
      <c r="AC76" s="185">
        <v>246</v>
      </c>
      <c r="AD76" s="185"/>
      <c r="AE76" s="185"/>
      <c r="AF76" s="185"/>
      <c r="AG76" s="185">
        <v>8072</v>
      </c>
      <c r="AH76" s="185"/>
      <c r="AI76" s="185"/>
      <c r="AJ76" s="185">
        <v>29384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627</v>
      </c>
      <c r="AW76" s="185"/>
      <c r="AX76" s="185"/>
      <c r="AY76" s="185">
        <v>3136</v>
      </c>
      <c r="AZ76" s="185"/>
      <c r="BA76" s="185">
        <v>667</v>
      </c>
      <c r="BB76" s="185">
        <v>97</v>
      </c>
      <c r="BC76" s="185"/>
      <c r="BD76" s="185"/>
      <c r="BE76" s="185">
        <v>7789</v>
      </c>
      <c r="BF76" s="185">
        <v>111</v>
      </c>
      <c r="BG76" s="185"/>
      <c r="BH76" s="185"/>
      <c r="BI76" s="185"/>
      <c r="BJ76" s="185"/>
      <c r="BK76" s="185">
        <v>2104</v>
      </c>
      <c r="BL76" s="185"/>
      <c r="BM76" s="185"/>
      <c r="BN76" s="185">
        <v>16560</v>
      </c>
      <c r="BO76" s="185"/>
      <c r="BP76" s="185"/>
      <c r="BQ76" s="185"/>
      <c r="BR76" s="185"/>
      <c r="BS76" s="185"/>
      <c r="BT76" s="185"/>
      <c r="BU76" s="185"/>
      <c r="BV76" s="185">
        <v>2657</v>
      </c>
      <c r="BW76" s="185"/>
      <c r="BX76" s="185"/>
      <c r="BY76" s="185">
        <v>187</v>
      </c>
      <c r="BZ76" s="185"/>
      <c r="CA76" s="185"/>
      <c r="CB76" s="185"/>
      <c r="CC76" s="185">
        <v>1314</v>
      </c>
      <c r="CD76" s="249" t="s">
        <v>221</v>
      </c>
      <c r="CE76" s="195">
        <f t="shared" si="8"/>
        <v>112246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6269</v>
      </c>
      <c r="D77" s="184"/>
      <c r="E77" s="184">
        <f>5501+9280</f>
        <v>14781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>
        <v>2634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23684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2330</v>
      </c>
      <c r="D78" s="184"/>
      <c r="E78" s="184">
        <f>5481+3676</f>
        <v>9157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3495</v>
      </c>
      <c r="Q78" s="184">
        <v>549</v>
      </c>
      <c r="R78" s="184"/>
      <c r="S78" s="184">
        <v>441</v>
      </c>
      <c r="T78" s="184"/>
      <c r="U78" s="184">
        <v>899</v>
      </c>
      <c r="V78" s="184">
        <v>157</v>
      </c>
      <c r="W78" s="184">
        <v>175</v>
      </c>
      <c r="X78" s="184"/>
      <c r="Y78" s="184">
        <f>978+483+175</f>
        <v>1636</v>
      </c>
      <c r="Z78" s="184"/>
      <c r="AA78" s="184"/>
      <c r="AB78" s="184">
        <v>338</v>
      </c>
      <c r="AC78" s="184">
        <f>151+338</f>
        <v>489</v>
      </c>
      <c r="AD78" s="184"/>
      <c r="AE78" s="184">
        <v>543</v>
      </c>
      <c r="AF78" s="184"/>
      <c r="AG78" s="184">
        <v>4274</v>
      </c>
      <c r="AH78" s="184"/>
      <c r="AI78" s="184">
        <v>1250</v>
      </c>
      <c r="AJ78" s="184">
        <v>10388</v>
      </c>
      <c r="AK78" s="184"/>
      <c r="AL78" s="184">
        <f>1352+133</f>
        <v>1485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1400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>
        <v>543</v>
      </c>
      <c r="BL78" s="184">
        <v>930</v>
      </c>
      <c r="BM78" s="184">
        <v>151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151</v>
      </c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40781</v>
      </c>
      <c r="CF78" s="195"/>
    </row>
    <row r="79" spans="1:84" ht="12.6" customHeight="1" x14ac:dyDescent="0.25">
      <c r="A79" s="171" t="s">
        <v>251</v>
      </c>
      <c r="B79" s="175"/>
      <c r="C79" s="225">
        <v>59008</v>
      </c>
      <c r="D79" s="225"/>
      <c r="E79" s="184">
        <f>97683+47300+2304</f>
        <v>147287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29987</v>
      </c>
      <c r="Q79" s="184">
        <v>14760</v>
      </c>
      <c r="R79" s="184"/>
      <c r="S79" s="184">
        <v>374</v>
      </c>
      <c r="T79" s="184"/>
      <c r="U79" s="184">
        <v>156</v>
      </c>
      <c r="V79" s="184">
        <v>1028</v>
      </c>
      <c r="W79" s="184">
        <v>3020</v>
      </c>
      <c r="X79" s="184">
        <v>3892</v>
      </c>
      <c r="Y79" s="184">
        <f>18154+1059+9342+1308+10089</f>
        <v>39952</v>
      </c>
      <c r="Z79" s="184"/>
      <c r="AA79" s="184"/>
      <c r="AB79" s="184"/>
      <c r="AC79" s="184"/>
      <c r="AD79" s="184"/>
      <c r="AE79" s="184"/>
      <c r="AF79" s="184"/>
      <c r="AG79" s="184">
        <v>93791</v>
      </c>
      <c r="AH79" s="184"/>
      <c r="AI79" s="184">
        <v>22171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f>1028+5356+1618</f>
        <v>8002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423428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16.940000000000001</v>
      </c>
      <c r="D80" s="187"/>
      <c r="E80" s="187">
        <v>34.01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13.11</v>
      </c>
      <c r="Q80" s="187">
        <v>3.73</v>
      </c>
      <c r="R80" s="187"/>
      <c r="S80" s="187">
        <v>2.92</v>
      </c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22.66</v>
      </c>
      <c r="AH80" s="187"/>
      <c r="AI80" s="187">
        <v>6.82</v>
      </c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100.19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2394</v>
      </c>
      <c r="D111" s="174">
        <v>6033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479</v>
      </c>
      <c r="D114" s="174">
        <v>734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7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14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802</v>
      </c>
      <c r="C138" s="189">
        <v>814</v>
      </c>
      <c r="D138" s="174">
        <v>778</v>
      </c>
      <c r="E138" s="175">
        <f>SUM(B138:D138)</f>
        <v>2394</v>
      </c>
    </row>
    <row r="139" spans="1:6" ht="12.6" customHeight="1" x14ac:dyDescent="0.25">
      <c r="A139" s="173" t="s">
        <v>215</v>
      </c>
      <c r="B139" s="174">
        <v>2021</v>
      </c>
      <c r="C139" s="189">
        <v>2051</v>
      </c>
      <c r="D139" s="174">
        <v>1961</v>
      </c>
      <c r="E139" s="175">
        <f>SUM(B139:D139)</f>
        <v>6033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30865875</v>
      </c>
      <c r="C141" s="189">
        <v>23724802</v>
      </c>
      <c r="D141" s="174">
        <v>12630562</v>
      </c>
      <c r="E141" s="175">
        <f>SUM(B141:D141)</f>
        <v>67221239</v>
      </c>
      <c r="F141" s="199"/>
    </row>
    <row r="142" spans="1:6" ht="12.6" customHeight="1" x14ac:dyDescent="0.25">
      <c r="A142" s="173" t="s">
        <v>246</v>
      </c>
      <c r="B142" s="174">
        <v>66014625</v>
      </c>
      <c r="C142" s="189">
        <v>74600380</v>
      </c>
      <c r="D142" s="174">
        <v>81351573</v>
      </c>
      <c r="E142" s="175">
        <f>SUM(B142:D142)</f>
        <v>221966578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6513798</v>
      </c>
      <c r="C157" s="174">
        <v>6877909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2527505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98409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607180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3760235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1180853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-73277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8100905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805169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1780580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2585749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603202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137551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740753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353848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892615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1029378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2275841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440956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3245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444201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1057687</v>
      </c>
      <c r="C195" s="189"/>
      <c r="D195" s="174"/>
      <c r="E195" s="175">
        <f t="shared" ref="E195:E203" si="10">SUM(B195:C195)-D195</f>
        <v>1057687</v>
      </c>
    </row>
    <row r="196" spans="1:8" ht="12.6" customHeight="1" x14ac:dyDescent="0.25">
      <c r="A196" s="173" t="s">
        <v>333</v>
      </c>
      <c r="B196" s="174">
        <v>1564552</v>
      </c>
      <c r="C196" s="189"/>
      <c r="D196" s="174"/>
      <c r="E196" s="175">
        <f t="shared" si="10"/>
        <v>1564552</v>
      </c>
    </row>
    <row r="197" spans="1:8" ht="12.6" customHeight="1" x14ac:dyDescent="0.25">
      <c r="A197" s="173" t="s">
        <v>334</v>
      </c>
      <c r="B197" s="174">
        <v>25456321</v>
      </c>
      <c r="C197" s="189">
        <v>9070</v>
      </c>
      <c r="D197" s="174"/>
      <c r="E197" s="175">
        <f t="shared" si="10"/>
        <v>25465391</v>
      </c>
    </row>
    <row r="198" spans="1:8" ht="12.6" customHeight="1" x14ac:dyDescent="0.25">
      <c r="A198" s="173" t="s">
        <v>335</v>
      </c>
      <c r="B198" s="174">
        <v>3922094</v>
      </c>
      <c r="C198" s="189"/>
      <c r="D198" s="174"/>
      <c r="E198" s="175">
        <f t="shared" si="10"/>
        <v>3922094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20175017</v>
      </c>
      <c r="C200" s="189">
        <v>514479</v>
      </c>
      <c r="D200" s="174">
        <v>1787789</v>
      </c>
      <c r="E200" s="175">
        <f t="shared" si="10"/>
        <v>18901707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114060</v>
      </c>
      <c r="C202" s="189"/>
      <c r="D202" s="174"/>
      <c r="E202" s="175">
        <f t="shared" si="10"/>
        <v>114060</v>
      </c>
    </row>
    <row r="203" spans="1:8" ht="12.6" customHeight="1" x14ac:dyDescent="0.25">
      <c r="A203" s="173" t="s">
        <v>340</v>
      </c>
      <c r="B203" s="174">
        <v>12859067</v>
      </c>
      <c r="C203" s="189">
        <v>7065371</v>
      </c>
      <c r="D203" s="174"/>
      <c r="E203" s="175">
        <f t="shared" si="10"/>
        <v>19924438</v>
      </c>
    </row>
    <row r="204" spans="1:8" ht="12.6" customHeight="1" x14ac:dyDescent="0.25">
      <c r="A204" s="173" t="s">
        <v>203</v>
      </c>
      <c r="B204" s="175">
        <f>SUM(B195:B203)</f>
        <v>65148798</v>
      </c>
      <c r="C204" s="191">
        <f>SUM(C195:C203)</f>
        <v>7588920</v>
      </c>
      <c r="D204" s="175">
        <f>SUM(D195:D203)</f>
        <v>1787789</v>
      </c>
      <c r="E204" s="175">
        <f>SUM(E195:E203)</f>
        <v>70949929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1197374</v>
      </c>
      <c r="C209" s="189">
        <v>36533</v>
      </c>
      <c r="D209" s="174"/>
      <c r="E209" s="175">
        <f t="shared" ref="E209:E216" si="11">SUM(B209:C209)-D209</f>
        <v>1233907</v>
      </c>
      <c r="H209" s="259"/>
    </row>
    <row r="210" spans="1:8" ht="12.6" customHeight="1" x14ac:dyDescent="0.25">
      <c r="A210" s="173" t="s">
        <v>334</v>
      </c>
      <c r="B210" s="174">
        <v>13416150</v>
      </c>
      <c r="C210" s="189">
        <v>790187</v>
      </c>
      <c r="D210" s="174"/>
      <c r="E210" s="175">
        <f t="shared" si="11"/>
        <v>14206337</v>
      </c>
      <c r="H210" s="259"/>
    </row>
    <row r="211" spans="1:8" ht="12.6" customHeight="1" x14ac:dyDescent="0.25">
      <c r="A211" s="173" t="s">
        <v>335</v>
      </c>
      <c r="B211" s="174">
        <v>1981067</v>
      </c>
      <c r="C211" s="189">
        <v>263126</v>
      </c>
      <c r="D211" s="174"/>
      <c r="E211" s="175">
        <f t="shared" si="11"/>
        <v>2244193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16118971</v>
      </c>
      <c r="C213" s="189">
        <v>2166715</v>
      </c>
      <c r="D213" s="174">
        <v>1206243</v>
      </c>
      <c r="E213" s="175">
        <f t="shared" si="11"/>
        <v>17079443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256285</v>
      </c>
      <c r="C215" s="189"/>
      <c r="D215" s="174"/>
      <c r="E215" s="175">
        <f t="shared" si="11"/>
        <v>256285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32969847</v>
      </c>
      <c r="C217" s="191">
        <f>SUM(C208:C216)</f>
        <v>3256561</v>
      </c>
      <c r="D217" s="175">
        <f>SUM(D208:D216)</f>
        <v>1206243</v>
      </c>
      <c r="E217" s="175">
        <f>SUM(E208:E216)</f>
        <v>35020165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-1588864</v>
      </c>
      <c r="D221" s="172">
        <f>C221</f>
        <v>-1588864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60936652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61845340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7537564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181895609-C223-C224-C225</f>
        <v>51576053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181895609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4396039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4396039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184702784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3855217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92068520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63379610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16619433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1883190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411506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51458256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1057687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1564552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25465391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3922094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18901707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114060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19924438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70949929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35020165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35929764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571123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571123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2917270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2917270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90876413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16566895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3948650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8599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20524144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6644362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7193765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52438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13890565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13890565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56461704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90876413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90876413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67221238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221966578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289187816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-1588864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181895609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4396039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184702784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104485032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616559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616559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105101591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38292898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8100905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2426047+2533769+745558</f>
        <v>5705374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13440375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1284650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23243574</f>
        <v>23243574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3256561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2585749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740753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/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444201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2275841+282365</f>
        <v>2558206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99653246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5448345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-19398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5428947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5428947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Astria Sunnyside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2394</v>
      </c>
      <c r="C414" s="194">
        <f>E138</f>
        <v>2394</v>
      </c>
      <c r="D414" s="179"/>
    </row>
    <row r="415" spans="1:5" ht="12.6" customHeight="1" x14ac:dyDescent="0.25">
      <c r="A415" s="179" t="s">
        <v>464</v>
      </c>
      <c r="B415" s="179">
        <f>D111</f>
        <v>6033</v>
      </c>
      <c r="C415" s="179">
        <f>E139</f>
        <v>6033</v>
      </c>
      <c r="D415" s="194">
        <f>SUM(C59:H59)+N59</f>
        <v>6033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479</v>
      </c>
    </row>
    <row r="424" spans="1:7" ht="12.6" customHeight="1" x14ac:dyDescent="0.25">
      <c r="A424" s="179" t="s">
        <v>1244</v>
      </c>
      <c r="B424" s="179">
        <f>D114</f>
        <v>734</v>
      </c>
      <c r="D424" s="179">
        <f>J59</f>
        <v>734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38292898</v>
      </c>
      <c r="C427" s="179">
        <f t="shared" ref="C427:C434" si="13">CE61</f>
        <v>38292896</v>
      </c>
      <c r="D427" s="179"/>
    </row>
    <row r="428" spans="1:7" ht="12.6" customHeight="1" x14ac:dyDescent="0.25">
      <c r="A428" s="179" t="s">
        <v>3</v>
      </c>
      <c r="B428" s="179">
        <f t="shared" si="12"/>
        <v>8100905</v>
      </c>
      <c r="C428" s="179">
        <f t="shared" si="13"/>
        <v>8100905</v>
      </c>
      <c r="D428" s="179">
        <f>D173</f>
        <v>8100905</v>
      </c>
    </row>
    <row r="429" spans="1:7" ht="12.6" customHeight="1" x14ac:dyDescent="0.25">
      <c r="A429" s="179" t="s">
        <v>236</v>
      </c>
      <c r="B429" s="179">
        <f t="shared" si="12"/>
        <v>5705374</v>
      </c>
      <c r="C429" s="179">
        <f t="shared" si="13"/>
        <v>5705374</v>
      </c>
      <c r="D429" s="179"/>
    </row>
    <row r="430" spans="1:7" ht="12.6" customHeight="1" x14ac:dyDescent="0.25">
      <c r="A430" s="179" t="s">
        <v>237</v>
      </c>
      <c r="B430" s="179">
        <f t="shared" si="12"/>
        <v>13440375</v>
      </c>
      <c r="C430" s="179">
        <f t="shared" si="13"/>
        <v>13440375</v>
      </c>
      <c r="D430" s="179"/>
    </row>
    <row r="431" spans="1:7" ht="12.6" customHeight="1" x14ac:dyDescent="0.25">
      <c r="A431" s="179" t="s">
        <v>444</v>
      </c>
      <c r="B431" s="179">
        <f t="shared" si="12"/>
        <v>1284650</v>
      </c>
      <c r="C431" s="179">
        <f t="shared" si="13"/>
        <v>1284650</v>
      </c>
      <c r="D431" s="179"/>
    </row>
    <row r="432" spans="1:7" ht="12.6" customHeight="1" x14ac:dyDescent="0.25">
      <c r="A432" s="179" t="s">
        <v>445</v>
      </c>
      <c r="B432" s="179">
        <f t="shared" si="12"/>
        <v>23243574</v>
      </c>
      <c r="C432" s="179">
        <f t="shared" si="13"/>
        <v>23240782</v>
      </c>
      <c r="D432" s="179"/>
    </row>
    <row r="433" spans="1:7" ht="12.6" customHeight="1" x14ac:dyDescent="0.25">
      <c r="A433" s="179" t="s">
        <v>6</v>
      </c>
      <c r="B433" s="179">
        <f t="shared" si="12"/>
        <v>3256561</v>
      </c>
      <c r="C433" s="179">
        <f t="shared" si="13"/>
        <v>2832560</v>
      </c>
      <c r="D433" s="179">
        <f>C217</f>
        <v>3256561</v>
      </c>
    </row>
    <row r="434" spans="1:7" ht="12.6" customHeight="1" x14ac:dyDescent="0.25">
      <c r="A434" s="179" t="s">
        <v>474</v>
      </c>
      <c r="B434" s="179">
        <f t="shared" si="12"/>
        <v>2585749</v>
      </c>
      <c r="C434" s="179">
        <f t="shared" si="13"/>
        <v>2585747</v>
      </c>
      <c r="D434" s="179">
        <f>D177</f>
        <v>2585749</v>
      </c>
    </row>
    <row r="435" spans="1:7" ht="12.6" customHeight="1" x14ac:dyDescent="0.25">
      <c r="A435" s="179" t="s">
        <v>447</v>
      </c>
      <c r="B435" s="179">
        <f t="shared" si="12"/>
        <v>740753</v>
      </c>
      <c r="C435" s="179"/>
      <c r="D435" s="179">
        <f>D181</f>
        <v>740753</v>
      </c>
    </row>
    <row r="436" spans="1:7" ht="12.6" customHeight="1" x14ac:dyDescent="0.25">
      <c r="A436" s="179" t="s">
        <v>475</v>
      </c>
      <c r="B436" s="179">
        <f t="shared" si="12"/>
        <v>0</v>
      </c>
      <c r="C436" s="179"/>
      <c r="D436" s="179">
        <f>D186</f>
        <v>2275841</v>
      </c>
    </row>
    <row r="437" spans="1:7" ht="12.6" customHeight="1" x14ac:dyDescent="0.25">
      <c r="A437" s="194" t="s">
        <v>449</v>
      </c>
      <c r="B437" s="194">
        <f t="shared" si="12"/>
        <v>444201</v>
      </c>
      <c r="C437" s="194"/>
      <c r="D437" s="194">
        <f>D190</f>
        <v>444201</v>
      </c>
    </row>
    <row r="438" spans="1:7" ht="12.6" customHeight="1" x14ac:dyDescent="0.25">
      <c r="A438" s="194" t="s">
        <v>476</v>
      </c>
      <c r="B438" s="194">
        <f>C386+C387+C388</f>
        <v>1184954</v>
      </c>
      <c r="C438" s="194">
        <f>CD69</f>
        <v>1142978</v>
      </c>
      <c r="D438" s="194">
        <f>D181+D186+D190</f>
        <v>3460795</v>
      </c>
    </row>
    <row r="439" spans="1:7" ht="12.6" customHeight="1" x14ac:dyDescent="0.25">
      <c r="A439" s="179" t="s">
        <v>451</v>
      </c>
      <c r="B439" s="194">
        <f>C389</f>
        <v>2558206</v>
      </c>
      <c r="C439" s="194">
        <f>SUM(C69:CC69)</f>
        <v>1124518</v>
      </c>
      <c r="D439" s="179"/>
    </row>
    <row r="440" spans="1:7" ht="12.6" customHeight="1" x14ac:dyDescent="0.25">
      <c r="A440" s="179" t="s">
        <v>477</v>
      </c>
      <c r="B440" s="194">
        <f>B438+B439</f>
        <v>3743160</v>
      </c>
      <c r="C440" s="194">
        <f>CE69</f>
        <v>2267496</v>
      </c>
      <c r="D440" s="179"/>
    </row>
    <row r="441" spans="1:7" ht="12.6" customHeight="1" x14ac:dyDescent="0.25">
      <c r="A441" s="179" t="s">
        <v>478</v>
      </c>
      <c r="B441" s="179">
        <f>D390</f>
        <v>99653246</v>
      </c>
      <c r="C441" s="179">
        <f>SUM(C427:C437)+C440</f>
        <v>97750785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-1588864</v>
      </c>
      <c r="C444" s="179">
        <f>C363</f>
        <v>-1588864</v>
      </c>
      <c r="D444" s="179"/>
    </row>
    <row r="445" spans="1:7" ht="12.6" customHeight="1" x14ac:dyDescent="0.25">
      <c r="A445" s="179" t="s">
        <v>343</v>
      </c>
      <c r="B445" s="179">
        <f>D229</f>
        <v>181895609</v>
      </c>
      <c r="C445" s="179">
        <f>C364</f>
        <v>181895609</v>
      </c>
      <c r="D445" s="179"/>
    </row>
    <row r="446" spans="1:7" ht="12.6" customHeight="1" x14ac:dyDescent="0.25">
      <c r="A446" s="179" t="s">
        <v>351</v>
      </c>
      <c r="B446" s="179">
        <f>D236</f>
        <v>4396039</v>
      </c>
      <c r="C446" s="179">
        <f>C365</f>
        <v>4396039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184702784</v>
      </c>
      <c r="C448" s="179">
        <f>D367</f>
        <v>184702784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4396039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616559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67221238</v>
      </c>
      <c r="C463" s="194">
        <f>CE73</f>
        <v>67221238</v>
      </c>
      <c r="D463" s="194">
        <f>E141+E147+E153</f>
        <v>67221239</v>
      </c>
    </row>
    <row r="464" spans="1:7" ht="12.6" customHeight="1" x14ac:dyDescent="0.25">
      <c r="A464" s="179" t="s">
        <v>246</v>
      </c>
      <c r="B464" s="194">
        <f>C360</f>
        <v>221966578</v>
      </c>
      <c r="C464" s="194">
        <f>CE74</f>
        <v>221966578</v>
      </c>
      <c r="D464" s="194">
        <f>E142+E148+E154</f>
        <v>221966578</v>
      </c>
    </row>
    <row r="465" spans="1:7" ht="12.6" customHeight="1" x14ac:dyDescent="0.25">
      <c r="A465" s="179" t="s">
        <v>247</v>
      </c>
      <c r="B465" s="194">
        <f>D361</f>
        <v>289187816</v>
      </c>
      <c r="C465" s="194">
        <f>CE75</f>
        <v>289187816</v>
      </c>
      <c r="D465" s="194">
        <f>D463+D464</f>
        <v>289187817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1057687</v>
      </c>
      <c r="C468" s="179">
        <f>E195</f>
        <v>1057687</v>
      </c>
      <c r="D468" s="179"/>
    </row>
    <row r="469" spans="1:7" ht="12.6" customHeight="1" x14ac:dyDescent="0.25">
      <c r="A469" s="179" t="s">
        <v>333</v>
      </c>
      <c r="B469" s="179">
        <f t="shared" si="14"/>
        <v>1564552</v>
      </c>
      <c r="C469" s="179">
        <f>E196</f>
        <v>1564552</v>
      </c>
      <c r="D469" s="179"/>
    </row>
    <row r="470" spans="1:7" ht="12.6" customHeight="1" x14ac:dyDescent="0.25">
      <c r="A470" s="179" t="s">
        <v>334</v>
      </c>
      <c r="B470" s="179">
        <f t="shared" si="14"/>
        <v>25465391</v>
      </c>
      <c r="C470" s="179">
        <f>E197</f>
        <v>25465391</v>
      </c>
      <c r="D470" s="179"/>
    </row>
    <row r="471" spans="1:7" ht="12.6" customHeight="1" x14ac:dyDescent="0.25">
      <c r="A471" s="179" t="s">
        <v>494</v>
      </c>
      <c r="B471" s="179">
        <f t="shared" si="14"/>
        <v>3922094</v>
      </c>
      <c r="C471" s="179">
        <f>E198</f>
        <v>3922094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18901707</v>
      </c>
      <c r="C473" s="179">
        <f>SUM(E200:E201)</f>
        <v>18901707</v>
      </c>
      <c r="D473" s="179"/>
    </row>
    <row r="474" spans="1:7" ht="12.6" customHeight="1" x14ac:dyDescent="0.25">
      <c r="A474" s="179" t="s">
        <v>339</v>
      </c>
      <c r="B474" s="179">
        <f t="shared" si="14"/>
        <v>114060</v>
      </c>
      <c r="C474" s="179">
        <f>E202</f>
        <v>114060</v>
      </c>
      <c r="D474" s="179"/>
    </row>
    <row r="475" spans="1:7" ht="12.6" customHeight="1" x14ac:dyDescent="0.25">
      <c r="A475" s="179" t="s">
        <v>340</v>
      </c>
      <c r="B475" s="179">
        <f t="shared" si="14"/>
        <v>19924438</v>
      </c>
      <c r="C475" s="179">
        <f>E203</f>
        <v>19924438</v>
      </c>
      <c r="D475" s="179"/>
    </row>
    <row r="476" spans="1:7" ht="12.6" customHeight="1" x14ac:dyDescent="0.25">
      <c r="A476" s="179" t="s">
        <v>203</v>
      </c>
      <c r="B476" s="179">
        <f>D275</f>
        <v>70949929</v>
      </c>
      <c r="C476" s="179">
        <f>E204</f>
        <v>70949929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35020165</v>
      </c>
      <c r="C478" s="179">
        <f>E217</f>
        <v>35020165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90876413</v>
      </c>
    </row>
    <row r="482" spans="1:12" ht="12.6" customHeight="1" x14ac:dyDescent="0.25">
      <c r="A482" s="180" t="s">
        <v>499</v>
      </c>
      <c r="C482" s="180">
        <f>D339</f>
        <v>90876413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198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2169342</v>
      </c>
      <c r="C496" s="240">
        <f>C71</f>
        <v>2384127</v>
      </c>
      <c r="D496" s="240">
        <v>1359</v>
      </c>
      <c r="E496" s="180">
        <f>C59</f>
        <v>1221</v>
      </c>
      <c r="F496" s="263">
        <f t="shared" ref="F496:G511" si="15">IF(B496=0,"",IF(D496=0,"",B496/D496))</f>
        <v>1596.2781456953642</v>
      </c>
      <c r="G496" s="264">
        <f t="shared" si="15"/>
        <v>1952.6019656019655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5402773</v>
      </c>
      <c r="C498" s="240">
        <f>E71</f>
        <v>5296726</v>
      </c>
      <c r="D498" s="240">
        <v>4997</v>
      </c>
      <c r="E498" s="180">
        <f>E59</f>
        <v>4812</v>
      </c>
      <c r="F498" s="263">
        <f t="shared" si="15"/>
        <v>1081.2033219931959</v>
      </c>
      <c r="G498" s="263">
        <f t="shared" si="15"/>
        <v>1100.7327514546967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808</v>
      </c>
      <c r="E503" s="180">
        <f>J59</f>
        <v>734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11065</v>
      </c>
      <c r="C508" s="240">
        <f>O71</f>
        <v>94632</v>
      </c>
      <c r="D508" s="240">
        <v>528</v>
      </c>
      <c r="E508" s="180">
        <f>O59</f>
        <v>479</v>
      </c>
      <c r="F508" s="263">
        <f t="shared" si="15"/>
        <v>20.956439393939394</v>
      </c>
      <c r="G508" s="263">
        <f t="shared" si="15"/>
        <v>197.5615866388309</v>
      </c>
      <c r="H508" s="265">
        <f t="shared" si="16"/>
        <v>8.4272496832627848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2806863</v>
      </c>
      <c r="C509" s="240">
        <f>P71</f>
        <v>2787776</v>
      </c>
      <c r="D509" s="240">
        <v>202220</v>
      </c>
      <c r="E509" s="180">
        <f>P59</f>
        <v>194937</v>
      </c>
      <c r="F509" s="263">
        <f t="shared" si="15"/>
        <v>13.880244288398774</v>
      </c>
      <c r="G509" s="263">
        <f t="shared" si="15"/>
        <v>14.300907472670657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520384</v>
      </c>
      <c r="C510" s="240">
        <f>Q71</f>
        <v>575038</v>
      </c>
      <c r="D510" s="240">
        <v>110180</v>
      </c>
      <c r="E510" s="180">
        <f>Q59</f>
        <v>0</v>
      </c>
      <c r="F510" s="263">
        <f t="shared" si="15"/>
        <v>4.7230350335814126</v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1200088</v>
      </c>
      <c r="C511" s="240">
        <f>R71</f>
        <v>935635</v>
      </c>
      <c r="D511" s="240">
        <v>202319</v>
      </c>
      <c r="E511" s="180">
        <f>R59</f>
        <v>0</v>
      </c>
      <c r="F511" s="263">
        <f t="shared" si="15"/>
        <v>5.9316623747646045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330567</v>
      </c>
      <c r="C512" s="240">
        <f>S71</f>
        <v>261882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79888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3996014</v>
      </c>
      <c r="C514" s="240">
        <f>U71</f>
        <v>3556954</v>
      </c>
      <c r="D514" s="240">
        <v>196133</v>
      </c>
      <c r="E514" s="180">
        <f>U59</f>
        <v>189775</v>
      </c>
      <c r="F514" s="263">
        <f t="shared" si="17"/>
        <v>20.374001315433915</v>
      </c>
      <c r="G514" s="263">
        <f t="shared" si="17"/>
        <v>18.743006191542616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239668</v>
      </c>
      <c r="C515" s="240">
        <f>V71</f>
        <v>247301</v>
      </c>
      <c r="D515" s="240">
        <v>1148</v>
      </c>
      <c r="E515" s="180">
        <f>V59</f>
        <v>931</v>
      </c>
      <c r="F515" s="263">
        <f t="shared" si="17"/>
        <v>208.77003484320556</v>
      </c>
      <c r="G515" s="263">
        <f t="shared" si="17"/>
        <v>265.62943071965628</v>
      </c>
      <c r="H515" s="265">
        <f t="shared" si="16"/>
        <v>0.27235420025270551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644636</v>
      </c>
      <c r="C516" s="240">
        <f>W71</f>
        <v>293012</v>
      </c>
      <c r="D516" s="240">
        <v>1792</v>
      </c>
      <c r="E516" s="180">
        <f>W59</f>
        <v>1624</v>
      </c>
      <c r="F516" s="263">
        <f t="shared" si="17"/>
        <v>359.72991071428572</v>
      </c>
      <c r="G516" s="263">
        <f t="shared" si="17"/>
        <v>180.42610837438423</v>
      </c>
      <c r="H516" s="265">
        <f t="shared" si="16"/>
        <v>-0.49844007128535095</v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414243</v>
      </c>
      <c r="C517" s="240">
        <f>X71</f>
        <v>149315</v>
      </c>
      <c r="D517" s="240">
        <v>4775</v>
      </c>
      <c r="E517" s="180">
        <f>X59</f>
        <v>4652</v>
      </c>
      <c r="F517" s="263">
        <f t="shared" si="17"/>
        <v>86.752460732984289</v>
      </c>
      <c r="G517" s="263">
        <f t="shared" si="17"/>
        <v>32.096947549441097</v>
      </c>
      <c r="H517" s="265">
        <f t="shared" si="16"/>
        <v>-0.63001686317311034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6792128</v>
      </c>
      <c r="C518" s="240">
        <f>Y71</f>
        <v>5743010</v>
      </c>
      <c r="D518" s="240">
        <v>69921</v>
      </c>
      <c r="E518" s="180">
        <f>Y59</f>
        <v>59745</v>
      </c>
      <c r="F518" s="263">
        <f t="shared" si="17"/>
        <v>97.1400294618212</v>
      </c>
      <c r="G518" s="263">
        <f t="shared" si="17"/>
        <v>96.125366139425893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294241</v>
      </c>
      <c r="C520" s="240">
        <f>AA71</f>
        <v>249184</v>
      </c>
      <c r="D520" s="240">
        <v>431</v>
      </c>
      <c r="E520" s="180">
        <f>AA59</f>
        <v>412</v>
      </c>
      <c r="F520" s="263">
        <f t="shared" si="17"/>
        <v>682.69373549883994</v>
      </c>
      <c r="G520" s="263">
        <f t="shared" si="17"/>
        <v>604.81553398058247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3517732</v>
      </c>
      <c r="C521" s="240">
        <f>AB71</f>
        <v>4562826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926143</v>
      </c>
      <c r="C522" s="240">
        <f>AC71</f>
        <v>801514</v>
      </c>
      <c r="D522" s="240">
        <v>16700</v>
      </c>
      <c r="E522" s="180">
        <f>AC59</f>
        <v>16776</v>
      </c>
      <c r="F522" s="263">
        <f t="shared" si="17"/>
        <v>55.45766467065868</v>
      </c>
      <c r="G522" s="263">
        <f t="shared" si="17"/>
        <v>47.777420123986644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592955</v>
      </c>
      <c r="C524" s="240">
        <f>AE71</f>
        <v>813166</v>
      </c>
      <c r="D524" s="240">
        <v>19000</v>
      </c>
      <c r="E524" s="180">
        <f>AE59</f>
        <v>19976</v>
      </c>
      <c r="F524" s="263">
        <f t="shared" si="17"/>
        <v>31.208157894736843</v>
      </c>
      <c r="G524" s="263">
        <f t="shared" si="17"/>
        <v>40.707148578293953</v>
      </c>
      <c r="H524" s="265">
        <f t="shared" si="16"/>
        <v>0.30437524430620377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5590208</v>
      </c>
      <c r="C526" s="240">
        <f>AG71</f>
        <v>6184555</v>
      </c>
      <c r="D526" s="240">
        <v>18323</v>
      </c>
      <c r="E526" s="180">
        <f>AG59</f>
        <v>18770</v>
      </c>
      <c r="F526" s="263">
        <f t="shared" si="17"/>
        <v>305.09239753315507</v>
      </c>
      <c r="G526" s="263">
        <f t="shared" si="17"/>
        <v>329.49147575919022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953072</v>
      </c>
      <c r="C528" s="240">
        <f>AI71</f>
        <v>854499</v>
      </c>
      <c r="D528" s="240">
        <v>3749</v>
      </c>
      <c r="E528" s="180">
        <f>AI59</f>
        <v>1514</v>
      </c>
      <c r="F528" s="263">
        <f t="shared" ref="F528:G540" si="18">IF(B528=0,"",IF(D528=0,"",B528/D528))</f>
        <v>254.22032542011203</v>
      </c>
      <c r="G528" s="263">
        <f t="shared" si="18"/>
        <v>564.39828269484804</v>
      </c>
      <c r="H528" s="265">
        <f t="shared" si="16"/>
        <v>1.2201147046844154</v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18526415</v>
      </c>
      <c r="C529" s="240">
        <f>AJ71</f>
        <v>19193868</v>
      </c>
      <c r="D529" s="240">
        <v>83623</v>
      </c>
      <c r="E529" s="180">
        <f>AJ59</f>
        <v>68650</v>
      </c>
      <c r="F529" s="263">
        <f t="shared" si="18"/>
        <v>221.54688303457183</v>
      </c>
      <c r="G529" s="263">
        <f t="shared" si="18"/>
        <v>279.59021121631463</v>
      </c>
      <c r="H529" s="265">
        <f t="shared" si="16"/>
        <v>0.26199117490037205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1134837</v>
      </c>
      <c r="C531" s="240">
        <f>AL71</f>
        <v>892922</v>
      </c>
      <c r="D531" s="240">
        <v>11537</v>
      </c>
      <c r="E531" s="180">
        <f>AL59</f>
        <v>8245</v>
      </c>
      <c r="F531" s="263">
        <f t="shared" si="18"/>
        <v>98.364999566611772</v>
      </c>
      <c r="G531" s="263">
        <f t="shared" si="18"/>
        <v>108.298605215282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19770</v>
      </c>
      <c r="E534" s="180">
        <f>AO59</f>
        <v>23139.35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10207275</v>
      </c>
      <c r="C541" s="240">
        <f>AV71</f>
        <v>11882845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920150</v>
      </c>
      <c r="C544" s="240">
        <f>AY71</f>
        <v>956801</v>
      </c>
      <c r="D544" s="240">
        <v>26168</v>
      </c>
      <c r="E544" s="180">
        <f>AY59</f>
        <v>23684</v>
      </c>
      <c r="F544" s="263">
        <f t="shared" ref="F544:G550" si="19">IF(B544=0,"",IF(D544=0,"",B544/D544))</f>
        <v>35.163176398654848</v>
      </c>
      <c r="G544" s="263">
        <f t="shared" si="19"/>
        <v>40.398623543320383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524905</v>
      </c>
      <c r="C546" s="240">
        <f>BA71</f>
        <v>544473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195913</v>
      </c>
      <c r="C547" s="240">
        <f>BB71</f>
        <v>210052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5481819</v>
      </c>
      <c r="C549" s="240">
        <f>BD71</f>
        <v>2764717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2070277</v>
      </c>
      <c r="C550" s="240">
        <f>BE71</f>
        <v>2071526</v>
      </c>
      <c r="D550" s="240">
        <v>112246</v>
      </c>
      <c r="E550" s="180">
        <f>BE59</f>
        <v>112246</v>
      </c>
      <c r="F550" s="263">
        <f t="shared" si="19"/>
        <v>18.444104912424496</v>
      </c>
      <c r="G550" s="263">
        <f t="shared" si="19"/>
        <v>18.455232257719651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1228489</v>
      </c>
      <c r="C551" s="240">
        <f>BF71</f>
        <v>1184391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635833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3082856</v>
      </c>
      <c r="C553" s="240">
        <f>BH71</f>
        <v>3253206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3704</v>
      </c>
      <c r="C554" s="240">
        <f>BI71</f>
        <v>80696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2333237</v>
      </c>
      <c r="C556" s="240">
        <f>BK71</f>
        <v>3020175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1038649</v>
      </c>
      <c r="C557" s="240">
        <f>BL71</f>
        <v>1043890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591162</v>
      </c>
      <c r="C558" s="240">
        <f>BM71</f>
        <v>528116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7528944</v>
      </c>
      <c r="C559" s="240">
        <f>BN71</f>
        <v>9435901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63325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166739</v>
      </c>
      <c r="C562" s="240">
        <f>BQ71</f>
        <v>191874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725151</v>
      </c>
      <c r="C563" s="240">
        <f>BR71</f>
        <v>585559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884840</v>
      </c>
      <c r="C567" s="240">
        <f>BV71</f>
        <v>764285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200680</v>
      </c>
      <c r="C568" s="240">
        <f>BW71</f>
        <v>42503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1877943</v>
      </c>
      <c r="C570" s="240">
        <f>BY71</f>
        <v>994387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1109978</v>
      </c>
      <c r="C574" s="240">
        <f>CC71</f>
        <v>1111143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694474</v>
      </c>
      <c r="C575" s="240">
        <f>CD71</f>
        <v>1142978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104457</v>
      </c>
      <c r="E612" s="180">
        <f>SUM(C624:D647)+SUM(C668:D713)</f>
        <v>86398497.058100462</v>
      </c>
      <c r="F612" s="180">
        <f>CE64-(AX64+BD64+BE64+BG64+BJ64+BN64+BP64+BQ64+CB64+CC64+CD64)</f>
        <v>10874652</v>
      </c>
      <c r="G612" s="180">
        <f>CE77-(AX77+AY77+BD77+BE77+BG77+BJ77+BN77+BP77+BQ77+CB77+CC77+CD77)</f>
        <v>23684</v>
      </c>
      <c r="H612" s="197">
        <f>CE60-(AX60+AY60+AZ60+BD60+BE60+BG60+BJ60+BN60+BO60+BP60+BQ60+BR60+CB60+CC60+CD60)</f>
        <v>445.46000000000004</v>
      </c>
      <c r="I612" s="180">
        <f>CE78-(AX78+AY78+AZ78+BD78+BE78+BF78+BG78+BJ78+BN78+BO78+BP78+BQ78+BR78+CB78+CC78+CD78)</f>
        <v>40781</v>
      </c>
      <c r="J612" s="180">
        <f>CE79-(AX79+AY79+AZ79+BA79+BD79+BE79+BF79+BG79+BJ79+BN79+BO79+BP79+BQ79+BR79+CB79+CC79+CD79)</f>
        <v>423428</v>
      </c>
      <c r="K612" s="180">
        <f>CE75-(AW75+AX75+AY75+AZ75+BA75+BB75+BC75+BD75+BE75+BF75+BG75+BH75+BI75+BJ75+BK75+BL75+BM75+BN75+BO75+BP75+BQ75+BR75+BS75+BT75+BU75+BV75+BW75+BX75+CB75+CC75+CD75)</f>
        <v>289187816</v>
      </c>
      <c r="L612" s="197">
        <f>CE80-(AW80+AX80+AY80+AZ80+BA80+BB80+BC80+BD80+BE80+BF80+BG80+BH80+BI80+BJ80+BK80+BL80+BM80+BN80+BO80+BP80+BQ80+BR80+BS80+BT80+BU80+BV80+BW80+BX80+BY80+BZ80+CA80+CB80+CC80+CD80)</f>
        <v>100.19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2071526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1142978</v>
      </c>
      <c r="D615" s="266">
        <f>SUM(C614:C615)</f>
        <v>3214504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9435901</v>
      </c>
      <c r="D619" s="180">
        <f>(D615/D612)*BN76</f>
        <v>509608.60679514054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1111143</v>
      </c>
      <c r="D620" s="180">
        <f>(D615/D612)*CC76</f>
        <v>40436.335104397025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63325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191874</v>
      </c>
      <c r="D623" s="180">
        <f>(D615/D612)*BQ76</f>
        <v>0</v>
      </c>
      <c r="E623" s="180">
        <f>SUM(C616:D623)</f>
        <v>11352287.941899536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2764717</v>
      </c>
      <c r="D624" s="180">
        <f>(D615/D612)*BD76</f>
        <v>0</v>
      </c>
      <c r="E624" s="180">
        <f>(E623/E612)*SUM(C624:D624)</f>
        <v>363268.62770261598</v>
      </c>
      <c r="F624" s="180">
        <f>SUM(C624:E624)</f>
        <v>3127985.6277026162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956801</v>
      </c>
      <c r="D625" s="180">
        <f>(D615/D612)*AY76</f>
        <v>96505.591238500041</v>
      </c>
      <c r="E625" s="180">
        <f>(E623/E612)*SUM(C625:D625)</f>
        <v>138398.70046349417</v>
      </c>
      <c r="F625" s="180">
        <f>(F624/F612)*AY64</f>
        <v>120146.68062206746</v>
      </c>
      <c r="G625" s="180">
        <f>SUM(C625:F625)</f>
        <v>1311851.9723240619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585559</v>
      </c>
      <c r="D626" s="180">
        <f>(D615/D612)*BR76</f>
        <v>0</v>
      </c>
      <c r="E626" s="180">
        <f>(E623/E612)*SUM(C626:D626)</f>
        <v>76939.236228849506</v>
      </c>
      <c r="F626" s="180">
        <f>(F624/F612)*BR64</f>
        <v>1347.0184328226183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663845.25466167217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1184391</v>
      </c>
      <c r="D629" s="180">
        <f>(D615/D612)*BF76</f>
        <v>3415.8547919239495</v>
      </c>
      <c r="E629" s="180">
        <f>(E623/E612)*SUM(C629:D629)</f>
        <v>156071.29630845497</v>
      </c>
      <c r="F629" s="180">
        <f>(F624/F612)*BF64</f>
        <v>40756.583985038487</v>
      </c>
      <c r="G629" s="180">
        <f>(G625/G612)*BF77</f>
        <v>0</v>
      </c>
      <c r="H629" s="180">
        <f>(H628/H612)*BF60</f>
        <v>40132.341193460306</v>
      </c>
      <c r="I629" s="180">
        <f>SUM(C629:H629)</f>
        <v>1424767.0762788779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544473</v>
      </c>
      <c r="D630" s="180">
        <f>(D615/D612)*BA76</f>
        <v>20525.902218137606</v>
      </c>
      <c r="E630" s="180">
        <f>(E623/E612)*SUM(C630:D630)</f>
        <v>74237.752313262943</v>
      </c>
      <c r="F630" s="180">
        <f>(F624/F612)*BA64</f>
        <v>2737.1828756651794</v>
      </c>
      <c r="G630" s="180">
        <f>(G625/G612)*BA77</f>
        <v>0</v>
      </c>
      <c r="H630" s="180">
        <f>(H628/H612)*BA60</f>
        <v>1117.6849571145649</v>
      </c>
      <c r="I630" s="180">
        <f>(I629/I612)*BA78</f>
        <v>0</v>
      </c>
      <c r="J630" s="180">
        <f>SUM(C630:I630)</f>
        <v>643091.52236418019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210052</v>
      </c>
      <c r="D632" s="180">
        <f>(D615/D612)*BB76</f>
        <v>2985.026259609217</v>
      </c>
      <c r="E632" s="180">
        <f>(E623/E612)*SUM(C632:D632)</f>
        <v>27991.89507612331</v>
      </c>
      <c r="F632" s="180">
        <f>(F624/F612)*BB64</f>
        <v>77.950458102696885</v>
      </c>
      <c r="G632" s="180">
        <f>(G625/G612)*BB77</f>
        <v>0</v>
      </c>
      <c r="H632" s="180">
        <f>(H628/H612)*BB60</f>
        <v>2980.4932189721731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80696</v>
      </c>
      <c r="D634" s="180">
        <f>(D615/D612)*BI76</f>
        <v>0</v>
      </c>
      <c r="E634" s="180">
        <f>(E623/E612)*SUM(C634:D634)</f>
        <v>10603.011151264416</v>
      </c>
      <c r="F634" s="180">
        <f>(F624/F612)*BI64</f>
        <v>973.661626116712</v>
      </c>
      <c r="G634" s="180">
        <f>(G625/G612)*BI77</f>
        <v>0</v>
      </c>
      <c r="H634" s="180">
        <f>(H628/H612)*BI60</f>
        <v>1624.3688043398345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3020175</v>
      </c>
      <c r="D635" s="180">
        <f>(D615/D612)*BK76</f>
        <v>64747.37371358549</v>
      </c>
      <c r="E635" s="180">
        <f>(E623/E612)*SUM(C635:D635)</f>
        <v>405341.85497757309</v>
      </c>
      <c r="F635" s="180">
        <f>(F624/F612)*BK64</f>
        <v>3532.5076603661273</v>
      </c>
      <c r="G635" s="180">
        <f>(G625/G612)*BK77</f>
        <v>0</v>
      </c>
      <c r="H635" s="180">
        <f>(H628/H612)*BK60</f>
        <v>40832.757099918766</v>
      </c>
      <c r="I635" s="180">
        <f>(I629/I612)*BK78</f>
        <v>18970.808033629157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3253206</v>
      </c>
      <c r="D636" s="180">
        <f>(D615/D612)*BH76</f>
        <v>0</v>
      </c>
      <c r="E636" s="180">
        <f>(E623/E612)*SUM(C636:D636)</f>
        <v>427453.39911966276</v>
      </c>
      <c r="F636" s="180">
        <f>(F624/F612)*BH64</f>
        <v>107405.95150324512</v>
      </c>
      <c r="G636" s="180">
        <f>(G625/G612)*BH77</f>
        <v>0</v>
      </c>
      <c r="H636" s="180">
        <f>(H628/H612)*BH60</f>
        <v>25885.583606773325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1043890</v>
      </c>
      <c r="D637" s="180">
        <f>(D615/D612)*BL76</f>
        <v>0</v>
      </c>
      <c r="E637" s="180">
        <f>(E623/E612)*SUM(C637:D637)</f>
        <v>137161.41209841147</v>
      </c>
      <c r="F637" s="180">
        <f>(F624/F612)*BL64</f>
        <v>6097.6817760851336</v>
      </c>
      <c r="G637" s="180">
        <f>(G625/G612)*BL77</f>
        <v>0</v>
      </c>
      <c r="H637" s="180">
        <f>(H628/H612)*BL60</f>
        <v>32204.22923099433</v>
      </c>
      <c r="I637" s="180">
        <f>(I629/I612)*BL78</f>
        <v>32491.439173619001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528116</v>
      </c>
      <c r="D638" s="180">
        <f>(D615/D612)*BM76</f>
        <v>0</v>
      </c>
      <c r="E638" s="180">
        <f>(E623/E612)*SUM(C638:D638)</f>
        <v>69391.54155300335</v>
      </c>
      <c r="F638" s="180">
        <f>(F624/F612)*BM64</f>
        <v>697.23952192227773</v>
      </c>
      <c r="G638" s="180">
        <f>(G625/G612)*BM77</f>
        <v>0</v>
      </c>
      <c r="H638" s="180">
        <f>(H628/H612)*BM60</f>
        <v>7317.1108525766849</v>
      </c>
      <c r="I638" s="180">
        <f>(I629/I612)*BM78</f>
        <v>5275.4917367919024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764285</v>
      </c>
      <c r="D642" s="180">
        <f>(D615/D612)*BV76</f>
        <v>81765.100740017413</v>
      </c>
      <c r="E642" s="180">
        <f>(E623/E612)*SUM(C642:D642)</f>
        <v>111166.33603493094</v>
      </c>
      <c r="F642" s="180">
        <f>(F624/F612)*BV64</f>
        <v>3099.6093598326997</v>
      </c>
      <c r="G642" s="180">
        <f>(G625/G612)*BV77</f>
        <v>0</v>
      </c>
      <c r="H642" s="180">
        <f>(H628/H612)*BV60</f>
        <v>15021.685823619753</v>
      </c>
      <c r="I642" s="180">
        <f>(I629/I612)*BV78</f>
        <v>5275.4917367919024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42503</v>
      </c>
      <c r="D643" s="180">
        <f>(D615/D612)*BW76</f>
        <v>0</v>
      </c>
      <c r="E643" s="180">
        <f>(E623/E612)*SUM(C643:D643)</f>
        <v>5584.6607386015594</v>
      </c>
      <c r="F643" s="180">
        <f>(F624/F612)*BW64</f>
        <v>7971.9444513514545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10604850.617137833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994387</v>
      </c>
      <c r="D645" s="180">
        <f>(D615/D612)*BY76</f>
        <v>5754.6382530610681</v>
      </c>
      <c r="E645" s="180">
        <f>(E623/E612)*SUM(C645:D645)</f>
        <v>131413.11766681209</v>
      </c>
      <c r="F645" s="180">
        <f>(F624/F612)*BY64</f>
        <v>293.68050820241154</v>
      </c>
      <c r="G645" s="180">
        <f>(G625/G612)*BY77</f>
        <v>0</v>
      </c>
      <c r="H645" s="180">
        <f>(H628/H612)*BY60</f>
        <v>11609.021087896614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1143457.4575159722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29989998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2384127</v>
      </c>
      <c r="D668" s="180">
        <f>(D615/D612)*C76</f>
        <v>68778.697837387634</v>
      </c>
      <c r="E668" s="180">
        <f>(E623/E612)*SUM(C668:D668)</f>
        <v>322298.33532231889</v>
      </c>
      <c r="F668" s="180">
        <f>(F624/F612)*C64</f>
        <v>28772.348241899141</v>
      </c>
      <c r="G668" s="180">
        <f>(G625/G612)*C77</f>
        <v>347238.6427334717</v>
      </c>
      <c r="H668" s="180">
        <f>(H628/H612)*C60</f>
        <v>25244.777564694308</v>
      </c>
      <c r="I668" s="180">
        <f>(I629/I612)*C78</f>
        <v>81403.283090894911</v>
      </c>
      <c r="J668" s="180">
        <f>(J630/J612)*C79</f>
        <v>89619.828050260126</v>
      </c>
      <c r="K668" s="180">
        <f>(K644/K612)*C75</f>
        <v>204239.83938779321</v>
      </c>
      <c r="L668" s="180">
        <f>(L647/L612)*C80</f>
        <v>193334.35802296209</v>
      </c>
      <c r="M668" s="180">
        <f t="shared" ref="M668:M713" si="20">ROUND(SUM(D668:L668),0)</f>
        <v>1360930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5296726</v>
      </c>
      <c r="D670" s="180">
        <f>(D615/D612)*E76</f>
        <v>602821.43710809224</v>
      </c>
      <c r="E670" s="180">
        <f>(E623/E612)*SUM(C670:D670)</f>
        <v>775168.12807413633</v>
      </c>
      <c r="F670" s="180">
        <f>(F624/F612)*E64</f>
        <v>104436.64309367265</v>
      </c>
      <c r="G670" s="180">
        <f>(G625/G612)*E77</f>
        <v>818716.60204872314</v>
      </c>
      <c r="H670" s="180">
        <f>(H628/H612)*E60</f>
        <v>50683.287188621798</v>
      </c>
      <c r="I670" s="180">
        <f>(I629/I612)*E78</f>
        <v>319918.39625035395</v>
      </c>
      <c r="J670" s="180">
        <f>(J630/J612)*E79</f>
        <v>223695.6957368266</v>
      </c>
      <c r="K670" s="180">
        <f>(K644/K612)*E75</f>
        <v>516003.16619149409</v>
      </c>
      <c r="L670" s="180">
        <f>(L647/L612)*E80</f>
        <v>388152.39175684412</v>
      </c>
      <c r="M670" s="180">
        <f t="shared" si="20"/>
        <v>3799596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59131.463955838983</v>
      </c>
      <c r="L675" s="180">
        <f>(L647/L612)*J80</f>
        <v>0</v>
      </c>
      <c r="M675" s="180">
        <f t="shared" si="20"/>
        <v>59131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94632</v>
      </c>
      <c r="D680" s="180">
        <f>(D615/D612)*O76</f>
        <v>115400.49972716045</v>
      </c>
      <c r="E680" s="180">
        <f>(E623/E612)*SUM(C680:D680)</f>
        <v>27597.116793087916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143976.70365348319</v>
      </c>
      <c r="L680" s="180">
        <f>(L647/L612)*O80</f>
        <v>0</v>
      </c>
      <c r="M680" s="180">
        <f t="shared" si="20"/>
        <v>286974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2787776</v>
      </c>
      <c r="D681" s="180">
        <f>(D615/D612)*P76</f>
        <v>118170.1117206123</v>
      </c>
      <c r="E681" s="180">
        <f>(E623/E612)*SUM(C681:D681)</f>
        <v>381825.35723638249</v>
      </c>
      <c r="F681" s="180">
        <f>(F624/F612)*P64</f>
        <v>338289.45560209733</v>
      </c>
      <c r="G681" s="180">
        <f>(G625/G612)*P77</f>
        <v>0</v>
      </c>
      <c r="H681" s="180">
        <f>(H628/H612)*P60</f>
        <v>19537.133050362594</v>
      </c>
      <c r="I681" s="180">
        <f>(I629/I612)*P78</f>
        <v>122104.92463634237</v>
      </c>
      <c r="J681" s="180">
        <f>(J630/J612)*P79</f>
        <v>45543.481964193845</v>
      </c>
      <c r="K681" s="180">
        <f>(K644/K612)*P75</f>
        <v>1151622.9759039422</v>
      </c>
      <c r="L681" s="180">
        <f>(L647/L612)*P80</f>
        <v>149622.9890012416</v>
      </c>
      <c r="M681" s="180">
        <f t="shared" si="20"/>
        <v>2326716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575038</v>
      </c>
      <c r="D682" s="180">
        <f>(D615/D612)*Q76</f>
        <v>35543.353915965417</v>
      </c>
      <c r="E682" s="180">
        <f>(E623/E612)*SUM(C682:D682)</f>
        <v>80227.036090080132</v>
      </c>
      <c r="F682" s="180">
        <f>(F624/F612)*Q64</f>
        <v>7012.6648285747233</v>
      </c>
      <c r="G682" s="180">
        <f>(G625/G612)*Q77</f>
        <v>0</v>
      </c>
      <c r="H682" s="180">
        <f>(H628/H612)*Q60</f>
        <v>5558.619853383103</v>
      </c>
      <c r="I682" s="180">
        <f>(I629/I612)*Q78</f>
        <v>19180.430221846054</v>
      </c>
      <c r="J682" s="180">
        <f>(J630/J612)*Q79</f>
        <v>22417.107206172714</v>
      </c>
      <c r="K682" s="180">
        <f>(K644/K612)*Q75</f>
        <v>223645.66343478585</v>
      </c>
      <c r="L682" s="180">
        <f>(L647/L612)*Q80</f>
        <v>42570.080013320454</v>
      </c>
      <c r="M682" s="180">
        <f t="shared" si="20"/>
        <v>436155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935635</v>
      </c>
      <c r="D683" s="180">
        <f>(D615/D612)*R76</f>
        <v>0</v>
      </c>
      <c r="E683" s="180">
        <f>(E623/E612)*SUM(C683:D683)</f>
        <v>122937.2997238188</v>
      </c>
      <c r="F683" s="180">
        <f>(F624/F612)*R64</f>
        <v>39960.971560270737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302479.87776264275</v>
      </c>
      <c r="L683" s="180">
        <f>(L647/L612)*R80</f>
        <v>0</v>
      </c>
      <c r="M683" s="180">
        <f t="shared" si="20"/>
        <v>465378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261882</v>
      </c>
      <c r="D684" s="180">
        <f>(D615/D612)*S76</f>
        <v>47668.099753965747</v>
      </c>
      <c r="E684" s="180">
        <f>(E623/E612)*SUM(C684:D684)</f>
        <v>40673.182804182499</v>
      </c>
      <c r="F684" s="180">
        <f>(F624/F612)*S64</f>
        <v>17965.135652103836</v>
      </c>
      <c r="G684" s="180">
        <f>(G625/G612)*S77</f>
        <v>0</v>
      </c>
      <c r="H684" s="180">
        <f>(H628/H612)*S60</f>
        <v>4351.5200996993726</v>
      </c>
      <c r="I684" s="180">
        <f>(I629/I612)*S78</f>
        <v>15407.230833941912</v>
      </c>
      <c r="J684" s="180">
        <f>(J630/J612)*S79</f>
        <v>568.02155115911887</v>
      </c>
      <c r="K684" s="180">
        <f>(K644/K612)*S75</f>
        <v>67739.100320116777</v>
      </c>
      <c r="L684" s="180">
        <f>(L647/L612)*S80</f>
        <v>33325.639045280353</v>
      </c>
      <c r="M684" s="180">
        <f t="shared" si="20"/>
        <v>227698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3556954</v>
      </c>
      <c r="D686" s="180">
        <f>(D615/D612)*U76</f>
        <v>0</v>
      </c>
      <c r="E686" s="180">
        <f>(E623/E612)*SUM(C686:D686)</f>
        <v>467364.21788607328</v>
      </c>
      <c r="F686" s="180">
        <f>(F624/F612)*U64</f>
        <v>306143.08937663864</v>
      </c>
      <c r="G686" s="180">
        <f>(G625/G612)*U77</f>
        <v>0</v>
      </c>
      <c r="H686" s="180">
        <f>(H628/H612)*U60</f>
        <v>40415.488049262669</v>
      </c>
      <c r="I686" s="180">
        <f>(I629/I612)*U78</f>
        <v>31408.391201165032</v>
      </c>
      <c r="J686" s="180">
        <f>(J630/J612)*U79</f>
        <v>236.92877534979291</v>
      </c>
      <c r="K686" s="180">
        <f>(K644/K612)*U75</f>
        <v>1062852.6760268791</v>
      </c>
      <c r="L686" s="180">
        <f>(L647/L612)*U80</f>
        <v>0</v>
      </c>
      <c r="M686" s="180">
        <f t="shared" si="20"/>
        <v>1908421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247301</v>
      </c>
      <c r="D687" s="180">
        <f>(D615/D612)*V76</f>
        <v>79057.03567975339</v>
      </c>
      <c r="E687" s="180">
        <f>(E623/E612)*SUM(C687:D687)</f>
        <v>42881.653261836713</v>
      </c>
      <c r="F687" s="180">
        <f>(F624/F612)*V64</f>
        <v>3444.7774399922432</v>
      </c>
      <c r="G687" s="180">
        <f>(G625/G612)*V77</f>
        <v>0</v>
      </c>
      <c r="H687" s="180">
        <f>(H628/H612)*V60</f>
        <v>2861.2734902132861</v>
      </c>
      <c r="I687" s="180">
        <f>(I629/I612)*V78</f>
        <v>5485.113925008799</v>
      </c>
      <c r="J687" s="180">
        <f>(J630/J612)*V79</f>
        <v>1561.2998785870968</v>
      </c>
      <c r="K687" s="180">
        <f>(K644/K612)*V75</f>
        <v>95652.521826278055</v>
      </c>
      <c r="L687" s="180">
        <f>(L647/L612)*V80</f>
        <v>0</v>
      </c>
      <c r="M687" s="180">
        <f t="shared" si="20"/>
        <v>230944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293012</v>
      </c>
      <c r="D688" s="180">
        <f>(D615/D612)*W76</f>
        <v>0</v>
      </c>
      <c r="E688" s="180">
        <f>(E623/E612)*SUM(C688:D688)</f>
        <v>38500.167337343722</v>
      </c>
      <c r="F688" s="180">
        <f>(F624/F612)*W64</f>
        <v>4020.6328537250815</v>
      </c>
      <c r="G688" s="180">
        <f>(G625/G612)*W77</f>
        <v>0</v>
      </c>
      <c r="H688" s="180">
        <f>(H628/H612)*W60</f>
        <v>2578.1266344109295</v>
      </c>
      <c r="I688" s="180">
        <f>(I629/I612)*W78</f>
        <v>6113.9804896594896</v>
      </c>
      <c r="J688" s="180">
        <f>(J630/J612)*W79</f>
        <v>4586.6980868998371</v>
      </c>
      <c r="K688" s="180">
        <f>(K644/K612)*W75</f>
        <v>309174.96681861277</v>
      </c>
      <c r="L688" s="180">
        <f>(L647/L612)*W80</f>
        <v>0</v>
      </c>
      <c r="M688" s="180">
        <f t="shared" si="20"/>
        <v>364975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149315</v>
      </c>
      <c r="D689" s="180">
        <f>(D615/D612)*X76</f>
        <v>0</v>
      </c>
      <c r="E689" s="180">
        <f>(E623/E612)*SUM(C689:D689)</f>
        <v>19619.170839335857</v>
      </c>
      <c r="F689" s="180">
        <f>(F624/F612)*X64</f>
        <v>9988.876599750387</v>
      </c>
      <c r="G689" s="180">
        <f>(G625/G612)*X77</f>
        <v>0</v>
      </c>
      <c r="H689" s="180">
        <f>(H628/H612)*X60</f>
        <v>670.61097426873891</v>
      </c>
      <c r="I689" s="180">
        <f>(I629/I612)*X78</f>
        <v>0</v>
      </c>
      <c r="J689" s="180">
        <f>(J630/J612)*X79</f>
        <v>5911.069190137141</v>
      </c>
      <c r="K689" s="180">
        <f>(K644/K612)*X75</f>
        <v>511614.36261251121</v>
      </c>
      <c r="L689" s="180">
        <f>(L647/L612)*X80</f>
        <v>0</v>
      </c>
      <c r="M689" s="180">
        <f t="shared" si="20"/>
        <v>547804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5743010</v>
      </c>
      <c r="D690" s="180">
        <f>(D615/D612)*Y76</f>
        <v>134603.14288175997</v>
      </c>
      <c r="E690" s="180">
        <f>(E623/E612)*SUM(C690:D690)</f>
        <v>772286.08229396248</v>
      </c>
      <c r="F690" s="180">
        <f>(F624/F612)*Y64</f>
        <v>17076.04020562621</v>
      </c>
      <c r="G690" s="180">
        <f>(G625/G612)*Y77</f>
        <v>0</v>
      </c>
      <c r="H690" s="180">
        <f>(H628/H612)*Y60</f>
        <v>37196.555372772724</v>
      </c>
      <c r="I690" s="180">
        <f>(I629/I612)*Y78</f>
        <v>57156.983320473853</v>
      </c>
      <c r="J690" s="180">
        <f>(J630/J612)*Y79</f>
        <v>60678.06687676235</v>
      </c>
      <c r="K690" s="180">
        <f>(K644/K612)*Y75</f>
        <v>964727.30834714556</v>
      </c>
      <c r="L690" s="180">
        <f>(L647/L612)*Y80</f>
        <v>0</v>
      </c>
      <c r="M690" s="180">
        <f t="shared" si="20"/>
        <v>2043724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249184</v>
      </c>
      <c r="D692" s="180">
        <f>(D615/D612)*AA76</f>
        <v>7200.9911829748125</v>
      </c>
      <c r="E692" s="180">
        <f>(E623/E612)*SUM(C692:D692)</f>
        <v>33687.579564413485</v>
      </c>
      <c r="F692" s="180">
        <f>(F624/F612)*AA64</f>
        <v>13323.487894158376</v>
      </c>
      <c r="G692" s="180">
        <f>(G625/G612)*AA77</f>
        <v>0</v>
      </c>
      <c r="H692" s="180">
        <f>(H628/H612)*AA60</f>
        <v>1371.0268807271996</v>
      </c>
      <c r="I692" s="180">
        <f>(I629/I612)*AA78</f>
        <v>0</v>
      </c>
      <c r="J692" s="180">
        <f>(J630/J612)*AA79</f>
        <v>0</v>
      </c>
      <c r="K692" s="180">
        <f>(K644/K612)*AA75</f>
        <v>27269.182692027152</v>
      </c>
      <c r="L692" s="180">
        <f>(L647/L612)*AA80</f>
        <v>0</v>
      </c>
      <c r="M692" s="180">
        <f t="shared" si="20"/>
        <v>82852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4562826</v>
      </c>
      <c r="D693" s="180">
        <f>(D615/D612)*AB76</f>
        <v>0</v>
      </c>
      <c r="E693" s="180">
        <f>(E623/E612)*SUM(C693:D693)</f>
        <v>599530.27361057804</v>
      </c>
      <c r="F693" s="180">
        <f>(F624/F612)*AB64</f>
        <v>925049.01662724232</v>
      </c>
      <c r="G693" s="180">
        <f>(G625/G612)*AB77</f>
        <v>0</v>
      </c>
      <c r="H693" s="180">
        <f>(H628/H612)*AB60</f>
        <v>12518.071519683128</v>
      </c>
      <c r="I693" s="180">
        <f>(I629/I612)*AB78</f>
        <v>11808.716602885184</v>
      </c>
      <c r="J693" s="180">
        <f>(J630/J612)*AB79</f>
        <v>0</v>
      </c>
      <c r="K693" s="180">
        <f>(K644/K612)*AB75</f>
        <v>678680.03089672956</v>
      </c>
      <c r="L693" s="180">
        <f>(L647/L612)*AB80</f>
        <v>0</v>
      </c>
      <c r="M693" s="180">
        <f t="shared" si="20"/>
        <v>2227586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801514</v>
      </c>
      <c r="D694" s="180">
        <f>(D615/D612)*AC76</f>
        <v>7570.2727821017261</v>
      </c>
      <c r="E694" s="180">
        <f>(E623/E612)*SUM(C694:D694)</f>
        <v>106309.22928796081</v>
      </c>
      <c r="F694" s="180">
        <f>(F624/F612)*AC64</f>
        <v>17977.79181504302</v>
      </c>
      <c r="G694" s="180">
        <f>(G625/G612)*AC77</f>
        <v>0</v>
      </c>
      <c r="H694" s="180">
        <f>(H628/H612)*AC60</f>
        <v>1490.2466094860865</v>
      </c>
      <c r="I694" s="180">
        <f>(I629/I612)*AC78</f>
        <v>17084.208339677087</v>
      </c>
      <c r="J694" s="180">
        <f>(J630/J612)*AC79</f>
        <v>0</v>
      </c>
      <c r="K694" s="180">
        <f>(K644/K612)*AC75</f>
        <v>76415.935149915487</v>
      </c>
      <c r="L694" s="180">
        <f>(L647/L612)*AC80</f>
        <v>0</v>
      </c>
      <c r="M694" s="180">
        <f t="shared" si="20"/>
        <v>226848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813166</v>
      </c>
      <c r="D696" s="180">
        <f>(D615/D612)*AE76</f>
        <v>0</v>
      </c>
      <c r="E696" s="180">
        <f>(E623/E612)*SUM(C696:D696)</f>
        <v>106845.54582419302</v>
      </c>
      <c r="F696" s="180">
        <f>(F624/F612)*AE64</f>
        <v>6540.9351190233474</v>
      </c>
      <c r="G696" s="180">
        <f>(G625/G612)*AE77</f>
        <v>0</v>
      </c>
      <c r="H696" s="180">
        <f>(H628/H612)*AE60</f>
        <v>2995.3956850670338</v>
      </c>
      <c r="I696" s="180">
        <f>(I629/I612)*AE78</f>
        <v>18970.808033629157</v>
      </c>
      <c r="J696" s="180">
        <f>(J630/J612)*AE79</f>
        <v>0</v>
      </c>
      <c r="K696" s="180">
        <f>(K644/K612)*AE75</f>
        <v>112620.66765544558</v>
      </c>
      <c r="L696" s="180">
        <f>(L647/L612)*AE80</f>
        <v>0</v>
      </c>
      <c r="M696" s="180">
        <f t="shared" si="20"/>
        <v>247973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6184555</v>
      </c>
      <c r="D698" s="180">
        <f>(D615/D612)*AG76</f>
        <v>248403.42234603711</v>
      </c>
      <c r="E698" s="180">
        <f>(E623/E612)*SUM(C698:D698)</f>
        <v>845255.40160299605</v>
      </c>
      <c r="F698" s="180">
        <f>(F624/F612)*AG64</f>
        <v>123850.04648211256</v>
      </c>
      <c r="G698" s="180">
        <f>(G625/G612)*AG77</f>
        <v>0</v>
      </c>
      <c r="H698" s="180">
        <f>(H628/H612)*AG60</f>
        <v>33768.988170954719</v>
      </c>
      <c r="I698" s="180">
        <f>(I629/I612)*AG78</f>
        <v>149320.87207316948</v>
      </c>
      <c r="J698" s="180">
        <f>(J630/J612)*AG79</f>
        <v>142447.35108225915</v>
      </c>
      <c r="K698" s="180">
        <f>(K644/K612)*AG75</f>
        <v>686814.71940206562</v>
      </c>
      <c r="L698" s="180">
        <f>(L647/L612)*AG80</f>
        <v>258616.08930344277</v>
      </c>
      <c r="M698" s="180">
        <f t="shared" si="20"/>
        <v>2488477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854499</v>
      </c>
      <c r="D700" s="180">
        <f>(D615/D612)*AI76</f>
        <v>0</v>
      </c>
      <c r="E700" s="180">
        <f>(E623/E612)*SUM(C700:D700)</f>
        <v>112276.47498939591</v>
      </c>
      <c r="F700" s="180">
        <f>(F624/F612)*AI64</f>
        <v>24215.841943726366</v>
      </c>
      <c r="G700" s="180">
        <f>(G625/G612)*AI77</f>
        <v>145896.72754186703</v>
      </c>
      <c r="H700" s="180">
        <f>(H628/H612)*AI60</f>
        <v>10163.48187669511</v>
      </c>
      <c r="I700" s="180">
        <f>(I629/I612)*AI78</f>
        <v>43671.289211853495</v>
      </c>
      <c r="J700" s="180">
        <f>(J630/J612)*AI79</f>
        <v>33672.742809488838</v>
      </c>
      <c r="K700" s="180">
        <f>(K644/K612)*AI75</f>
        <v>96915.43966097552</v>
      </c>
      <c r="L700" s="180">
        <f>(L647/L612)*AI80</f>
        <v>77835.91037288084</v>
      </c>
      <c r="M700" s="180">
        <f t="shared" si="20"/>
        <v>544648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19193868</v>
      </c>
      <c r="D701" s="180">
        <f>(D615/D612)*AJ76</f>
        <v>904247.54239543539</v>
      </c>
      <c r="E701" s="180">
        <f>(E623/E612)*SUM(C701:D701)</f>
        <v>2640781.9869066556</v>
      </c>
      <c r="F701" s="180">
        <f>(F624/F612)*AJ64</f>
        <v>265332.42905904184</v>
      </c>
      <c r="G701" s="180">
        <f>(G625/G612)*AJ77</f>
        <v>0</v>
      </c>
      <c r="H701" s="180">
        <f>(H628/H612)*AJ60</f>
        <v>152750.27747232385</v>
      </c>
      <c r="I701" s="180">
        <f>(I629/I612)*AJ78</f>
        <v>362925.88186618726</v>
      </c>
      <c r="J701" s="180">
        <f>(J630/J612)*AJ79</f>
        <v>0</v>
      </c>
      <c r="K701" s="180">
        <f>(K644/K612)*AJ75</f>
        <v>952558.64633827971</v>
      </c>
      <c r="L701" s="180">
        <f>(L647/L612)*AJ80</f>
        <v>0</v>
      </c>
      <c r="M701" s="180">
        <f t="shared" si="20"/>
        <v>5278597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892922</v>
      </c>
      <c r="D703" s="180">
        <f>(D615/D612)*AL76</f>
        <v>0</v>
      </c>
      <c r="E703" s="180">
        <f>(E623/E612)*SUM(C703:D703)</f>
        <v>117325.04613870977</v>
      </c>
      <c r="F703" s="180">
        <f>(F624/F612)*AL64</f>
        <v>36924.643015133959</v>
      </c>
      <c r="G703" s="180">
        <f>(G625/G612)*AL77</f>
        <v>0</v>
      </c>
      <c r="H703" s="180">
        <f>(H628/H612)*AL60</f>
        <v>12905.535638149509</v>
      </c>
      <c r="I703" s="180">
        <f>(I629/I612)*AL78</f>
        <v>51881.491583681949</v>
      </c>
      <c r="J703" s="180">
        <f>(J630/J612)*AL79</f>
        <v>0</v>
      </c>
      <c r="K703" s="180">
        <f>(K644/K612)*AL75</f>
        <v>74658.910201053441</v>
      </c>
      <c r="L703" s="180">
        <f>(L647/L612)*AL80</f>
        <v>0</v>
      </c>
      <c r="M703" s="180">
        <f t="shared" si="20"/>
        <v>293696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11882845</v>
      </c>
      <c r="D713" s="180">
        <f>(D615/D612)*AV76</f>
        <v>19294.963554381229</v>
      </c>
      <c r="E713" s="180">
        <f>(E623/E612)*SUM(C713:D713)</f>
        <v>1563875.8148790144</v>
      </c>
      <c r="F713" s="180">
        <f>(F624/F612)*AV64</f>
        <v>542523.10751196474</v>
      </c>
      <c r="G713" s="180">
        <f>(G625/G612)*AV77</f>
        <v>0</v>
      </c>
      <c r="H713" s="180">
        <f>(H628/H612)*AV60</f>
        <v>68059.562655229573</v>
      </c>
      <c r="I713" s="180">
        <f>(I629/I612)*AV78</f>
        <v>48911.843917275917</v>
      </c>
      <c r="J713" s="180">
        <f>(J630/J612)*AV79</f>
        <v>12153.231156083608</v>
      </c>
      <c r="K713" s="180">
        <f>(K644/K612)*AV75</f>
        <v>2286056.458899817</v>
      </c>
      <c r="L713" s="180">
        <f>(L647/L612)*AV80</f>
        <v>0</v>
      </c>
      <c r="M713" s="180">
        <f t="shared" si="20"/>
        <v>4540875</v>
      </c>
      <c r="N713" s="199" t="s">
        <v>741</v>
      </c>
    </row>
    <row r="715" spans="1:83" ht="12.6" customHeight="1" x14ac:dyDescent="0.25">
      <c r="C715" s="180">
        <f>SUM(C614:C647)+SUM(C668:C713)</f>
        <v>97750785</v>
      </c>
      <c r="D715" s="180">
        <f>SUM(D616:D647)+SUM(D668:D713)</f>
        <v>3214504</v>
      </c>
      <c r="E715" s="180">
        <f>SUM(E624:E647)+SUM(E668:E713)</f>
        <v>11352287.941899538</v>
      </c>
      <c r="F715" s="180">
        <f>SUM(F625:F648)+SUM(F668:F713)</f>
        <v>3127985.6277026157</v>
      </c>
      <c r="G715" s="180">
        <f>SUM(G626:G647)+SUM(G668:G713)</f>
        <v>1311851.9723240619</v>
      </c>
      <c r="H715" s="180">
        <f>SUM(H629:H647)+SUM(H668:H713)</f>
        <v>663845.25466167217</v>
      </c>
      <c r="I715" s="180">
        <f>SUM(I630:I647)+SUM(I668:I713)</f>
        <v>1424767.0762788779</v>
      </c>
      <c r="J715" s="180">
        <f>SUM(J631:J647)+SUM(J668:J713)</f>
        <v>643091.52236418019</v>
      </c>
      <c r="K715" s="180">
        <f>SUM(K668:K713)</f>
        <v>10604850.617137833</v>
      </c>
      <c r="L715" s="180">
        <f>SUM(L668:L713)</f>
        <v>1143457.4575159722</v>
      </c>
      <c r="M715" s="180">
        <f>SUM(M668:M713)</f>
        <v>29989998</v>
      </c>
      <c r="N715" s="198" t="s">
        <v>742</v>
      </c>
    </row>
    <row r="716" spans="1:83" ht="12.6" customHeight="1" x14ac:dyDescent="0.25">
      <c r="C716" s="180">
        <f>CE71</f>
        <v>97750785</v>
      </c>
      <c r="D716" s="180">
        <f>D615</f>
        <v>3214504</v>
      </c>
      <c r="E716" s="180">
        <f>E623</f>
        <v>11352287.941899536</v>
      </c>
      <c r="F716" s="180">
        <f>F624</f>
        <v>3127985.6277026162</v>
      </c>
      <c r="G716" s="180">
        <f>G625</f>
        <v>1311851.9723240619</v>
      </c>
      <c r="H716" s="180">
        <f>H628</f>
        <v>663845.25466167217</v>
      </c>
      <c r="I716" s="180">
        <f>I629</f>
        <v>1424767.0762788779</v>
      </c>
      <c r="J716" s="180">
        <f>J630</f>
        <v>643091.52236418019</v>
      </c>
      <c r="K716" s="180">
        <f>K644</f>
        <v>10604850.617137833</v>
      </c>
      <c r="L716" s="180">
        <f>L647</f>
        <v>1143457.4575159722</v>
      </c>
      <c r="M716" s="180">
        <f>C648</f>
        <v>29989998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198*2018*A</v>
      </c>
      <c r="B722" s="276">
        <f>ROUND(C165,0)</f>
        <v>2527505</v>
      </c>
      <c r="C722" s="276">
        <f>ROUND(C166,0)</f>
        <v>98409</v>
      </c>
      <c r="D722" s="276">
        <f>ROUND(C167,0)</f>
        <v>607180</v>
      </c>
      <c r="E722" s="276">
        <f>ROUND(C168,0)</f>
        <v>3760235</v>
      </c>
      <c r="F722" s="276">
        <f>ROUND(C169,0)</f>
        <v>0</v>
      </c>
      <c r="G722" s="276">
        <f>ROUND(C170,0)</f>
        <v>1180853</v>
      </c>
      <c r="H722" s="276">
        <f>ROUND(C171+C172,0)</f>
        <v>-73277</v>
      </c>
      <c r="I722" s="276">
        <f>ROUND(C175,0)</f>
        <v>805169</v>
      </c>
      <c r="J722" s="276">
        <f>ROUND(C176,0)</f>
        <v>1780580</v>
      </c>
      <c r="K722" s="276">
        <f>ROUND(C179,0)</f>
        <v>603202</v>
      </c>
      <c r="L722" s="276">
        <f>ROUND(C180,0)</f>
        <v>137551</v>
      </c>
      <c r="M722" s="276">
        <f>ROUND(C183,0)</f>
        <v>353848</v>
      </c>
      <c r="N722" s="276">
        <f>ROUND(C184,0)</f>
        <v>892615</v>
      </c>
      <c r="O722" s="276">
        <f>ROUND(C185,0)</f>
        <v>1029378</v>
      </c>
      <c r="P722" s="276">
        <f>ROUND(C188,0)</f>
        <v>440956</v>
      </c>
      <c r="Q722" s="276">
        <f>ROUND(C189,0)</f>
        <v>3245</v>
      </c>
      <c r="R722" s="276">
        <f>ROUND(B195,0)</f>
        <v>1057687</v>
      </c>
      <c r="S722" s="276">
        <f>ROUND(C195,0)</f>
        <v>0</v>
      </c>
      <c r="T722" s="276">
        <f>ROUND(D195,0)</f>
        <v>0</v>
      </c>
      <c r="U722" s="276">
        <f>ROUND(B196,0)</f>
        <v>1564552</v>
      </c>
      <c r="V722" s="276">
        <f>ROUND(C196,0)</f>
        <v>0</v>
      </c>
      <c r="W722" s="276">
        <f>ROUND(D196,0)</f>
        <v>0</v>
      </c>
      <c r="X722" s="276">
        <f>ROUND(B197,0)</f>
        <v>25456321</v>
      </c>
      <c r="Y722" s="276">
        <f>ROUND(C197,0)</f>
        <v>9070</v>
      </c>
      <c r="Z722" s="276">
        <f>ROUND(D197,0)</f>
        <v>0</v>
      </c>
      <c r="AA722" s="276">
        <f>ROUND(B198,0)</f>
        <v>3922094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20175017</v>
      </c>
      <c r="AH722" s="276">
        <f>ROUND(C200,0)</f>
        <v>514479</v>
      </c>
      <c r="AI722" s="276">
        <f>ROUND(D200,0)</f>
        <v>1787789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114060</v>
      </c>
      <c r="AN722" s="276">
        <f>ROUND(C202,0)</f>
        <v>0</v>
      </c>
      <c r="AO722" s="276">
        <f>ROUND(D202,0)</f>
        <v>0</v>
      </c>
      <c r="AP722" s="276">
        <f>ROUND(B203,0)</f>
        <v>12859067</v>
      </c>
      <c r="AQ722" s="276">
        <f>ROUND(C203,0)</f>
        <v>7065371</v>
      </c>
      <c r="AR722" s="276">
        <f>ROUND(D203,0)</f>
        <v>0</v>
      </c>
      <c r="AS722" s="276"/>
      <c r="AT722" s="276"/>
      <c r="AU722" s="276"/>
      <c r="AV722" s="276">
        <f>ROUND(B209,0)</f>
        <v>1197374</v>
      </c>
      <c r="AW722" s="276">
        <f>ROUND(C209,0)</f>
        <v>36533</v>
      </c>
      <c r="AX722" s="276">
        <f>ROUND(D209,0)</f>
        <v>0</v>
      </c>
      <c r="AY722" s="276">
        <f>ROUND(B210,0)</f>
        <v>13416150</v>
      </c>
      <c r="AZ722" s="276">
        <f>ROUND(C210,0)</f>
        <v>790187</v>
      </c>
      <c r="BA722" s="276">
        <f>ROUND(D210,0)</f>
        <v>0</v>
      </c>
      <c r="BB722" s="276">
        <f>ROUND(B211,0)</f>
        <v>1981067</v>
      </c>
      <c r="BC722" s="276">
        <f>ROUND(C211,0)</f>
        <v>263126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16118971</v>
      </c>
      <c r="BI722" s="276">
        <f>ROUND(C213,0)</f>
        <v>2166715</v>
      </c>
      <c r="BJ722" s="276">
        <f>ROUND(D213,0)</f>
        <v>1206243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256285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60936652</v>
      </c>
      <c r="BU722" s="276">
        <f>ROUND(C224,0)</f>
        <v>61845340</v>
      </c>
      <c r="BV722" s="276">
        <f>ROUND(C225,0)</f>
        <v>7537564</v>
      </c>
      <c r="BW722" s="276">
        <f>ROUND(C226,0)</f>
        <v>0</v>
      </c>
      <c r="BX722" s="276">
        <f>ROUND(C227,0)</f>
        <v>51576053</v>
      </c>
      <c r="BY722" s="276">
        <f>ROUND(C228,0)</f>
        <v>0</v>
      </c>
      <c r="BZ722" s="276">
        <f>ROUND(C231,0)</f>
        <v>0</v>
      </c>
      <c r="CA722" s="276">
        <f>ROUND(C233,0)</f>
        <v>0</v>
      </c>
      <c r="CB722" s="276">
        <f>ROUND(C234,0)</f>
        <v>4396039</v>
      </c>
      <c r="CC722" s="276">
        <f>ROUND(C238+C239,0)</f>
        <v>0</v>
      </c>
      <c r="CD722" s="276">
        <f>D221</f>
        <v>-1588864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198*2018*A</v>
      </c>
      <c r="B726" s="276">
        <f>ROUND(C111,0)</f>
        <v>2394</v>
      </c>
      <c r="C726" s="276">
        <f>ROUND(C112,0)</f>
        <v>0</v>
      </c>
      <c r="D726" s="276">
        <f>ROUND(C113,0)</f>
        <v>0</v>
      </c>
      <c r="E726" s="276">
        <f>ROUND(C114,0)</f>
        <v>479</v>
      </c>
      <c r="F726" s="276">
        <f>ROUND(D111,0)</f>
        <v>6033</v>
      </c>
      <c r="G726" s="276">
        <f>ROUND(D112,0)</f>
        <v>0</v>
      </c>
      <c r="H726" s="276">
        <f>ROUND(D113,0)</f>
        <v>0</v>
      </c>
      <c r="I726" s="276">
        <f>ROUND(D114,0)</f>
        <v>734</v>
      </c>
      <c r="J726" s="276">
        <f>ROUND(C116,0)</f>
        <v>7</v>
      </c>
      <c r="K726" s="276">
        <f>ROUND(C117,0)</f>
        <v>0</v>
      </c>
      <c r="L726" s="276">
        <f>ROUND(C118,0)</f>
        <v>14</v>
      </c>
      <c r="M726" s="276">
        <f>ROUND(C119,0)</f>
        <v>0</v>
      </c>
      <c r="N726" s="276">
        <f>ROUND(C120,0)</f>
        <v>4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6</v>
      </c>
      <c r="X726" s="276">
        <f>ROUND(B138,0)</f>
        <v>802</v>
      </c>
      <c r="Y726" s="276">
        <f>ROUND(B139,0)</f>
        <v>2021</v>
      </c>
      <c r="Z726" s="276">
        <f>ROUND(B140,0)</f>
        <v>0</v>
      </c>
      <c r="AA726" s="276">
        <f>ROUND(B141,0)</f>
        <v>30865875</v>
      </c>
      <c r="AB726" s="276">
        <f>ROUND(B142,0)</f>
        <v>66014625</v>
      </c>
      <c r="AC726" s="276">
        <f>ROUND(C138,0)</f>
        <v>814</v>
      </c>
      <c r="AD726" s="276">
        <f>ROUND(C139,0)</f>
        <v>2051</v>
      </c>
      <c r="AE726" s="276">
        <f>ROUND(C140,0)</f>
        <v>0</v>
      </c>
      <c r="AF726" s="276">
        <f>ROUND(C141,0)</f>
        <v>23724802</v>
      </c>
      <c r="AG726" s="276">
        <f>ROUND(C142,0)</f>
        <v>74600380</v>
      </c>
      <c r="AH726" s="276">
        <f>ROUND(D138,0)</f>
        <v>778</v>
      </c>
      <c r="AI726" s="276">
        <f>ROUND(D139,0)</f>
        <v>1961</v>
      </c>
      <c r="AJ726" s="276">
        <f>ROUND(D140,0)</f>
        <v>0</v>
      </c>
      <c r="AK726" s="276">
        <f>ROUND(D141,0)</f>
        <v>12630562</v>
      </c>
      <c r="AL726" s="276">
        <f>ROUND(D142,0)</f>
        <v>81351573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6513798</v>
      </c>
      <c r="BR726" s="276">
        <f>ROUND(C157,0)</f>
        <v>6877909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198*2018*A</v>
      </c>
      <c r="B730" s="276">
        <f>ROUND(C250,0)</f>
        <v>3855217</v>
      </c>
      <c r="C730" s="276">
        <f>ROUND(C251,0)</f>
        <v>0</v>
      </c>
      <c r="D730" s="276">
        <f>ROUND(C252,0)</f>
        <v>92068520</v>
      </c>
      <c r="E730" s="276">
        <f>ROUND(C253,0)</f>
        <v>63379610</v>
      </c>
      <c r="F730" s="276">
        <f>ROUND(C254,0)</f>
        <v>0</v>
      </c>
      <c r="G730" s="276">
        <f>ROUND(C255,0)</f>
        <v>16619433</v>
      </c>
      <c r="H730" s="276">
        <f>ROUND(C256,0)</f>
        <v>0</v>
      </c>
      <c r="I730" s="276">
        <f>ROUND(C257,0)</f>
        <v>1883190</v>
      </c>
      <c r="J730" s="276">
        <f>ROUND(C258,0)</f>
        <v>411506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1057687</v>
      </c>
      <c r="P730" s="276">
        <f>ROUND(C268,0)</f>
        <v>1564552</v>
      </c>
      <c r="Q730" s="276">
        <f>ROUND(C269,0)</f>
        <v>25465391</v>
      </c>
      <c r="R730" s="276">
        <f>ROUND(C270,0)</f>
        <v>3922094</v>
      </c>
      <c r="S730" s="276">
        <f>ROUND(C271,0)</f>
        <v>0</v>
      </c>
      <c r="T730" s="276">
        <f>ROUND(C272,0)</f>
        <v>18901707</v>
      </c>
      <c r="U730" s="276">
        <f>ROUND(C273,0)</f>
        <v>114060</v>
      </c>
      <c r="V730" s="276">
        <f>ROUND(C274,0)</f>
        <v>19924438</v>
      </c>
      <c r="W730" s="276">
        <f>ROUND(C275,0)</f>
        <v>0</v>
      </c>
      <c r="X730" s="276">
        <f>ROUND(C276,0)</f>
        <v>35020165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571123</v>
      </c>
      <c r="AC730" s="276">
        <f>ROUND(C286,0)</f>
        <v>2917270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16566895</v>
      </c>
      <c r="AI730" s="276">
        <f>ROUND(C306,0)</f>
        <v>3948650</v>
      </c>
      <c r="AJ730" s="276">
        <f>ROUND(C307,0)</f>
        <v>0</v>
      </c>
      <c r="AK730" s="276">
        <f>ROUND(C308,0)</f>
        <v>0</v>
      </c>
      <c r="AL730" s="276">
        <f>ROUND(C309,0)</f>
        <v>8599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6644362</v>
      </c>
      <c r="AU730" s="276">
        <f>ROUND(C322,0)</f>
        <v>0</v>
      </c>
      <c r="AV730" s="276">
        <f>ROUND(C323,0)</f>
        <v>7193765</v>
      </c>
      <c r="AW730" s="276">
        <f>ROUND(C324,0)</f>
        <v>52438</v>
      </c>
      <c r="AX730" s="276">
        <f>ROUND(C325,0)</f>
        <v>0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56461704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484.42</v>
      </c>
      <c r="BJ730" s="276">
        <f>ROUND(C359,0)</f>
        <v>67221238</v>
      </c>
      <c r="BK730" s="276">
        <f>ROUND(C360,0)</f>
        <v>221966578</v>
      </c>
      <c r="BL730" s="276">
        <f>ROUND(C364,0)</f>
        <v>181895609</v>
      </c>
      <c r="BM730" s="276">
        <f>ROUND(C365,0)</f>
        <v>4396039</v>
      </c>
      <c r="BN730" s="276">
        <f>ROUND(C366,0)</f>
        <v>0</v>
      </c>
      <c r="BO730" s="276">
        <f>ROUND(C370,0)</f>
        <v>616559</v>
      </c>
      <c r="BP730" s="276">
        <f>ROUND(C371,0)</f>
        <v>0</v>
      </c>
      <c r="BQ730" s="276">
        <f>ROUND(C378,0)</f>
        <v>38292898</v>
      </c>
      <c r="BR730" s="276">
        <f>ROUND(C379,0)</f>
        <v>8100905</v>
      </c>
      <c r="BS730" s="276">
        <f>ROUND(C380,0)</f>
        <v>5705374</v>
      </c>
      <c r="BT730" s="276">
        <f>ROUND(C381,0)</f>
        <v>13440375</v>
      </c>
      <c r="BU730" s="276">
        <f>ROUND(C382,0)</f>
        <v>1284650</v>
      </c>
      <c r="BV730" s="276">
        <f>ROUND(C383,0)</f>
        <v>23243574</v>
      </c>
      <c r="BW730" s="276">
        <f>ROUND(C384,0)</f>
        <v>3256561</v>
      </c>
      <c r="BX730" s="276">
        <f>ROUND(C385,0)</f>
        <v>2585749</v>
      </c>
      <c r="BY730" s="276">
        <f>ROUND(C386,0)</f>
        <v>740753</v>
      </c>
      <c r="BZ730" s="276">
        <f>ROUND(C387,0)</f>
        <v>0</v>
      </c>
      <c r="CA730" s="276">
        <f>ROUND(C388,0)</f>
        <v>444201</v>
      </c>
      <c r="CB730" s="276">
        <f>C363</f>
        <v>-1588864</v>
      </c>
      <c r="CC730" s="276">
        <f>ROUND(C389,0)</f>
        <v>2558206</v>
      </c>
      <c r="CD730" s="276">
        <f>ROUND(C392,0)</f>
        <v>-19398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198*2018*6010*A</v>
      </c>
      <c r="B734" s="276">
        <f>ROUND(C59,0)</f>
        <v>1221</v>
      </c>
      <c r="C734" s="276">
        <f>ROUND(C60,2)</f>
        <v>16.940000000000001</v>
      </c>
      <c r="D734" s="276">
        <f>ROUND(C61,0)</f>
        <v>1469073</v>
      </c>
      <c r="E734" s="276">
        <f>ROUND(C62,0)</f>
        <v>324929</v>
      </c>
      <c r="F734" s="276">
        <f>ROUND(C63,0)</f>
        <v>377736</v>
      </c>
      <c r="G734" s="276">
        <f>ROUND(C64,0)</f>
        <v>100029</v>
      </c>
      <c r="H734" s="276">
        <f>ROUND(C65,0)</f>
        <v>0</v>
      </c>
      <c r="I734" s="276">
        <f>ROUND(C66,0)</f>
        <v>52498</v>
      </c>
      <c r="J734" s="276">
        <f>ROUND(C67,0)</f>
        <v>56401</v>
      </c>
      <c r="K734" s="276">
        <f>ROUND(C68,0)</f>
        <v>816</v>
      </c>
      <c r="L734" s="276">
        <f>ROUND(C69,0)</f>
        <v>2645</v>
      </c>
      <c r="M734" s="276">
        <f>ROUND(C70,0)</f>
        <v>0</v>
      </c>
      <c r="N734" s="276">
        <f>ROUND(C75,0)</f>
        <v>5569496</v>
      </c>
      <c r="O734" s="276">
        <f>ROUND(C73,0)</f>
        <v>5460685</v>
      </c>
      <c r="P734" s="276">
        <f>IF(C76&gt;0,ROUND(C76,0),0)</f>
        <v>2235</v>
      </c>
      <c r="Q734" s="276">
        <f>IF(C77&gt;0,ROUND(C77,0),0)</f>
        <v>6269</v>
      </c>
      <c r="R734" s="276">
        <f>IF(C78&gt;0,ROUND(C78,0),0)</f>
        <v>2330</v>
      </c>
      <c r="S734" s="276">
        <f>IF(C79&gt;0,ROUND(C79,0),0)</f>
        <v>59008</v>
      </c>
      <c r="T734" s="276">
        <f>IF(C80&gt;0,ROUND(C80,2),0)</f>
        <v>16.940000000000001</v>
      </c>
      <c r="U734" s="276"/>
      <c r="V734" s="276"/>
      <c r="W734" s="276"/>
      <c r="X734" s="276"/>
      <c r="Y734" s="276">
        <f>IF(M668&lt;&gt;0,ROUND(M668,0),0)</f>
        <v>1360930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198*2018*6030*A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198*2018*6070*A</v>
      </c>
      <c r="B736" s="276">
        <f>ROUND(E59,0)</f>
        <v>4812</v>
      </c>
      <c r="C736" s="278">
        <f>ROUND(E60,2)</f>
        <v>34.01</v>
      </c>
      <c r="D736" s="276">
        <f>ROUND(E61,0)</f>
        <v>2645430</v>
      </c>
      <c r="E736" s="276">
        <f>ROUND(E62,0)</f>
        <v>588023</v>
      </c>
      <c r="F736" s="276">
        <f>ROUND(E63,0)</f>
        <v>460829</v>
      </c>
      <c r="G736" s="276">
        <f>ROUND(E64,0)</f>
        <v>363081</v>
      </c>
      <c r="H736" s="276">
        <f>ROUND(E65,0)</f>
        <v>0</v>
      </c>
      <c r="I736" s="276">
        <f>ROUND(E66,0)</f>
        <v>724395</v>
      </c>
      <c r="J736" s="276">
        <f>ROUND(E67,0)</f>
        <v>494334</v>
      </c>
      <c r="K736" s="276">
        <f>ROUND(E68,0)</f>
        <v>14888</v>
      </c>
      <c r="L736" s="276">
        <f>ROUND(E69,0)</f>
        <v>5746</v>
      </c>
      <c r="M736" s="276">
        <f>ROUND(E70,0)</f>
        <v>0</v>
      </c>
      <c r="N736" s="276">
        <f>ROUND(E75,0)</f>
        <v>14071092</v>
      </c>
      <c r="O736" s="276">
        <f>ROUND(E73,0)</f>
        <v>12693362</v>
      </c>
      <c r="P736" s="276">
        <f>IF(E76&gt;0,ROUND(E76,0),0)</f>
        <v>19589</v>
      </c>
      <c r="Q736" s="276">
        <f>IF(E77&gt;0,ROUND(E77,0),0)</f>
        <v>14781</v>
      </c>
      <c r="R736" s="276">
        <f>IF(E78&gt;0,ROUND(E78,0),0)</f>
        <v>9157</v>
      </c>
      <c r="S736" s="276">
        <f>IF(E79&gt;0,ROUND(E79,0),0)</f>
        <v>147287</v>
      </c>
      <c r="T736" s="278">
        <f>IF(E80&gt;0,ROUND(E80,2),0)</f>
        <v>34.01</v>
      </c>
      <c r="U736" s="276"/>
      <c r="V736" s="277"/>
      <c r="W736" s="276"/>
      <c r="X736" s="276"/>
      <c r="Y736" s="276">
        <f t="shared" si="21"/>
        <v>3799596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198*2018*6100*A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198*2018*6120*A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198*2018*6140*A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198*2018*6150*A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198*2018*6170*A</v>
      </c>
      <c r="B741" s="276">
        <f>ROUND(J59,0)</f>
        <v>734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1612479</v>
      </c>
      <c r="O741" s="276">
        <f>ROUND(J73,0)</f>
        <v>1605709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59131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198*2018*6200*A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198*2018*6210*A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198*2018*6330*A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198*2018*6400*A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198*2018*7010*A</v>
      </c>
      <c r="B746" s="276">
        <f>ROUND(O59,0)</f>
        <v>479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94632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3926157</v>
      </c>
      <c r="O746" s="276">
        <f>ROUND(O73,0)</f>
        <v>3696548</v>
      </c>
      <c r="P746" s="276">
        <f>IF(O76&gt;0,ROUND(O76,0),0)</f>
        <v>3750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286974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198*2018*7020*A</v>
      </c>
      <c r="B747" s="276">
        <f>ROUND(P59,0)</f>
        <v>194937</v>
      </c>
      <c r="C747" s="278">
        <f>ROUND(P60,2)</f>
        <v>13.11</v>
      </c>
      <c r="D747" s="276">
        <f>ROUND(P61,0)</f>
        <v>1035536</v>
      </c>
      <c r="E747" s="276">
        <f>ROUND(P62,0)</f>
        <v>230172</v>
      </c>
      <c r="F747" s="276">
        <f>ROUND(P63,0)</f>
        <v>0</v>
      </c>
      <c r="G747" s="276">
        <f>ROUND(P64,0)</f>
        <v>1176086</v>
      </c>
      <c r="H747" s="276">
        <f>ROUND(P65,0)</f>
        <v>0</v>
      </c>
      <c r="I747" s="276">
        <f>ROUND(P66,0)</f>
        <v>243971</v>
      </c>
      <c r="J747" s="276">
        <f>ROUND(P67,0)</f>
        <v>96904</v>
      </c>
      <c r="K747" s="276">
        <f>ROUND(P68,0)</f>
        <v>0</v>
      </c>
      <c r="L747" s="276">
        <f>ROUND(P69,0)</f>
        <v>5107</v>
      </c>
      <c r="M747" s="276">
        <f>ROUND(P70,0)</f>
        <v>0</v>
      </c>
      <c r="N747" s="276">
        <f>ROUND(P75,0)</f>
        <v>31404057</v>
      </c>
      <c r="O747" s="276">
        <f>ROUND(P73,0)</f>
        <v>8827673</v>
      </c>
      <c r="P747" s="276">
        <f>IF(P76&gt;0,ROUND(P76,0),0)</f>
        <v>3840</v>
      </c>
      <c r="Q747" s="276">
        <f>IF(P77&gt;0,ROUND(P77,0),0)</f>
        <v>0</v>
      </c>
      <c r="R747" s="276">
        <f>IF(P78&gt;0,ROUND(P78,0),0)</f>
        <v>3495</v>
      </c>
      <c r="S747" s="276">
        <f>IF(P79&gt;0,ROUND(P79,0),0)</f>
        <v>29987</v>
      </c>
      <c r="T747" s="278">
        <f>IF(P80&gt;0,ROUND(P80,2),0)</f>
        <v>13.11</v>
      </c>
      <c r="U747" s="276"/>
      <c r="V747" s="277"/>
      <c r="W747" s="276"/>
      <c r="X747" s="276"/>
      <c r="Y747" s="276">
        <f t="shared" si="21"/>
        <v>2326716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198*2018*7030*A</v>
      </c>
      <c r="B748" s="276">
        <f>ROUND(Q59,0)</f>
        <v>0</v>
      </c>
      <c r="C748" s="278">
        <f>ROUND(Q60,2)</f>
        <v>3.73</v>
      </c>
      <c r="D748" s="276">
        <f>ROUND(Q61,0)</f>
        <v>426738</v>
      </c>
      <c r="E748" s="276">
        <f>ROUND(Q62,0)</f>
        <v>94773</v>
      </c>
      <c r="F748" s="276">
        <f>ROUND(Q63,0)</f>
        <v>0</v>
      </c>
      <c r="G748" s="276">
        <f>ROUND(Q64,0)</f>
        <v>24380</v>
      </c>
      <c r="H748" s="276">
        <f>ROUND(Q65,0)</f>
        <v>0</v>
      </c>
      <c r="I748" s="276">
        <f>ROUND(Q66,0)</f>
        <v>0</v>
      </c>
      <c r="J748" s="276">
        <f>ROUND(Q67,0)</f>
        <v>29147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6098681</v>
      </c>
      <c r="O748" s="276">
        <f>ROUND(Q73,0)</f>
        <v>1693868</v>
      </c>
      <c r="P748" s="276">
        <f>IF(Q76&gt;0,ROUND(Q76,0),0)</f>
        <v>1155</v>
      </c>
      <c r="Q748" s="276">
        <f>IF(Q77&gt;0,ROUND(Q77,0),0)</f>
        <v>0</v>
      </c>
      <c r="R748" s="276">
        <f>IF(Q78&gt;0,ROUND(Q78,0),0)</f>
        <v>549</v>
      </c>
      <c r="S748" s="276">
        <f>IF(Q79&gt;0,ROUND(Q79,0),0)</f>
        <v>14760</v>
      </c>
      <c r="T748" s="278">
        <f>IF(Q80&gt;0,ROUND(Q80,2),0)</f>
        <v>3.73</v>
      </c>
      <c r="U748" s="276"/>
      <c r="V748" s="277"/>
      <c r="W748" s="276"/>
      <c r="X748" s="276"/>
      <c r="Y748" s="276">
        <f t="shared" si="21"/>
        <v>436155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198*2018*7040*A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138927</v>
      </c>
      <c r="H749" s="276">
        <f>ROUND(R65,0)</f>
        <v>0</v>
      </c>
      <c r="I749" s="276">
        <f>ROUND(R66,0)</f>
        <v>796708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8248442</v>
      </c>
      <c r="O749" s="276">
        <f>ROUND(R73,0)</f>
        <v>2263224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465378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198*2018*7050*A</v>
      </c>
      <c r="B750" s="276"/>
      <c r="C750" s="278">
        <f>ROUND(S60,2)</f>
        <v>2.92</v>
      </c>
      <c r="D750" s="276">
        <f>ROUND(S61,0)</f>
        <v>94898</v>
      </c>
      <c r="E750" s="276">
        <f>ROUND(S62,0)</f>
        <v>20962</v>
      </c>
      <c r="F750" s="276">
        <f>ROUND(S63,0)</f>
        <v>0</v>
      </c>
      <c r="G750" s="276">
        <f>ROUND(S64,0)</f>
        <v>62457</v>
      </c>
      <c r="H750" s="276">
        <f>ROUND(S65,0)</f>
        <v>0</v>
      </c>
      <c r="I750" s="276">
        <f>ROUND(S66,0)</f>
        <v>43877</v>
      </c>
      <c r="J750" s="276">
        <f>ROUND(S67,0)</f>
        <v>39089</v>
      </c>
      <c r="K750" s="276">
        <f>ROUND(S68,0)</f>
        <v>0</v>
      </c>
      <c r="L750" s="276">
        <f>ROUND(S69,0)</f>
        <v>599</v>
      </c>
      <c r="M750" s="276">
        <f>ROUND(S70,0)</f>
        <v>0</v>
      </c>
      <c r="N750" s="276">
        <f>ROUND(S75,0)</f>
        <v>1847204</v>
      </c>
      <c r="O750" s="276">
        <f>ROUND(S73,0)</f>
        <v>727752</v>
      </c>
      <c r="P750" s="276">
        <f>IF(S76&gt;0,ROUND(S76,0),0)</f>
        <v>1549</v>
      </c>
      <c r="Q750" s="276">
        <f>IF(S77&gt;0,ROUND(S77,0),0)</f>
        <v>0</v>
      </c>
      <c r="R750" s="276">
        <f>IF(S78&gt;0,ROUND(S78,0),0)</f>
        <v>441</v>
      </c>
      <c r="S750" s="276">
        <f>IF(S79&gt;0,ROUND(S79,0),0)</f>
        <v>374</v>
      </c>
      <c r="T750" s="278">
        <f>IF(S80&gt;0,ROUND(S80,2),0)</f>
        <v>2.92</v>
      </c>
      <c r="U750" s="276"/>
      <c r="V750" s="277"/>
      <c r="W750" s="276"/>
      <c r="X750" s="276"/>
      <c r="Y750" s="276">
        <f t="shared" si="21"/>
        <v>227698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198*2018*7060*A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>
        <f t="shared" si="21"/>
        <v>0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198*2018*7070*A</v>
      </c>
      <c r="B752" s="276">
        <f>ROUND(U59,0)</f>
        <v>189775</v>
      </c>
      <c r="C752" s="278">
        <f>ROUND(U60,2)</f>
        <v>27.12</v>
      </c>
      <c r="D752" s="276">
        <f>ROUND(U61,0)</f>
        <v>1414619</v>
      </c>
      <c r="E752" s="276">
        <f>ROUND(U62,0)</f>
        <v>314117</v>
      </c>
      <c r="F752" s="276">
        <f>ROUND(U63,0)</f>
        <v>72000</v>
      </c>
      <c r="G752" s="276">
        <f>ROUND(U64,0)</f>
        <v>1064327</v>
      </c>
      <c r="H752" s="276">
        <f>ROUND(U65,0)</f>
        <v>0</v>
      </c>
      <c r="I752" s="276">
        <f>ROUND(U66,0)</f>
        <v>678444</v>
      </c>
      <c r="J752" s="276">
        <f>ROUND(U67,0)</f>
        <v>0</v>
      </c>
      <c r="K752" s="276">
        <f>ROUND(U68,0)</f>
        <v>1946</v>
      </c>
      <c r="L752" s="276">
        <f>ROUND(U69,0)</f>
        <v>11501</v>
      </c>
      <c r="M752" s="276">
        <f>ROUND(U70,0)</f>
        <v>0</v>
      </c>
      <c r="N752" s="276">
        <f>ROUND(U75,0)</f>
        <v>28983345</v>
      </c>
      <c r="O752" s="276">
        <f>ROUND(U73,0)</f>
        <v>5621916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899</v>
      </c>
      <c r="S752" s="276">
        <f>IF(U79&gt;0,ROUND(U79,0),0)</f>
        <v>156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1908421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198*2018*7110*A</v>
      </c>
      <c r="B753" s="276">
        <f>ROUND(V59,0)</f>
        <v>931</v>
      </c>
      <c r="C753" s="278">
        <f>ROUND(V60,2)</f>
        <v>1.92</v>
      </c>
      <c r="D753" s="276">
        <f>ROUND(V61,0)</f>
        <v>124328</v>
      </c>
      <c r="E753" s="276">
        <f>ROUND(V62,0)</f>
        <v>27157</v>
      </c>
      <c r="F753" s="276">
        <f>ROUND(V63,0)</f>
        <v>0</v>
      </c>
      <c r="G753" s="276">
        <f>ROUND(V64,0)</f>
        <v>11976</v>
      </c>
      <c r="H753" s="276">
        <f>ROUND(V65,0)</f>
        <v>0</v>
      </c>
      <c r="I753" s="276">
        <f>ROUND(V66,0)</f>
        <v>15892</v>
      </c>
      <c r="J753" s="276">
        <f>ROUND(V67,0)</f>
        <v>64829</v>
      </c>
      <c r="K753" s="276">
        <f>ROUND(V68,0)</f>
        <v>2704</v>
      </c>
      <c r="L753" s="276">
        <f>ROUND(V69,0)</f>
        <v>415</v>
      </c>
      <c r="M753" s="276">
        <f>ROUND(V70,0)</f>
        <v>0</v>
      </c>
      <c r="N753" s="276">
        <f>ROUND(V75,0)</f>
        <v>2608386</v>
      </c>
      <c r="O753" s="276">
        <f>ROUND(V73,0)</f>
        <v>1360872</v>
      </c>
      <c r="P753" s="276">
        <f>IF(V76&gt;0,ROUND(V76,0),0)</f>
        <v>2569</v>
      </c>
      <c r="Q753" s="276">
        <f>IF(V77&gt;0,ROUND(V77,0),0)</f>
        <v>0</v>
      </c>
      <c r="R753" s="276">
        <f>IF(V78&gt;0,ROUND(V78,0),0)</f>
        <v>157</v>
      </c>
      <c r="S753" s="276">
        <f>IF(V79&gt;0,ROUND(V79,0),0)</f>
        <v>1028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230944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198*2018*7120*A</v>
      </c>
      <c r="B754" s="276">
        <f>ROUND(W59,0)</f>
        <v>1624</v>
      </c>
      <c r="C754" s="278">
        <f>ROUND(W60,2)</f>
        <v>1.73</v>
      </c>
      <c r="D754" s="276">
        <f>ROUND(W61,0)</f>
        <v>136384</v>
      </c>
      <c r="E754" s="276">
        <f>ROUND(W62,0)</f>
        <v>29931</v>
      </c>
      <c r="F754" s="276">
        <f>ROUND(W63,0)</f>
        <v>0</v>
      </c>
      <c r="G754" s="276">
        <f>ROUND(W64,0)</f>
        <v>13978</v>
      </c>
      <c r="H754" s="276">
        <f>ROUND(W65,0)</f>
        <v>0</v>
      </c>
      <c r="I754" s="276">
        <f>ROUND(W66,0)</f>
        <v>112659</v>
      </c>
      <c r="J754" s="276">
        <f>ROUND(W67,0)</f>
        <v>0</v>
      </c>
      <c r="K754" s="276">
        <f>ROUND(W68,0)</f>
        <v>0</v>
      </c>
      <c r="L754" s="276">
        <f>ROUND(W69,0)</f>
        <v>60</v>
      </c>
      <c r="M754" s="276">
        <f>ROUND(W70,0)</f>
        <v>0</v>
      </c>
      <c r="N754" s="276">
        <f>ROUND(W75,0)</f>
        <v>8431013</v>
      </c>
      <c r="O754" s="276">
        <f>ROUND(W73,0)</f>
        <v>252139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175</v>
      </c>
      <c r="S754" s="276">
        <f>IF(W79&gt;0,ROUND(W79,0),0)</f>
        <v>3020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364975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198*2018*7130*A</v>
      </c>
      <c r="B755" s="276">
        <f>ROUND(X59,0)</f>
        <v>4652</v>
      </c>
      <c r="C755" s="278">
        <f>ROUND(X60,2)</f>
        <v>0.45</v>
      </c>
      <c r="D755" s="276">
        <f>ROUND(X61,0)</f>
        <v>27608</v>
      </c>
      <c r="E755" s="276">
        <f>ROUND(X62,0)</f>
        <v>6559</v>
      </c>
      <c r="F755" s="276">
        <f>ROUND(X63,0)</f>
        <v>0</v>
      </c>
      <c r="G755" s="276">
        <f>ROUND(X64,0)</f>
        <v>34727</v>
      </c>
      <c r="H755" s="276">
        <f>ROUND(X65,0)</f>
        <v>0</v>
      </c>
      <c r="I755" s="276">
        <f>ROUND(X66,0)</f>
        <v>79921</v>
      </c>
      <c r="J755" s="276">
        <f>ROUND(X67,0)</f>
        <v>0</v>
      </c>
      <c r="K755" s="276">
        <f>ROUND(X68,0)</f>
        <v>0</v>
      </c>
      <c r="L755" s="276">
        <f>ROUND(X69,0)</f>
        <v>500</v>
      </c>
      <c r="M755" s="276">
        <f>ROUND(X70,0)</f>
        <v>0</v>
      </c>
      <c r="N755" s="276">
        <f>ROUND(X75,0)</f>
        <v>13951412</v>
      </c>
      <c r="O755" s="276">
        <f>ROUND(X73,0)</f>
        <v>2014892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3892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547804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198*2018*7140*A</v>
      </c>
      <c r="B756" s="276">
        <f>ROUND(Y59,0)</f>
        <v>59745</v>
      </c>
      <c r="C756" s="278">
        <f>ROUND(Y60,2)</f>
        <v>24.96</v>
      </c>
      <c r="D756" s="276">
        <f>ROUND(Y61,0)</f>
        <v>2288952</v>
      </c>
      <c r="E756" s="276">
        <f>ROUND(Y62,0)</f>
        <v>486972</v>
      </c>
      <c r="F756" s="276">
        <f>ROUND(Y63,0)</f>
        <v>1069200</v>
      </c>
      <c r="G756" s="276">
        <f>ROUND(Y64,0)</f>
        <v>59366</v>
      </c>
      <c r="H756" s="276">
        <f>ROUND(Y65,0)</f>
        <v>0</v>
      </c>
      <c r="I756" s="276">
        <f>ROUND(Y66,0)</f>
        <v>1165810</v>
      </c>
      <c r="J756" s="276">
        <f>ROUND(Y67,0)</f>
        <v>110379</v>
      </c>
      <c r="K756" s="276">
        <f>ROUND(Y68,0)</f>
        <v>509303</v>
      </c>
      <c r="L756" s="276">
        <f>ROUND(Y69,0)</f>
        <v>53028</v>
      </c>
      <c r="M756" s="276">
        <f>ROUND(Y70,0)</f>
        <v>0</v>
      </c>
      <c r="N756" s="276">
        <f>ROUND(Y75,0)</f>
        <v>26307526</v>
      </c>
      <c r="O756" s="276">
        <f>ROUND(Y73,0)</f>
        <v>2832115</v>
      </c>
      <c r="P756" s="276">
        <f>IF(Y76&gt;0,ROUND(Y76,0),0)</f>
        <v>4374</v>
      </c>
      <c r="Q756" s="276">
        <f>IF(Y77&gt;0,ROUND(Y77,0),0)</f>
        <v>0</v>
      </c>
      <c r="R756" s="276">
        <f>IF(Y78&gt;0,ROUND(Y78,0),0)</f>
        <v>1636</v>
      </c>
      <c r="S756" s="276">
        <f>IF(Y79&gt;0,ROUND(Y79,0),0)</f>
        <v>39952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2043724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198*2018*7150*A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198*2018*7160*A</v>
      </c>
      <c r="B758" s="276">
        <f>ROUND(AA59,0)</f>
        <v>412</v>
      </c>
      <c r="C758" s="278">
        <f>ROUND(AA60,2)</f>
        <v>0.92</v>
      </c>
      <c r="D758" s="276">
        <f>ROUND(AA61,0)</f>
        <v>85795</v>
      </c>
      <c r="E758" s="276">
        <f>ROUND(AA62,0)</f>
        <v>18511</v>
      </c>
      <c r="F758" s="276">
        <f>ROUND(AA63,0)</f>
        <v>0</v>
      </c>
      <c r="G758" s="276">
        <f>ROUND(AA64,0)</f>
        <v>46320</v>
      </c>
      <c r="H758" s="276">
        <f>ROUND(AA65,0)</f>
        <v>0</v>
      </c>
      <c r="I758" s="276">
        <f>ROUND(AA66,0)</f>
        <v>77550</v>
      </c>
      <c r="J758" s="276">
        <f>ROUND(AA67,0)</f>
        <v>5905</v>
      </c>
      <c r="K758" s="276">
        <f>ROUND(AA68,0)</f>
        <v>0</v>
      </c>
      <c r="L758" s="276">
        <f>ROUND(AA69,0)</f>
        <v>15103</v>
      </c>
      <c r="M758" s="276">
        <f>ROUND(AA70,0)</f>
        <v>0</v>
      </c>
      <c r="N758" s="276">
        <f>ROUND(AA75,0)</f>
        <v>743614</v>
      </c>
      <c r="O758" s="276">
        <f>ROUND(AA73,0)</f>
        <v>64883</v>
      </c>
      <c r="P758" s="276">
        <f>IF(AA76&gt;0,ROUND(AA76,0),0)</f>
        <v>234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82852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198*2018*7170*A</v>
      </c>
      <c r="B759" s="276"/>
      <c r="C759" s="278">
        <f>ROUND(AB60,2)</f>
        <v>8.4</v>
      </c>
      <c r="D759" s="276">
        <f>ROUND(AB61,0)</f>
        <v>703230</v>
      </c>
      <c r="E759" s="276">
        <f>ROUND(AB62,0)</f>
        <v>154208</v>
      </c>
      <c r="F759" s="276">
        <f>ROUND(AB63,0)</f>
        <v>0</v>
      </c>
      <c r="G759" s="276">
        <f>ROUND(AB64,0)</f>
        <v>3215995</v>
      </c>
      <c r="H759" s="276">
        <f>ROUND(AB65,0)</f>
        <v>0</v>
      </c>
      <c r="I759" s="276">
        <f>ROUND(AB66,0)</f>
        <v>337755</v>
      </c>
      <c r="J759" s="276">
        <f>ROUND(AB67,0)</f>
        <v>0</v>
      </c>
      <c r="K759" s="276">
        <f>ROUND(AB68,0)</f>
        <v>108583</v>
      </c>
      <c r="L759" s="276">
        <f>ROUND(AB69,0)</f>
        <v>43055</v>
      </c>
      <c r="M759" s="276">
        <f>ROUND(AB70,0)</f>
        <v>0</v>
      </c>
      <c r="N759" s="276">
        <f>ROUND(AB75,0)</f>
        <v>18507191</v>
      </c>
      <c r="O759" s="276">
        <f>ROUND(AB73,0)</f>
        <v>4256619</v>
      </c>
      <c r="P759" s="276">
        <f>IF(AB76&gt;0,ROUND(AB76,0),0)</f>
        <v>0</v>
      </c>
      <c r="Q759" s="276">
        <f>IF(AB77&gt;0,ROUND(AB77,0),0)</f>
        <v>0</v>
      </c>
      <c r="R759" s="276">
        <f>IF(AB78&gt;0,ROUND(AB78,0),0)</f>
        <v>338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2227586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198*2018*7180*A</v>
      </c>
      <c r="B760" s="276">
        <f>ROUND(AC59,0)</f>
        <v>16776</v>
      </c>
      <c r="C760" s="278">
        <f>ROUND(AC60,2)</f>
        <v>1</v>
      </c>
      <c r="D760" s="276">
        <f>ROUND(AC61,0)</f>
        <v>93900</v>
      </c>
      <c r="E760" s="276">
        <f>ROUND(AC62,0)</f>
        <v>21230</v>
      </c>
      <c r="F760" s="276">
        <f>ROUND(AC63,0)</f>
        <v>0</v>
      </c>
      <c r="G760" s="276">
        <f>ROUND(AC64,0)</f>
        <v>62501</v>
      </c>
      <c r="H760" s="276">
        <f>ROUND(AC65,0)</f>
        <v>0</v>
      </c>
      <c r="I760" s="276">
        <f>ROUND(AC66,0)</f>
        <v>581364</v>
      </c>
      <c r="J760" s="276">
        <f>ROUND(AC67,0)</f>
        <v>6208</v>
      </c>
      <c r="K760" s="276">
        <f>ROUND(AC68,0)</f>
        <v>36263</v>
      </c>
      <c r="L760" s="276">
        <f>ROUND(AC69,0)</f>
        <v>48</v>
      </c>
      <c r="M760" s="276">
        <f>ROUND(AC70,0)</f>
        <v>0</v>
      </c>
      <c r="N760" s="276">
        <f>ROUND(AC75,0)</f>
        <v>2083816</v>
      </c>
      <c r="O760" s="276">
        <f>ROUND(AC73,0)</f>
        <v>1008472</v>
      </c>
      <c r="P760" s="276">
        <f>IF(AC76&gt;0,ROUND(AC76,0),0)</f>
        <v>246</v>
      </c>
      <c r="Q760" s="276">
        <f>IF(AC77&gt;0,ROUND(AC77,0),0)</f>
        <v>0</v>
      </c>
      <c r="R760" s="276">
        <f>IF(AC78&gt;0,ROUND(AC78,0),0)</f>
        <v>489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226848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198*2018*7190*A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198*2018*7200*A</v>
      </c>
      <c r="B762" s="276">
        <f>ROUND(AE59,0)</f>
        <v>19976</v>
      </c>
      <c r="C762" s="278">
        <f>ROUND(AE60,2)</f>
        <v>2.0099999999999998</v>
      </c>
      <c r="D762" s="276">
        <f>ROUND(AE61,0)</f>
        <v>111676</v>
      </c>
      <c r="E762" s="276">
        <f>ROUND(AE62,0)</f>
        <v>25512</v>
      </c>
      <c r="F762" s="276">
        <f>ROUND(AE63,0)</f>
        <v>0</v>
      </c>
      <c r="G762" s="276">
        <f>ROUND(AE64,0)</f>
        <v>22740</v>
      </c>
      <c r="H762" s="276">
        <f>ROUND(AE65,0)</f>
        <v>0</v>
      </c>
      <c r="I762" s="276">
        <f>ROUND(AE66,0)</f>
        <v>620806</v>
      </c>
      <c r="J762" s="276">
        <f>ROUND(AE67,0)</f>
        <v>0</v>
      </c>
      <c r="K762" s="276">
        <f>ROUND(AE68,0)</f>
        <v>28939</v>
      </c>
      <c r="L762" s="276">
        <f>ROUND(AE69,0)</f>
        <v>3493</v>
      </c>
      <c r="M762" s="276">
        <f>ROUND(AE70,0)</f>
        <v>0</v>
      </c>
      <c r="N762" s="276">
        <f>ROUND(AE75,0)</f>
        <v>3071097</v>
      </c>
      <c r="O762" s="276">
        <f>ROUND(AE73,0)</f>
        <v>696607</v>
      </c>
      <c r="P762" s="276">
        <f>IF(AE76&gt;0,ROUND(AE76,0),0)</f>
        <v>0</v>
      </c>
      <c r="Q762" s="276">
        <f>IF(AE77&gt;0,ROUND(AE77,0),0)</f>
        <v>0</v>
      </c>
      <c r="R762" s="276">
        <f>IF(AE78&gt;0,ROUND(AE78,0),0)</f>
        <v>543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247973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198*2018*7220*A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198*2018*7230*A</v>
      </c>
      <c r="B764" s="276">
        <f>ROUND(AG59,0)</f>
        <v>18770</v>
      </c>
      <c r="C764" s="278">
        <f>ROUND(AG60,2)</f>
        <v>22.66</v>
      </c>
      <c r="D764" s="276">
        <f>ROUND(AG61,0)</f>
        <v>2617827</v>
      </c>
      <c r="E764" s="276">
        <f>ROUND(AG62,0)</f>
        <v>554008</v>
      </c>
      <c r="F764" s="276">
        <f>ROUND(AG63,0)</f>
        <v>1411556</v>
      </c>
      <c r="G764" s="276">
        <f>ROUND(AG64,0)</f>
        <v>430573</v>
      </c>
      <c r="H764" s="276">
        <f>ROUND(AG65,0)</f>
        <v>0</v>
      </c>
      <c r="I764" s="276">
        <f>ROUND(AG66,0)</f>
        <v>954940</v>
      </c>
      <c r="J764" s="276">
        <f>ROUND(AG67,0)</f>
        <v>203699</v>
      </c>
      <c r="K764" s="276">
        <f>ROUND(AG68,0)</f>
        <v>0</v>
      </c>
      <c r="L764" s="276">
        <f>ROUND(AG69,0)</f>
        <v>11952</v>
      </c>
      <c r="M764" s="276">
        <f>ROUND(AG70,0)</f>
        <v>0</v>
      </c>
      <c r="N764" s="276">
        <f>ROUND(AG75,0)</f>
        <v>18729019</v>
      </c>
      <c r="O764" s="276">
        <f>ROUND(AG73,0)</f>
        <v>1176366</v>
      </c>
      <c r="P764" s="276">
        <f>IF(AG76&gt;0,ROUND(AG76,0),0)</f>
        <v>8072</v>
      </c>
      <c r="Q764" s="276">
        <f>IF(AG77&gt;0,ROUND(AG77,0),0)</f>
        <v>0</v>
      </c>
      <c r="R764" s="276">
        <f>IF(AG78&gt;0,ROUND(AG78,0),0)</f>
        <v>4274</v>
      </c>
      <c r="S764" s="276">
        <f>IF(AG79&gt;0,ROUND(AG79,0),0)</f>
        <v>93791</v>
      </c>
      <c r="T764" s="278">
        <f>IF(AG80&gt;0,ROUND(AG80,2),0)</f>
        <v>22.66</v>
      </c>
      <c r="U764" s="276"/>
      <c r="V764" s="277"/>
      <c r="W764" s="276"/>
      <c r="X764" s="276"/>
      <c r="Y764" s="276">
        <f t="shared" si="21"/>
        <v>2488477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198*2018*7240*A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198*2018*7250*A</v>
      </c>
      <c r="B766" s="276">
        <f>ROUND(AI59,0)</f>
        <v>1514</v>
      </c>
      <c r="C766" s="278">
        <f>ROUND(AI60,2)</f>
        <v>6.82</v>
      </c>
      <c r="D766" s="276">
        <f>ROUND(AI61,0)</f>
        <v>630202</v>
      </c>
      <c r="E766" s="276">
        <f>ROUND(AI62,0)</f>
        <v>139507</v>
      </c>
      <c r="F766" s="276">
        <f>ROUND(AI63,0)</f>
        <v>405</v>
      </c>
      <c r="G766" s="276">
        <f>ROUND(AI64,0)</f>
        <v>84188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197</v>
      </c>
      <c r="M766" s="276">
        <f>ROUND(AI70,0)</f>
        <v>0</v>
      </c>
      <c r="N766" s="276">
        <f>ROUND(AI75,0)</f>
        <v>2642825</v>
      </c>
      <c r="O766" s="276">
        <f>ROUND(AI73,0)</f>
        <v>2685</v>
      </c>
      <c r="P766" s="276">
        <f>IF(AI76&gt;0,ROUND(AI76,0),0)</f>
        <v>0</v>
      </c>
      <c r="Q766" s="276">
        <f>IF(AI77&gt;0,ROUND(AI77,0),0)</f>
        <v>2634</v>
      </c>
      <c r="R766" s="276">
        <f>IF(AI78&gt;0,ROUND(AI78,0),0)</f>
        <v>1250</v>
      </c>
      <c r="S766" s="276">
        <f>IF(AI79&gt;0,ROUND(AI79,0),0)</f>
        <v>22171</v>
      </c>
      <c r="T766" s="278">
        <f>IF(AI80&gt;0,ROUND(AI80,2),0)</f>
        <v>6.82</v>
      </c>
      <c r="U766" s="276"/>
      <c r="V766" s="277"/>
      <c r="W766" s="276"/>
      <c r="X766" s="276"/>
      <c r="Y766" s="276">
        <f t="shared" si="21"/>
        <v>544648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198*2018*7260*A</v>
      </c>
      <c r="B767" s="276">
        <f>ROUND(AJ59,0)</f>
        <v>68650</v>
      </c>
      <c r="C767" s="278">
        <f>ROUND(AJ60,2)</f>
        <v>102.5</v>
      </c>
      <c r="D767" s="276">
        <f>ROUND(AJ61,0)</f>
        <v>11484562</v>
      </c>
      <c r="E767" s="276">
        <f>ROUND(AJ62,0)</f>
        <v>2271446</v>
      </c>
      <c r="F767" s="276">
        <f>ROUND(AJ63,0)</f>
        <v>954087</v>
      </c>
      <c r="G767" s="276">
        <f>ROUND(AJ64,0)</f>
        <v>922446</v>
      </c>
      <c r="H767" s="276">
        <f>ROUND(AJ65,0)</f>
        <v>215402</v>
      </c>
      <c r="I767" s="276">
        <f>ROUND(AJ66,0)</f>
        <v>1765474</v>
      </c>
      <c r="J767" s="276">
        <f>ROUND(AJ67,0)</f>
        <v>741514</v>
      </c>
      <c r="K767" s="276">
        <f>ROUND(AJ68,0)</f>
        <v>625428</v>
      </c>
      <c r="L767" s="276">
        <f>ROUND(AJ69,0)</f>
        <v>213509</v>
      </c>
      <c r="M767" s="276">
        <f>ROUND(AJ70,0)</f>
        <v>0</v>
      </c>
      <c r="N767" s="276">
        <f>ROUND(AJ75,0)</f>
        <v>25975694</v>
      </c>
      <c r="O767" s="276">
        <f>ROUND(AJ73,0)</f>
        <v>1360074</v>
      </c>
      <c r="P767" s="276">
        <f>IF(AJ76&gt;0,ROUND(AJ76,0),0)</f>
        <v>29384</v>
      </c>
      <c r="Q767" s="276">
        <f>IF(AJ77&gt;0,ROUND(AJ77,0),0)</f>
        <v>0</v>
      </c>
      <c r="R767" s="276">
        <f>IF(AJ78&gt;0,ROUND(AJ78,0),0)</f>
        <v>10388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5278597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198*2018*7310*A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198*2018*7320*A</v>
      </c>
      <c r="B769" s="276">
        <f>ROUND(AL59,0)</f>
        <v>8245</v>
      </c>
      <c r="C769" s="278">
        <f>ROUND(AL60,2)</f>
        <v>8.66</v>
      </c>
      <c r="D769" s="276">
        <f>ROUND(AL61,0)</f>
        <v>583900</v>
      </c>
      <c r="E769" s="276">
        <f>ROUND(AL62,0)</f>
        <v>131145</v>
      </c>
      <c r="F769" s="276">
        <f>ROUND(AL63,0)</f>
        <v>0</v>
      </c>
      <c r="G769" s="276">
        <f>ROUND(AL64,0)</f>
        <v>128371</v>
      </c>
      <c r="H769" s="276">
        <f>ROUND(AL65,0)</f>
        <v>0</v>
      </c>
      <c r="I769" s="276">
        <f>ROUND(AL66,0)</f>
        <v>31779</v>
      </c>
      <c r="J769" s="276">
        <f>ROUND(AL67,0)</f>
        <v>0</v>
      </c>
      <c r="K769" s="276">
        <f>ROUND(AL68,0)</f>
        <v>6587</v>
      </c>
      <c r="L769" s="276">
        <f>ROUND(AL69,0)</f>
        <v>11140</v>
      </c>
      <c r="M769" s="276">
        <f>ROUND(AL70,0)</f>
        <v>0</v>
      </c>
      <c r="N769" s="276">
        <f>ROUND(AL75,0)</f>
        <v>2035903</v>
      </c>
      <c r="O769" s="276">
        <f>ROUND(AL73,0)</f>
        <v>31604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1485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293696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198*2018*7330*A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198*2018*7340*A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198*2018*7350*A</v>
      </c>
      <c r="B772" s="276">
        <f>ROUND(AO59,0)</f>
        <v>23139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198*2018*7380*A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198*2018*7390*A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198*2018*7400*A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198*2018*7410*A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198*2018*7420*A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198*2018*7430*A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198*2018*7490*A</v>
      </c>
      <c r="B779" s="276"/>
      <c r="C779" s="278">
        <f>ROUND(AV60,2)</f>
        <v>45.67</v>
      </c>
      <c r="D779" s="276">
        <f>ROUND(AV61,0)</f>
        <v>4816903</v>
      </c>
      <c r="E779" s="276">
        <f>ROUND(AV62,0)</f>
        <v>991549</v>
      </c>
      <c r="F779" s="276">
        <f>ROUND(AV63,0)</f>
        <v>90893</v>
      </c>
      <c r="G779" s="276">
        <f>ROUND(AV64,0)</f>
        <v>1886118</v>
      </c>
      <c r="H779" s="276">
        <f>ROUND(AV65,0)</f>
        <v>137711</v>
      </c>
      <c r="I779" s="276">
        <f>ROUND(AV66,0)</f>
        <v>2957716</v>
      </c>
      <c r="J779" s="276">
        <f>ROUND(AV67,0)</f>
        <v>15823</v>
      </c>
      <c r="K779" s="276">
        <f>ROUND(AV68,0)</f>
        <v>833331</v>
      </c>
      <c r="L779" s="276">
        <f>ROUND(AV69,0)</f>
        <v>152801</v>
      </c>
      <c r="M779" s="276">
        <f>ROUND(AV70,0)</f>
        <v>0</v>
      </c>
      <c r="N779" s="276">
        <f>ROUND(AV75,0)</f>
        <v>62339367</v>
      </c>
      <c r="O779" s="276">
        <f>ROUND(AV73,0)</f>
        <v>9573173</v>
      </c>
      <c r="P779" s="276">
        <f>IF(AV76&gt;0,ROUND(AV76,0),0)</f>
        <v>627</v>
      </c>
      <c r="Q779" s="276">
        <f>IF(AV77&gt;0,ROUND(AV77,0),0)</f>
        <v>0</v>
      </c>
      <c r="R779" s="276">
        <f>IF(AV78&gt;0,ROUND(AV78,0),0)</f>
        <v>1400</v>
      </c>
      <c r="S779" s="276">
        <f>IF(AV79&gt;0,ROUND(AV79,0),0)</f>
        <v>8002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4540875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198*2018*8200*A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198*2018*8310*A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198*2018*8320*A</v>
      </c>
      <c r="B782" s="276">
        <f>ROUND(AY59,0)</f>
        <v>23684</v>
      </c>
      <c r="C782" s="278">
        <f>ROUND(AY60,2)</f>
        <v>10.199999999999999</v>
      </c>
      <c r="D782" s="276">
        <f>ROUND(AY61,0)</f>
        <v>366527</v>
      </c>
      <c r="E782" s="276">
        <f>ROUND(AY62,0)</f>
        <v>80849</v>
      </c>
      <c r="F782" s="276">
        <f>ROUND(AY63,0)</f>
        <v>0</v>
      </c>
      <c r="G782" s="276">
        <f>ROUND(AY64,0)</f>
        <v>417698</v>
      </c>
      <c r="H782" s="276">
        <f>ROUND(AY65,0)</f>
        <v>0</v>
      </c>
      <c r="I782" s="276">
        <f>ROUND(AY66,0)</f>
        <v>10982</v>
      </c>
      <c r="J782" s="276">
        <f>ROUND(AY67,0)</f>
        <v>79138</v>
      </c>
      <c r="K782" s="276">
        <f>ROUND(AY68,0)</f>
        <v>853</v>
      </c>
      <c r="L782" s="276">
        <f>ROUND(AY69,0)</f>
        <v>754</v>
      </c>
      <c r="M782" s="276">
        <f>ROUND(AY70,0)</f>
        <v>0</v>
      </c>
      <c r="N782" s="276"/>
      <c r="O782" s="276"/>
      <c r="P782" s="276">
        <f>IF(AY76&gt;0,ROUND(AY76,0),0)</f>
        <v>3136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198*2018*8330*A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198*2018*8350*A</v>
      </c>
      <c r="B784" s="276">
        <f>ROUND(BA59,0)</f>
        <v>0</v>
      </c>
      <c r="C784" s="278">
        <f>ROUND(BA60,2)</f>
        <v>0.75</v>
      </c>
      <c r="D784" s="276">
        <f>ROUND(BA61,0)</f>
        <v>23670</v>
      </c>
      <c r="E784" s="276">
        <f>ROUND(BA62,0)</f>
        <v>4979</v>
      </c>
      <c r="F784" s="276">
        <f>ROUND(BA63,0)</f>
        <v>0</v>
      </c>
      <c r="G784" s="276">
        <f>ROUND(BA64,0)</f>
        <v>9516</v>
      </c>
      <c r="H784" s="276">
        <f>ROUND(BA65,0)</f>
        <v>0</v>
      </c>
      <c r="I784" s="276">
        <f>ROUND(BA66,0)</f>
        <v>489476</v>
      </c>
      <c r="J784" s="276">
        <f>ROUND(BA67,0)</f>
        <v>16832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667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198*2018*8360*A</v>
      </c>
      <c r="B785" s="276"/>
      <c r="C785" s="278">
        <f>ROUND(BB60,2)</f>
        <v>2</v>
      </c>
      <c r="D785" s="276">
        <f>ROUND(BB61,0)</f>
        <v>148283</v>
      </c>
      <c r="E785" s="276">
        <f>ROUND(BB62,0)</f>
        <v>32733</v>
      </c>
      <c r="F785" s="276">
        <f>ROUND(BB63,0)</f>
        <v>0</v>
      </c>
      <c r="G785" s="276">
        <f>ROUND(BB64,0)</f>
        <v>271</v>
      </c>
      <c r="H785" s="276">
        <f>ROUND(BB65,0)</f>
        <v>0</v>
      </c>
      <c r="I785" s="276">
        <f>ROUND(BB66,0)</f>
        <v>13624</v>
      </c>
      <c r="J785" s="276">
        <f>ROUND(BB67,0)</f>
        <v>2448</v>
      </c>
      <c r="K785" s="276">
        <f>ROUND(BB68,0)</f>
        <v>0</v>
      </c>
      <c r="L785" s="276">
        <f>ROUND(BB69,0)</f>
        <v>12693</v>
      </c>
      <c r="M785" s="276">
        <f>ROUND(BB70,0)</f>
        <v>0</v>
      </c>
      <c r="N785" s="276"/>
      <c r="O785" s="276"/>
      <c r="P785" s="276">
        <f>IF(BB76&gt;0,ROUND(BB76,0),0)</f>
        <v>97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198*2018*8370*A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198*2018*8420*A</v>
      </c>
      <c r="B787" s="276"/>
      <c r="C787" s="278">
        <f>ROUND(BD60,2)</f>
        <v>5.14</v>
      </c>
      <c r="D787" s="276">
        <f>ROUND(BD61,0)</f>
        <v>199523</v>
      </c>
      <c r="E787" s="276">
        <f>ROUND(BD62,0)</f>
        <v>44921</v>
      </c>
      <c r="F787" s="276">
        <f>ROUND(BD63,0)</f>
        <v>0</v>
      </c>
      <c r="G787" s="276">
        <f>ROUND(BD64,0)</f>
        <v>2472700</v>
      </c>
      <c r="H787" s="276">
        <f>ROUND(BD65,0)</f>
        <v>0</v>
      </c>
      <c r="I787" s="276">
        <f>ROUND(BD66,0)</f>
        <v>1987</v>
      </c>
      <c r="J787" s="276">
        <f>ROUND(BD67,0)</f>
        <v>0</v>
      </c>
      <c r="K787" s="276">
        <f>ROUND(BD68,0)</f>
        <v>0</v>
      </c>
      <c r="L787" s="276">
        <f>ROUND(BD69,0)</f>
        <v>45586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198*2018*8430*A</v>
      </c>
      <c r="B788" s="276">
        <f>ROUND(BE59,0)</f>
        <v>112246</v>
      </c>
      <c r="C788" s="278">
        <f>ROUND(BE60,2)</f>
        <v>4.13</v>
      </c>
      <c r="D788" s="276">
        <f>ROUND(BE61,0)</f>
        <v>295668</v>
      </c>
      <c r="E788" s="276">
        <f>ROUND(BE62,0)</f>
        <v>66327</v>
      </c>
      <c r="F788" s="276">
        <f>ROUND(BE63,0)</f>
        <v>0</v>
      </c>
      <c r="G788" s="276">
        <f>ROUND(BE64,0)</f>
        <v>21922</v>
      </c>
      <c r="H788" s="276">
        <f>ROUND(BE65,0)</f>
        <v>931537</v>
      </c>
      <c r="I788" s="276">
        <f>ROUND(BE66,0)</f>
        <v>351100</v>
      </c>
      <c r="J788" s="276">
        <f>ROUND(BE67,0)</f>
        <v>196558</v>
      </c>
      <c r="K788" s="276">
        <f>ROUND(BE68,0)</f>
        <v>207676</v>
      </c>
      <c r="L788" s="276">
        <f>ROUND(BE69,0)</f>
        <v>738</v>
      </c>
      <c r="M788" s="276">
        <f>ROUND(BE70,0)</f>
        <v>0</v>
      </c>
      <c r="N788" s="276"/>
      <c r="O788" s="276"/>
      <c r="P788" s="276">
        <f>IF(BE76&gt;0,ROUND(BE76,0),0)</f>
        <v>7789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198*2018*8460*A</v>
      </c>
      <c r="B789" s="276"/>
      <c r="C789" s="278">
        <f>ROUND(BF60,2)</f>
        <v>26.93</v>
      </c>
      <c r="D789" s="276">
        <f>ROUND(BF61,0)</f>
        <v>833042</v>
      </c>
      <c r="E789" s="276">
        <f>ROUND(BF62,0)</f>
        <v>184846</v>
      </c>
      <c r="F789" s="276">
        <f>ROUND(BF63,0)</f>
        <v>0</v>
      </c>
      <c r="G789" s="276">
        <f>ROUND(BF64,0)</f>
        <v>141693</v>
      </c>
      <c r="H789" s="276">
        <f>ROUND(BF65,0)</f>
        <v>0</v>
      </c>
      <c r="I789" s="276">
        <f>ROUND(BF66,0)</f>
        <v>9768</v>
      </c>
      <c r="J789" s="276">
        <f>ROUND(BF67,0)</f>
        <v>2801</v>
      </c>
      <c r="K789" s="276">
        <f>ROUND(BF68,0)</f>
        <v>0</v>
      </c>
      <c r="L789" s="276">
        <f>ROUND(BF69,0)</f>
        <v>12241</v>
      </c>
      <c r="M789" s="276">
        <f>ROUND(BF70,0)</f>
        <v>0</v>
      </c>
      <c r="N789" s="276"/>
      <c r="O789" s="276"/>
      <c r="P789" s="276">
        <f>IF(BF76&gt;0,ROUND(BF76,0),0)</f>
        <v>111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198*2018*8470*A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198*2018*8480*A</v>
      </c>
      <c r="B791" s="276"/>
      <c r="C791" s="278">
        <f>ROUND(BH60,2)</f>
        <v>17.37</v>
      </c>
      <c r="D791" s="276">
        <f>ROUND(BH61,0)</f>
        <v>1226362</v>
      </c>
      <c r="E791" s="276">
        <f>ROUND(BH62,0)</f>
        <v>269954</v>
      </c>
      <c r="F791" s="276">
        <f>ROUND(BH63,0)</f>
        <v>0</v>
      </c>
      <c r="G791" s="276">
        <f>ROUND(BH64,0)</f>
        <v>373404</v>
      </c>
      <c r="H791" s="276">
        <f>ROUND(BH65,0)</f>
        <v>0</v>
      </c>
      <c r="I791" s="276">
        <f>ROUND(BH66,0)</f>
        <v>1254558</v>
      </c>
      <c r="J791" s="276">
        <f>ROUND(BH67,0)</f>
        <v>0</v>
      </c>
      <c r="K791" s="276">
        <f>ROUND(BH68,0)</f>
        <v>71974</v>
      </c>
      <c r="L791" s="276">
        <f>ROUND(BH69,0)</f>
        <v>56954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198*2018*8490*A</v>
      </c>
      <c r="B792" s="276"/>
      <c r="C792" s="278">
        <f>ROUND(BI60,2)</f>
        <v>1.0900000000000001</v>
      </c>
      <c r="D792" s="276">
        <f>ROUND(BI61,0)</f>
        <v>52555</v>
      </c>
      <c r="E792" s="276">
        <f>ROUND(BI62,0)</f>
        <v>11567</v>
      </c>
      <c r="F792" s="276">
        <f>ROUND(BI63,0)</f>
        <v>0</v>
      </c>
      <c r="G792" s="276">
        <f>ROUND(BI64,0)</f>
        <v>3385</v>
      </c>
      <c r="H792" s="276">
        <f>ROUND(BI65,0)</f>
        <v>0</v>
      </c>
      <c r="I792" s="276">
        <f>ROUND(BI66,0)</f>
        <v>12691</v>
      </c>
      <c r="J792" s="276">
        <f>ROUND(BI67,0)</f>
        <v>0</v>
      </c>
      <c r="K792" s="276">
        <f>ROUND(BI68,0)</f>
        <v>0</v>
      </c>
      <c r="L792" s="276">
        <f>ROUND(BI69,0)</f>
        <v>498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198*2018*8510*A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198*2018*8530*A</v>
      </c>
      <c r="B794" s="276"/>
      <c r="C794" s="278">
        <f>ROUND(BK60,2)</f>
        <v>27.4</v>
      </c>
      <c r="D794" s="276">
        <f>ROUND(BK61,0)</f>
        <v>813612</v>
      </c>
      <c r="E794" s="276">
        <f>ROUND(BK62,0)</f>
        <v>179187</v>
      </c>
      <c r="F794" s="276">
        <f>ROUND(BK63,0)</f>
        <v>234542</v>
      </c>
      <c r="G794" s="276">
        <f>ROUND(BK64,0)</f>
        <v>12281</v>
      </c>
      <c r="H794" s="276">
        <f>ROUND(BK65,0)</f>
        <v>0</v>
      </c>
      <c r="I794" s="276">
        <f>ROUND(BK66,0)</f>
        <v>1701435</v>
      </c>
      <c r="J794" s="276">
        <f>ROUND(BK67,0)</f>
        <v>53095</v>
      </c>
      <c r="K794" s="276">
        <f>ROUND(BK68,0)</f>
        <v>5948</v>
      </c>
      <c r="L794" s="276">
        <f>ROUND(BK69,0)</f>
        <v>20075</v>
      </c>
      <c r="M794" s="276">
        <f>ROUND(BK70,0)</f>
        <v>0</v>
      </c>
      <c r="N794" s="276"/>
      <c r="O794" s="276"/>
      <c r="P794" s="276">
        <f>IF(BK76&gt;0,ROUND(BK76,0),0)</f>
        <v>2104</v>
      </c>
      <c r="Q794" s="276">
        <f>IF(BK77&gt;0,ROUND(BK77,0),0)</f>
        <v>0</v>
      </c>
      <c r="R794" s="276">
        <f>IF(BK78&gt;0,ROUND(BK78,0),0)</f>
        <v>543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198*2018*8560*A</v>
      </c>
      <c r="B795" s="276"/>
      <c r="C795" s="278">
        <f>ROUND(BL60,2)</f>
        <v>21.61</v>
      </c>
      <c r="D795" s="276">
        <f>ROUND(BL61,0)</f>
        <v>814670</v>
      </c>
      <c r="E795" s="276">
        <f>ROUND(BL62,0)</f>
        <v>179849</v>
      </c>
      <c r="F795" s="276">
        <f>ROUND(BL63,0)</f>
        <v>0</v>
      </c>
      <c r="G795" s="276">
        <f>ROUND(BL64,0)</f>
        <v>21199</v>
      </c>
      <c r="H795" s="276">
        <f>ROUND(BL65,0)</f>
        <v>0</v>
      </c>
      <c r="I795" s="276">
        <f>ROUND(BL66,0)</f>
        <v>27587</v>
      </c>
      <c r="J795" s="276">
        <f>ROUND(BL67,0)</f>
        <v>0</v>
      </c>
      <c r="K795" s="276">
        <f>ROUND(BL68,0)</f>
        <v>0</v>
      </c>
      <c r="L795" s="276">
        <f>ROUND(BL69,0)</f>
        <v>585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930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198*2018*8590*A</v>
      </c>
      <c r="B796" s="276"/>
      <c r="C796" s="278">
        <f>ROUND(BM60,2)</f>
        <v>4.91</v>
      </c>
      <c r="D796" s="276">
        <f>ROUND(BM61,0)</f>
        <v>307852</v>
      </c>
      <c r="E796" s="276">
        <f>ROUND(BM62,0)</f>
        <v>66821</v>
      </c>
      <c r="F796" s="276">
        <f>ROUND(BM63,0)</f>
        <v>101270</v>
      </c>
      <c r="G796" s="276">
        <f>ROUND(BM64,0)</f>
        <v>2424</v>
      </c>
      <c r="H796" s="276">
        <f>ROUND(BM65,0)</f>
        <v>0</v>
      </c>
      <c r="I796" s="276">
        <f>ROUND(BM66,0)</f>
        <v>7114</v>
      </c>
      <c r="J796" s="276">
        <f>ROUND(BM67,0)</f>
        <v>0</v>
      </c>
      <c r="K796" s="276">
        <f>ROUND(BM68,0)</f>
        <v>0</v>
      </c>
      <c r="L796" s="276">
        <f>ROUND(BM69,0)</f>
        <v>42635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151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198*2018*8610*A</v>
      </c>
      <c r="B797" s="276"/>
      <c r="C797" s="278">
        <f>ROUND(BN60,2)</f>
        <v>2.92</v>
      </c>
      <c r="D797" s="276">
        <f>ROUND(BN61,0)</f>
        <v>261670</v>
      </c>
      <c r="E797" s="276">
        <f>ROUND(BN62,0)</f>
        <v>61212</v>
      </c>
      <c r="F797" s="276">
        <f>ROUND(BN63,0)</f>
        <v>723624</v>
      </c>
      <c r="G797" s="276">
        <f>ROUND(BN64,0)</f>
        <v>4046</v>
      </c>
      <c r="H797" s="276">
        <f>ROUND(BN65,0)</f>
        <v>0</v>
      </c>
      <c r="I797" s="276">
        <f>ROUND(BN66,0)</f>
        <v>7578080</v>
      </c>
      <c r="J797" s="276">
        <f>ROUND(BN67,0)</f>
        <v>417896</v>
      </c>
      <c r="K797" s="276">
        <f>ROUND(BN68,0)</f>
        <v>129933</v>
      </c>
      <c r="L797" s="276">
        <f>ROUND(BN69,0)</f>
        <v>259440</v>
      </c>
      <c r="M797" s="276">
        <f>ROUND(BN70,0)</f>
        <v>0</v>
      </c>
      <c r="N797" s="276"/>
      <c r="O797" s="276"/>
      <c r="P797" s="276">
        <f>IF(BN76&gt;0,ROUND(BN76,0),0)</f>
        <v>16560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198*2018*8620*A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198*2018*8630*A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59340</v>
      </c>
      <c r="J799" s="276">
        <f>ROUND(BP67,0)</f>
        <v>0</v>
      </c>
      <c r="K799" s="276">
        <f>ROUND(BP68,0)</f>
        <v>0</v>
      </c>
      <c r="L799" s="276">
        <f>ROUND(BP69,0)</f>
        <v>3985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198*2018*8640*A</v>
      </c>
      <c r="B800" s="276"/>
      <c r="C800" s="278">
        <f>ROUND(BQ60,2)</f>
        <v>2.0499999999999998</v>
      </c>
      <c r="D800" s="276">
        <f>ROUND(BQ61,0)</f>
        <v>151636</v>
      </c>
      <c r="E800" s="276">
        <f>ROUND(BQ62,0)</f>
        <v>33878</v>
      </c>
      <c r="F800" s="276">
        <f>ROUND(BQ63,0)</f>
        <v>0</v>
      </c>
      <c r="G800" s="276">
        <f>ROUND(BQ64,0)</f>
        <v>4501</v>
      </c>
      <c r="H800" s="276">
        <f>ROUND(BQ65,0)</f>
        <v>0</v>
      </c>
      <c r="I800" s="276">
        <f>ROUND(BQ66,0)</f>
        <v>1848</v>
      </c>
      <c r="J800" s="276">
        <f>ROUND(BQ67,0)</f>
        <v>0</v>
      </c>
      <c r="K800" s="276">
        <f>ROUND(BQ68,0)</f>
        <v>11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198*2018*8650*A</v>
      </c>
      <c r="B801" s="276"/>
      <c r="C801" s="278">
        <f>ROUND(BR60,2)</f>
        <v>4.99</v>
      </c>
      <c r="D801" s="276">
        <f>ROUND(BR61,0)</f>
        <v>313730</v>
      </c>
      <c r="E801" s="276">
        <f>ROUND(BR62,0)</f>
        <v>69376</v>
      </c>
      <c r="F801" s="276">
        <f>ROUND(BR63,0)</f>
        <v>0</v>
      </c>
      <c r="G801" s="276">
        <f>ROUND(BR64,0)</f>
        <v>4683</v>
      </c>
      <c r="H801" s="276">
        <f>ROUND(BR65,0)</f>
        <v>0</v>
      </c>
      <c r="I801" s="276">
        <f>ROUND(BR66,0)</f>
        <v>84145</v>
      </c>
      <c r="J801" s="276">
        <f>ROUND(BR67,0)</f>
        <v>0</v>
      </c>
      <c r="K801" s="276">
        <f>ROUND(BR68,0)</f>
        <v>0</v>
      </c>
      <c r="L801" s="276">
        <f>ROUND(BR69,0)</f>
        <v>113625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198*2018*8660*A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198*2018*8670*A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198*2018*8680*A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198*2018*8690*A</v>
      </c>
      <c r="B805" s="276"/>
      <c r="C805" s="278">
        <f>ROUND(BV60,2)</f>
        <v>10.08</v>
      </c>
      <c r="D805" s="276">
        <f>ROUND(BV61,0)</f>
        <v>453969</v>
      </c>
      <c r="E805" s="276">
        <f>ROUND(BV62,0)</f>
        <v>99730</v>
      </c>
      <c r="F805" s="276">
        <f>ROUND(BV63,0)</f>
        <v>0</v>
      </c>
      <c r="G805" s="276">
        <f>ROUND(BV64,0)</f>
        <v>10776</v>
      </c>
      <c r="H805" s="276">
        <f>ROUND(BV65,0)</f>
        <v>0</v>
      </c>
      <c r="I805" s="276">
        <f>ROUND(BV66,0)</f>
        <v>131594</v>
      </c>
      <c r="J805" s="276">
        <f>ROUND(BV67,0)</f>
        <v>67050</v>
      </c>
      <c r="K805" s="276">
        <f>ROUND(BV68,0)</f>
        <v>0</v>
      </c>
      <c r="L805" s="276">
        <f>ROUND(BV69,0)</f>
        <v>1166</v>
      </c>
      <c r="M805" s="276">
        <f>ROUND(BV70,0)</f>
        <v>0</v>
      </c>
      <c r="N805" s="276"/>
      <c r="O805" s="276"/>
      <c r="P805" s="276">
        <f>IF(BV76&gt;0,ROUND(BV76,0),0)</f>
        <v>2657</v>
      </c>
      <c r="Q805" s="276">
        <f>IF(BV77&gt;0,ROUND(BV77,0),0)</f>
        <v>0</v>
      </c>
      <c r="R805" s="276">
        <f>IF(BV78&gt;0,ROUND(BV78,0),0)</f>
        <v>151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198*2018*8700*A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5797</v>
      </c>
      <c r="F806" s="276">
        <f>ROUND(BW63,0)</f>
        <v>0</v>
      </c>
      <c r="G806" s="276">
        <f>ROUND(BW64,0)</f>
        <v>27715</v>
      </c>
      <c r="H806" s="276">
        <f>ROUND(BW65,0)</f>
        <v>0</v>
      </c>
      <c r="I806" s="276">
        <f>ROUND(BW66,0)</f>
        <v>2943</v>
      </c>
      <c r="J806" s="276">
        <f>ROUND(BW67,0)</f>
        <v>0</v>
      </c>
      <c r="K806" s="276">
        <f>ROUND(BW68,0)</f>
        <v>0</v>
      </c>
      <c r="L806" s="276">
        <f>ROUND(BW69,0)</f>
        <v>6048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198*2018*8710*A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198*2018*8720*A</v>
      </c>
      <c r="B808" s="276"/>
      <c r="C808" s="278">
        <f>ROUND(BY60,2)</f>
        <v>7.79</v>
      </c>
      <c r="D808" s="276">
        <f>ROUND(BY61,0)</f>
        <v>668381</v>
      </c>
      <c r="E808" s="276">
        <f>ROUND(BY62,0)</f>
        <v>150636</v>
      </c>
      <c r="F808" s="276">
        <f>ROUND(BY63,0)</f>
        <v>141024</v>
      </c>
      <c r="G808" s="276">
        <f>ROUND(BY64,0)</f>
        <v>1021</v>
      </c>
      <c r="H808" s="276">
        <f>ROUND(BY65,0)</f>
        <v>0</v>
      </c>
      <c r="I808" s="276">
        <f>ROUND(BY66,0)</f>
        <v>12010</v>
      </c>
      <c r="J808" s="276">
        <f>ROUND(BY67,0)</f>
        <v>4719</v>
      </c>
      <c r="K808" s="276">
        <f>ROUND(BY68,0)</f>
        <v>0</v>
      </c>
      <c r="L808" s="276">
        <f>ROUND(BY69,0)</f>
        <v>16596</v>
      </c>
      <c r="M808" s="276">
        <f>ROUND(BY70,0)</f>
        <v>0</v>
      </c>
      <c r="N808" s="276"/>
      <c r="O808" s="276"/>
      <c r="P808" s="276">
        <f>IF(BY76&gt;0,ROUND(BY76,0),0)</f>
        <v>187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198*2018*8730*A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198*2018*8740*A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198*2018*8770*A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198*2018*8790*A</v>
      </c>
      <c r="B812" s="276"/>
      <c r="C812" s="278">
        <f>ROUND(CC60,2)</f>
        <v>9.5299999999999994</v>
      </c>
      <c r="D812" s="276">
        <f>ROUND(CC61,0)</f>
        <v>570185</v>
      </c>
      <c r="E812" s="276">
        <f>ROUND(CC62,0)</f>
        <v>127532</v>
      </c>
      <c r="F812" s="276">
        <f>ROUND(CC63,0)</f>
        <v>68208</v>
      </c>
      <c r="G812" s="276">
        <f>ROUND(CC64,0)</f>
        <v>62554</v>
      </c>
      <c r="H812" s="276">
        <f>ROUND(CC65,0)</f>
        <v>0</v>
      </c>
      <c r="I812" s="276">
        <f>ROUND(CC66,0)</f>
        <v>248941</v>
      </c>
      <c r="J812" s="276">
        <f>ROUND(CC67,0)</f>
        <v>33159</v>
      </c>
      <c r="K812" s="276">
        <f>ROUND(CC68,0)</f>
        <v>564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1314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198*2018*9000*A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1142978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484.42</v>
      </c>
      <c r="D815" s="277">
        <f t="shared" si="22"/>
        <v>38292896</v>
      </c>
      <c r="E815" s="277">
        <f t="shared" si="22"/>
        <v>8100905</v>
      </c>
      <c r="F815" s="277">
        <f t="shared" si="22"/>
        <v>5705374</v>
      </c>
      <c r="G815" s="277">
        <f t="shared" si="22"/>
        <v>13440375</v>
      </c>
      <c r="H815" s="277">
        <f t="shared" si="22"/>
        <v>1284650</v>
      </c>
      <c r="I815" s="277">
        <f t="shared" si="22"/>
        <v>23240782</v>
      </c>
      <c r="J815" s="277">
        <f t="shared" si="22"/>
        <v>2832560</v>
      </c>
      <c r="K815" s="277">
        <f t="shared" si="22"/>
        <v>2585747</v>
      </c>
      <c r="L815" s="277">
        <f>SUM(L734:L813)+SUM(U734:U813)</f>
        <v>2267496</v>
      </c>
      <c r="M815" s="277">
        <f>SUM(M734:M813)+SUM(V734:V813)</f>
        <v>0</v>
      </c>
      <c r="N815" s="277">
        <f t="shared" ref="N815:Y815" si="23">SUM(N734:N813)</f>
        <v>289187816</v>
      </c>
      <c r="O815" s="277">
        <f t="shared" si="23"/>
        <v>67221238</v>
      </c>
      <c r="P815" s="277">
        <f t="shared" si="23"/>
        <v>112246</v>
      </c>
      <c r="Q815" s="277">
        <f t="shared" si="23"/>
        <v>23684</v>
      </c>
      <c r="R815" s="277">
        <f t="shared" si="23"/>
        <v>40781</v>
      </c>
      <c r="S815" s="277">
        <f t="shared" si="23"/>
        <v>423428</v>
      </c>
      <c r="T815" s="281">
        <f t="shared" si="23"/>
        <v>100.19</v>
      </c>
      <c r="U815" s="277">
        <f t="shared" si="23"/>
        <v>1142978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29989998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484.42</v>
      </c>
      <c r="D816" s="277">
        <f>CE61</f>
        <v>38292896</v>
      </c>
      <c r="E816" s="277">
        <f>CE62</f>
        <v>8100905</v>
      </c>
      <c r="F816" s="277">
        <f>CE63</f>
        <v>5705374</v>
      </c>
      <c r="G816" s="277">
        <f>CE64</f>
        <v>13440375</v>
      </c>
      <c r="H816" s="280">
        <f>CE65</f>
        <v>1284650</v>
      </c>
      <c r="I816" s="280">
        <f>CE66</f>
        <v>23240782</v>
      </c>
      <c r="J816" s="280">
        <f>CE67</f>
        <v>2832560</v>
      </c>
      <c r="K816" s="280">
        <f>CE68</f>
        <v>2585747</v>
      </c>
      <c r="L816" s="280">
        <f>CE69</f>
        <v>2267496</v>
      </c>
      <c r="M816" s="280">
        <f>CE70</f>
        <v>0</v>
      </c>
      <c r="N816" s="277">
        <f>CE75</f>
        <v>289187816</v>
      </c>
      <c r="O816" s="277">
        <f>CE73</f>
        <v>67221238</v>
      </c>
      <c r="P816" s="277">
        <f>CE76</f>
        <v>112246</v>
      </c>
      <c r="Q816" s="277">
        <f>CE77</f>
        <v>23684</v>
      </c>
      <c r="R816" s="277">
        <f>CE78</f>
        <v>40781</v>
      </c>
      <c r="S816" s="277">
        <f>CE79</f>
        <v>423428</v>
      </c>
      <c r="T816" s="281">
        <f>CE80</f>
        <v>100.19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29989998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38292898</v>
      </c>
      <c r="E817" s="180">
        <f>C379</f>
        <v>8100905</v>
      </c>
      <c r="F817" s="180">
        <f>C380</f>
        <v>5705374</v>
      </c>
      <c r="G817" s="240">
        <f>C381</f>
        <v>13440375</v>
      </c>
      <c r="H817" s="240">
        <f>C382</f>
        <v>1284650</v>
      </c>
      <c r="I817" s="240">
        <f>C383</f>
        <v>23243574</v>
      </c>
      <c r="J817" s="240">
        <f>C384</f>
        <v>3256561</v>
      </c>
      <c r="K817" s="240">
        <f>C385</f>
        <v>2585749</v>
      </c>
      <c r="L817" s="240">
        <f>C386+C387+C388+C389</f>
        <v>3743160</v>
      </c>
      <c r="M817" s="240">
        <f>C370</f>
        <v>616559</v>
      </c>
      <c r="N817" s="180">
        <f>D361</f>
        <v>289187816</v>
      </c>
      <c r="O817" s="180">
        <f>C359</f>
        <v>67221238</v>
      </c>
    </row>
  </sheetData>
  <mergeCells count="1">
    <mergeCell ref="B220:C220"/>
  </mergeCells>
  <hyperlinks>
    <hyperlink ref="F16" r:id="rId1"/>
    <hyperlink ref="C17" r:id="rId2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34" zoomScale="75" workbookViewId="0">
      <selection activeCell="M15" sqref="M15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Astria Sunnyside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H-198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1016 Tacoma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719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Sunnyside, WA 98944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H-198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Astria Sunnyside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Yakima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Brian Gibbons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Michael Long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Peggy Brewer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(509)837-1500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(509)837-1512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2351</v>
      </c>
      <c r="G23" s="21">
        <f>data!D111</f>
        <v>5693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</v>
      </c>
      <c r="G24" s="21">
        <f>data!D112</f>
        <v>21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438</v>
      </c>
      <c r="G26" s="13">
        <f>data!D114</f>
        <v>682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14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Astria Sunnyside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876</v>
      </c>
      <c r="C7" s="48">
        <f>data!B139</f>
        <v>2122</v>
      </c>
      <c r="D7" s="48">
        <f>data!B140</f>
        <v>0</v>
      </c>
      <c r="E7" s="48">
        <f>data!B141</f>
        <v>37031028</v>
      </c>
      <c r="F7" s="48">
        <f>data!B142</f>
        <v>81538012</v>
      </c>
      <c r="G7" s="48">
        <f>data!B141+data!B142</f>
        <v>118569040</v>
      </c>
    </row>
    <row r="8" spans="1:13" ht="20.100000000000001" customHeight="1" x14ac:dyDescent="0.25">
      <c r="A8" s="23" t="s">
        <v>297</v>
      </c>
      <c r="B8" s="48">
        <f>data!C138</f>
        <v>833</v>
      </c>
      <c r="C8" s="48">
        <f>data!C139</f>
        <v>2016</v>
      </c>
      <c r="D8" s="48">
        <f>data!C140</f>
        <v>0</v>
      </c>
      <c r="E8" s="48">
        <f>data!C141</f>
        <v>28035929</v>
      </c>
      <c r="F8" s="48">
        <f>data!C142</f>
        <v>84689427</v>
      </c>
      <c r="G8" s="48">
        <f>data!C141+data!C142</f>
        <v>112725356</v>
      </c>
    </row>
    <row r="9" spans="1:13" ht="20.100000000000001" customHeight="1" x14ac:dyDescent="0.25">
      <c r="A9" s="23" t="s">
        <v>1058</v>
      </c>
      <c r="B9" s="48">
        <f>data!D138</f>
        <v>642</v>
      </c>
      <c r="C9" s="48">
        <f>data!D139</f>
        <v>1555</v>
      </c>
      <c r="D9" s="48">
        <f>data!D140</f>
        <v>0</v>
      </c>
      <c r="E9" s="48">
        <f>data!D141</f>
        <v>11322451</v>
      </c>
      <c r="F9" s="48">
        <f>data!D142</f>
        <v>75609517</v>
      </c>
      <c r="G9" s="48">
        <f>data!D141+data!D142</f>
        <v>86931968</v>
      </c>
    </row>
    <row r="10" spans="1:13" ht="20.100000000000001" customHeight="1" x14ac:dyDescent="0.25">
      <c r="A10" s="111" t="s">
        <v>203</v>
      </c>
      <c r="B10" s="48">
        <f>data!E138</f>
        <v>2351</v>
      </c>
      <c r="C10" s="48">
        <f>data!E139</f>
        <v>5693</v>
      </c>
      <c r="D10" s="48">
        <f>data!E140</f>
        <v>0</v>
      </c>
      <c r="E10" s="48">
        <f>data!E141</f>
        <v>76389408</v>
      </c>
      <c r="F10" s="48">
        <f>data!E142</f>
        <v>241836956</v>
      </c>
      <c r="G10" s="48">
        <f>data!E141+data!E142</f>
        <v>318226364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</v>
      </c>
      <c r="C16" s="48">
        <f>data!B145</f>
        <v>21</v>
      </c>
      <c r="D16" s="48">
        <f>data!B146</f>
        <v>0</v>
      </c>
      <c r="E16" s="48">
        <f>data!B147</f>
        <v>41174</v>
      </c>
      <c r="F16" s="48">
        <f>data!B148</f>
        <v>0</v>
      </c>
      <c r="G16" s="48">
        <f>data!B147+data!B148</f>
        <v>41174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2</v>
      </c>
      <c r="C19" s="48">
        <f>data!E145</f>
        <v>21</v>
      </c>
      <c r="D19" s="48">
        <f>data!E146</f>
        <v>0</v>
      </c>
      <c r="E19" s="48">
        <f>data!E147</f>
        <v>41174</v>
      </c>
      <c r="F19" s="48">
        <f>data!E148</f>
        <v>0</v>
      </c>
      <c r="G19" s="48">
        <f>data!E147+data!E148</f>
        <v>41174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15838642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7831991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Astria Sunnyside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1838288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232143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596755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2950876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1188844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10881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6817787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856172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1034013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1890185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883433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112626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996059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316916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664602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981518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666699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10225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676924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Astria Sunnyside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1057687</v>
      </c>
      <c r="D7" s="21">
        <f>data!C195</f>
        <v>0</v>
      </c>
      <c r="E7" s="21">
        <f>data!D195</f>
        <v>0</v>
      </c>
      <c r="F7" s="21">
        <f>data!E195</f>
        <v>1057687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1564552</v>
      </c>
      <c r="D8" s="21">
        <f>data!C196</f>
        <v>0</v>
      </c>
      <c r="E8" s="21">
        <f>data!D196</f>
        <v>0</v>
      </c>
      <c r="F8" s="21">
        <f>data!E196</f>
        <v>1564552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25456321</v>
      </c>
      <c r="D9" s="21">
        <f>data!C197</f>
        <v>9070</v>
      </c>
      <c r="E9" s="21">
        <f>data!D197</f>
        <v>0</v>
      </c>
      <c r="F9" s="21">
        <f>data!E197</f>
        <v>25465391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3922094</v>
      </c>
      <c r="D10" s="21">
        <f>data!C198</f>
        <v>0</v>
      </c>
      <c r="E10" s="21">
        <f>data!D198</f>
        <v>0</v>
      </c>
      <c r="F10" s="21">
        <f>data!E198</f>
        <v>3922094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20175017</v>
      </c>
      <c r="D12" s="21">
        <f>data!C200</f>
        <v>514479</v>
      </c>
      <c r="E12" s="21">
        <f>data!D200</f>
        <v>1787789</v>
      </c>
      <c r="F12" s="21">
        <f>data!E200</f>
        <v>18901707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114060</v>
      </c>
      <c r="D14" s="21">
        <f>data!C202</f>
        <v>0</v>
      </c>
      <c r="E14" s="21">
        <f>data!D202</f>
        <v>0</v>
      </c>
      <c r="F14" s="21">
        <f>data!E202</f>
        <v>114060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19924438</v>
      </c>
      <c r="D15" s="21">
        <f>data!C203</f>
        <v>742376</v>
      </c>
      <c r="E15" s="21">
        <f>data!D203</f>
        <v>0</v>
      </c>
      <c r="F15" s="21">
        <f>data!E203</f>
        <v>20666814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72214169</v>
      </c>
      <c r="D16" s="21">
        <f>data!C204</f>
        <v>1265925</v>
      </c>
      <c r="E16" s="21">
        <f>data!D204</f>
        <v>1787789</v>
      </c>
      <c r="F16" s="21">
        <f>data!E204</f>
        <v>71692305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1233907</v>
      </c>
      <c r="D24" s="21">
        <f>data!C209</f>
        <v>29012</v>
      </c>
      <c r="E24" s="21">
        <f>data!D209</f>
        <v>0</v>
      </c>
      <c r="F24" s="21">
        <f>data!E209</f>
        <v>1262919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14206337</v>
      </c>
      <c r="D25" s="21">
        <f>data!C210</f>
        <v>652207</v>
      </c>
      <c r="E25" s="21">
        <f>data!D210</f>
        <v>0</v>
      </c>
      <c r="F25" s="21">
        <f>data!E210</f>
        <v>14858544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2244193</v>
      </c>
      <c r="D26" s="21">
        <f>data!C211</f>
        <v>116580</v>
      </c>
      <c r="E26" s="21">
        <f>data!D211</f>
        <v>0</v>
      </c>
      <c r="F26" s="21">
        <f>data!E211</f>
        <v>2360773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17079443</v>
      </c>
      <c r="D28" s="21">
        <f>data!C213</f>
        <v>2553734</v>
      </c>
      <c r="E28" s="21">
        <f>data!D213</f>
        <v>424000</v>
      </c>
      <c r="F28" s="21">
        <f>data!E213</f>
        <v>19209177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256285</v>
      </c>
      <c r="D30" s="21">
        <f>data!C215</f>
        <v>0</v>
      </c>
      <c r="E30" s="21">
        <f>data!D215</f>
        <v>0</v>
      </c>
      <c r="F30" s="21">
        <f>data!E215</f>
        <v>256285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35020165</v>
      </c>
      <c r="D32" s="21">
        <f>data!C217</f>
        <v>3351533</v>
      </c>
      <c r="E32" s="21">
        <f>data!D217</f>
        <v>424000</v>
      </c>
      <c r="F32" s="21">
        <f>data!E217</f>
        <v>37947698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Astria Sunnyside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345462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75216484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71484611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6638923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48488850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201828868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6145008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6145008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208319338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Astria Sunnyside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3848619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89050570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56519422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34336605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1733236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426145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72875753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1057687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1564552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25465391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3922094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18901707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114060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20666814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71692305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37947698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33744607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476085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476085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2869671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2869671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109966116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Astria Sunnyside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16338572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3876463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-2701139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17513896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10015669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11411699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19836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21447204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21447204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71005016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71005016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109966116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Astria Sunnyside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76430582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241836956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318267538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345462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201828868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6145008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208319338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109948200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370751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370751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110318951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36116458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6817787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1156689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15276312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1222470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25061890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3351533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1890185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996059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981518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676924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1707596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95255421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15063530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-520218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14543312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14543312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Astria Sunnyside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1262</v>
      </c>
      <c r="D9" s="14">
        <f>data!D59</f>
        <v>0</v>
      </c>
      <c r="E9" s="14">
        <f>data!E59</f>
        <v>4431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17.45</v>
      </c>
      <c r="D10" s="26">
        <f>data!D60</f>
        <v>0</v>
      </c>
      <c r="E10" s="26">
        <f>data!E60</f>
        <v>38.5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1471380</v>
      </c>
      <c r="D11" s="14">
        <f>data!D61</f>
        <v>0</v>
      </c>
      <c r="E11" s="14">
        <f>data!E61</f>
        <v>2909730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286552</v>
      </c>
      <c r="D12" s="14">
        <f>data!D62</f>
        <v>0</v>
      </c>
      <c r="E12" s="14">
        <f>data!E62</f>
        <v>580020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110312</v>
      </c>
      <c r="D14" s="14">
        <f>data!D64</f>
        <v>0</v>
      </c>
      <c r="E14" s="14">
        <f>data!E64</f>
        <v>368414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357817</v>
      </c>
      <c r="D16" s="14">
        <f>data!D66</f>
        <v>0</v>
      </c>
      <c r="E16" s="14">
        <f>data!E66</f>
        <v>1726109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66734</v>
      </c>
      <c r="D17" s="14">
        <f>data!D67</f>
        <v>0</v>
      </c>
      <c r="E17" s="14">
        <f>data!E67</f>
        <v>584904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3326</v>
      </c>
      <c r="D18" s="14">
        <f>data!D68</f>
        <v>0</v>
      </c>
      <c r="E18" s="14">
        <f>data!E68</f>
        <v>16052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2031</v>
      </c>
      <c r="D19" s="14">
        <f>data!D69</f>
        <v>0</v>
      </c>
      <c r="E19" s="14">
        <f>data!E69</f>
        <v>27916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2298152</v>
      </c>
      <c r="D21" s="14">
        <f>data!D71</f>
        <v>0</v>
      </c>
      <c r="E21" s="14">
        <f>data!E71</f>
        <v>6213145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1195048</v>
      </c>
      <c r="D23" s="48">
        <f>+data!M669</f>
        <v>0</v>
      </c>
      <c r="E23" s="48">
        <f>+data!M670</f>
        <v>3664063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4889083</v>
      </c>
      <c r="D24" s="14">
        <f>data!D73</f>
        <v>0</v>
      </c>
      <c r="E24" s="14">
        <f>data!E73</f>
        <v>16292425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23234</v>
      </c>
      <c r="D25" s="14">
        <f>data!D74</f>
        <v>0</v>
      </c>
      <c r="E25" s="14">
        <f>data!E74</f>
        <v>1266403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4912317</v>
      </c>
      <c r="D26" s="14">
        <f>data!D75</f>
        <v>0</v>
      </c>
      <c r="E26" s="14">
        <f>data!E75</f>
        <v>17558828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2235</v>
      </c>
      <c r="D28" s="14">
        <f>data!D76</f>
        <v>0</v>
      </c>
      <c r="E28" s="14">
        <f>data!E76</f>
        <v>19589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6352</v>
      </c>
      <c r="D29" s="14">
        <f>data!D77</f>
        <v>0</v>
      </c>
      <c r="E29" s="14">
        <f>data!E77</f>
        <v>14978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1901</v>
      </c>
      <c r="D30" s="14">
        <f>data!D78</f>
        <v>0</v>
      </c>
      <c r="E30" s="14">
        <f>data!E78</f>
        <v>7471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48528</v>
      </c>
      <c r="D31" s="14">
        <f>data!D79</f>
        <v>0</v>
      </c>
      <c r="E31" s="14">
        <f>data!E79</f>
        <v>121128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17.45</v>
      </c>
      <c r="D32" s="84">
        <f>data!D80</f>
        <v>0</v>
      </c>
      <c r="E32" s="84">
        <f>data!E80</f>
        <v>38.5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Astria Sunnyside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682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438</v>
      </c>
      <c r="I41" s="14">
        <f>data!P59</f>
        <v>174211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13.1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1029031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203846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6000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3390415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1209469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111971</v>
      </c>
      <c r="I49" s="14">
        <f>data!P67</f>
        <v>114658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116914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86493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111971</v>
      </c>
      <c r="I53" s="14">
        <f>data!P71</f>
        <v>6156826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35097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194358</v>
      </c>
      <c r="I55" s="48">
        <f>+data!M681</f>
        <v>2479153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1681984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2267293</v>
      </c>
      <c r="I56" s="14">
        <f>data!P73</f>
        <v>9352603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128820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23456</v>
      </c>
      <c r="I57" s="14">
        <f>data!P74</f>
        <v>43259781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1810804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2290749</v>
      </c>
      <c r="I58" s="14">
        <f>data!P75</f>
        <v>52612384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3750</v>
      </c>
      <c r="I60" s="14">
        <f>data!P76</f>
        <v>3840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2852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24661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13.1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Astria Sunnyside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164342</v>
      </c>
      <c r="H73" s="14">
        <f>data!V59</f>
        <v>819</v>
      </c>
      <c r="I73" s="14">
        <f>data!W59</f>
        <v>1824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4.07</v>
      </c>
      <c r="D74" s="26">
        <f>data!R60</f>
        <v>0</v>
      </c>
      <c r="E74" s="26">
        <f>data!S60</f>
        <v>2.33</v>
      </c>
      <c r="F74" s="26">
        <f>data!T60</f>
        <v>0</v>
      </c>
      <c r="G74" s="26">
        <f>data!U60</f>
        <v>29.37</v>
      </c>
      <c r="H74" s="26">
        <f>data!V60</f>
        <v>1.44</v>
      </c>
      <c r="I74" s="26">
        <f>data!W60</f>
        <v>1.88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412356</v>
      </c>
      <c r="D75" s="14">
        <f>data!R61</f>
        <v>0</v>
      </c>
      <c r="E75" s="14">
        <f>data!S61</f>
        <v>78818</v>
      </c>
      <c r="F75" s="14">
        <f>data!T61</f>
        <v>0</v>
      </c>
      <c r="G75" s="14">
        <f>data!U61</f>
        <v>1480212</v>
      </c>
      <c r="H75" s="14">
        <f>data!V61</f>
        <v>107007</v>
      </c>
      <c r="I75" s="14">
        <f>data!W61</f>
        <v>132385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74758</v>
      </c>
      <c r="D76" s="14">
        <f>data!R62</f>
        <v>0</v>
      </c>
      <c r="E76" s="14">
        <f>data!S62</f>
        <v>17442</v>
      </c>
      <c r="F76" s="14">
        <f>data!T62</f>
        <v>0</v>
      </c>
      <c r="G76" s="14">
        <f>data!U62</f>
        <v>302817</v>
      </c>
      <c r="H76" s="14">
        <f>data!V62</f>
        <v>22675</v>
      </c>
      <c r="I76" s="14">
        <f>data!W62</f>
        <v>27207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54000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30339</v>
      </c>
      <c r="D78" s="14">
        <f>data!R64</f>
        <v>0</v>
      </c>
      <c r="E78" s="14">
        <f>data!S64</f>
        <v>150160</v>
      </c>
      <c r="F78" s="14">
        <f>data!T64</f>
        <v>0</v>
      </c>
      <c r="G78" s="14">
        <f>data!U64</f>
        <v>1433113</v>
      </c>
      <c r="H78" s="14">
        <f>data!V64</f>
        <v>288</v>
      </c>
      <c r="I78" s="14">
        <f>data!W64</f>
        <v>15226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44806</v>
      </c>
      <c r="F80" s="14">
        <f>data!T66</f>
        <v>0</v>
      </c>
      <c r="G80" s="14">
        <f>data!U66</f>
        <v>417715</v>
      </c>
      <c r="H80" s="14">
        <f>data!V66</f>
        <v>75199</v>
      </c>
      <c r="I80" s="14">
        <f>data!W66</f>
        <v>77229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34487</v>
      </c>
      <c r="D81" s="14">
        <f>data!R67</f>
        <v>0</v>
      </c>
      <c r="E81" s="14">
        <f>data!S67</f>
        <v>46251</v>
      </c>
      <c r="F81" s="14">
        <f>data!T67</f>
        <v>0</v>
      </c>
      <c r="G81" s="14">
        <f>data!U67</f>
        <v>0</v>
      </c>
      <c r="H81" s="14">
        <f>data!V67</f>
        <v>76707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24568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407</v>
      </c>
      <c r="D83" s="14">
        <f>data!R69</f>
        <v>0</v>
      </c>
      <c r="E83" s="14">
        <f>data!S69</f>
        <v>2281</v>
      </c>
      <c r="F83" s="14">
        <f>data!T69</f>
        <v>0</v>
      </c>
      <c r="G83" s="14">
        <f>data!U69</f>
        <v>27982</v>
      </c>
      <c r="H83" s="14">
        <f>data!V69</f>
        <v>6955</v>
      </c>
      <c r="I83" s="14">
        <f>data!W69</f>
        <v>109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552347</v>
      </c>
      <c r="D85" s="14">
        <f>data!R71</f>
        <v>0</v>
      </c>
      <c r="E85" s="14">
        <f>data!S71</f>
        <v>339758</v>
      </c>
      <c r="F85" s="14">
        <f>data!T71</f>
        <v>0</v>
      </c>
      <c r="G85" s="14">
        <f>data!U71</f>
        <v>3740407</v>
      </c>
      <c r="H85" s="14">
        <f>data!V71</f>
        <v>288831</v>
      </c>
      <c r="I85" s="14">
        <f>data!W71</f>
        <v>252156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341383</v>
      </c>
      <c r="D87" s="48">
        <f>+data!M683</f>
        <v>255163</v>
      </c>
      <c r="E87" s="48">
        <f>+data!M684</f>
        <v>217047</v>
      </c>
      <c r="F87" s="48">
        <f>+data!M685</f>
        <v>0</v>
      </c>
      <c r="G87" s="48">
        <f>+data!M686</f>
        <v>1247234</v>
      </c>
      <c r="H87" s="48">
        <f>+data!M687</f>
        <v>206485</v>
      </c>
      <c r="I87" s="48">
        <f>+data!M688</f>
        <v>243058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2029698</v>
      </c>
      <c r="D88" s="14">
        <f>data!R73</f>
        <v>2647222</v>
      </c>
      <c r="E88" s="14">
        <f>data!S73</f>
        <v>1152881</v>
      </c>
      <c r="F88" s="14">
        <f>data!T73</f>
        <v>0</v>
      </c>
      <c r="G88" s="14">
        <f>data!U73</f>
        <v>6508865</v>
      </c>
      <c r="H88" s="14">
        <f>data!V73</f>
        <v>1680555</v>
      </c>
      <c r="I88" s="14">
        <f>data!W73</f>
        <v>576700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4834326</v>
      </c>
      <c r="D89" s="14">
        <f>data!R74</f>
        <v>10517902</v>
      </c>
      <c r="E89" s="14">
        <f>data!S74</f>
        <v>2280646</v>
      </c>
      <c r="F89" s="14">
        <f>data!T74</f>
        <v>0</v>
      </c>
      <c r="G89" s="14">
        <f>data!U74</f>
        <v>23086589</v>
      </c>
      <c r="H89" s="14">
        <f>data!V74</f>
        <v>1564043</v>
      </c>
      <c r="I89" s="14">
        <f>data!W74</f>
        <v>9324895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6864024</v>
      </c>
      <c r="D90" s="14">
        <f>data!R75</f>
        <v>13165124</v>
      </c>
      <c r="E90" s="14">
        <f>data!S75</f>
        <v>3433527</v>
      </c>
      <c r="F90" s="14">
        <f>data!T75</f>
        <v>0</v>
      </c>
      <c r="G90" s="14">
        <f>data!U75</f>
        <v>29595454</v>
      </c>
      <c r="H90" s="14">
        <f>data!V75</f>
        <v>3244598</v>
      </c>
      <c r="I90" s="14">
        <f>data!W75</f>
        <v>9901595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1155</v>
      </c>
      <c r="D92" s="14">
        <f>data!R76</f>
        <v>0</v>
      </c>
      <c r="E92" s="14">
        <f>data!S76</f>
        <v>1549</v>
      </c>
      <c r="F92" s="14">
        <f>data!T76</f>
        <v>0</v>
      </c>
      <c r="G92" s="14">
        <f>data!U76</f>
        <v>0</v>
      </c>
      <c r="H92" s="14">
        <f>data!V76</f>
        <v>2569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448</v>
      </c>
      <c r="D94" s="14">
        <f>data!R78</f>
        <v>0</v>
      </c>
      <c r="E94" s="14">
        <f>data!S78</f>
        <v>360</v>
      </c>
      <c r="F94" s="14">
        <f>data!T78</f>
        <v>0</v>
      </c>
      <c r="G94" s="14">
        <f>data!U78</f>
        <v>733</v>
      </c>
      <c r="H94" s="14">
        <f>data!V78</f>
        <v>128</v>
      </c>
      <c r="I94" s="14">
        <f>data!W78</f>
        <v>143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12139</v>
      </c>
      <c r="D95" s="14">
        <f>data!R79</f>
        <v>0</v>
      </c>
      <c r="E95" s="14">
        <f>data!S79</f>
        <v>308</v>
      </c>
      <c r="F95" s="14">
        <f>data!T79</f>
        <v>0</v>
      </c>
      <c r="G95" s="14">
        <f>data!U79</f>
        <v>128</v>
      </c>
      <c r="H95" s="14">
        <f>data!V79</f>
        <v>845</v>
      </c>
      <c r="I95" s="14">
        <f>data!W79</f>
        <v>2484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4.07</v>
      </c>
      <c r="D96" s="84">
        <f>data!R80</f>
        <v>0</v>
      </c>
      <c r="E96" s="84">
        <f>data!S80</f>
        <v>2.33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Astria Sunnyside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4523</v>
      </c>
      <c r="D105" s="14">
        <f>data!Y59</f>
        <v>58261</v>
      </c>
      <c r="E105" s="14">
        <f>data!Z59</f>
        <v>0</v>
      </c>
      <c r="F105" s="14">
        <f>data!AA59</f>
        <v>343</v>
      </c>
      <c r="G105" s="212"/>
      <c r="H105" s="14">
        <f>data!AC59</f>
        <v>16216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0.04</v>
      </c>
      <c r="D106" s="26">
        <f>data!Y60</f>
        <v>27.78</v>
      </c>
      <c r="E106" s="26">
        <f>data!Z60</f>
        <v>0</v>
      </c>
      <c r="F106" s="26">
        <f>data!AA60</f>
        <v>0.96</v>
      </c>
      <c r="G106" s="26">
        <f>data!AB60</f>
        <v>8.1199999999999992</v>
      </c>
      <c r="H106" s="26">
        <f>data!AC60</f>
        <v>0.74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8409</v>
      </c>
      <c r="D107" s="14">
        <f>data!Y61</f>
        <v>2820802</v>
      </c>
      <c r="E107" s="14">
        <f>data!Z61</f>
        <v>0</v>
      </c>
      <c r="F107" s="14">
        <f>data!AA61</f>
        <v>85808</v>
      </c>
      <c r="G107" s="14">
        <f>data!AB61</f>
        <v>708323</v>
      </c>
      <c r="H107" s="14">
        <f>data!AC61</f>
        <v>61475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1464</v>
      </c>
      <c r="D108" s="14">
        <f>data!Y62</f>
        <v>509410</v>
      </c>
      <c r="E108" s="14">
        <f>data!Z62</f>
        <v>0</v>
      </c>
      <c r="F108" s="14">
        <f>data!AA62</f>
        <v>19374</v>
      </c>
      <c r="G108" s="14">
        <f>data!AB62</f>
        <v>136562</v>
      </c>
      <c r="H108" s="14">
        <f>data!AC62</f>
        <v>11337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8733</v>
      </c>
      <c r="E109" s="14">
        <f>data!Z63</f>
        <v>0</v>
      </c>
      <c r="F109" s="14">
        <f>data!AA63</f>
        <v>0</v>
      </c>
      <c r="G109" s="14">
        <f>data!AB63</f>
        <v>12000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66257</v>
      </c>
      <c r="D110" s="14">
        <f>data!Y64</f>
        <v>151568</v>
      </c>
      <c r="E110" s="14">
        <f>data!Z64</f>
        <v>0</v>
      </c>
      <c r="F110" s="14">
        <f>data!AA64</f>
        <v>36313</v>
      </c>
      <c r="G110" s="14">
        <f>data!AB64</f>
        <v>4415994</v>
      </c>
      <c r="H110" s="14">
        <f>data!AC64</f>
        <v>92066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41937</v>
      </c>
      <c r="D112" s="14">
        <f>data!Y66</f>
        <v>960398</v>
      </c>
      <c r="E112" s="14">
        <f>data!Z66</f>
        <v>0</v>
      </c>
      <c r="F112" s="14">
        <f>data!AA66</f>
        <v>128837</v>
      </c>
      <c r="G112" s="14">
        <f>data!AB66</f>
        <v>321923</v>
      </c>
      <c r="H112" s="14">
        <f>data!AC66</f>
        <v>782800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130602</v>
      </c>
      <c r="E113" s="14">
        <f>data!Z67</f>
        <v>0</v>
      </c>
      <c r="F113" s="14">
        <f>data!AA67</f>
        <v>6987</v>
      </c>
      <c r="G113" s="14">
        <f>data!AB67</f>
        <v>0</v>
      </c>
      <c r="H113" s="14">
        <f>data!AC67</f>
        <v>7345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94469</v>
      </c>
      <c r="H114" s="14">
        <f>data!AC68</f>
        <v>17929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33646</v>
      </c>
      <c r="E115" s="14">
        <f>data!Z69</f>
        <v>0</v>
      </c>
      <c r="F115" s="14">
        <f>data!AA69</f>
        <v>16301</v>
      </c>
      <c r="G115" s="14">
        <f>data!AB69</f>
        <v>56792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118067</v>
      </c>
      <c r="D117" s="14">
        <f>data!Y71</f>
        <v>4615159</v>
      </c>
      <c r="E117" s="14">
        <f>data!Z71</f>
        <v>0</v>
      </c>
      <c r="F117" s="14">
        <f>data!AA71</f>
        <v>293620</v>
      </c>
      <c r="G117" s="14">
        <f>data!AB71</f>
        <v>5746063</v>
      </c>
      <c r="H117" s="14">
        <f>data!AC71</f>
        <v>972952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311977</v>
      </c>
      <c r="D119" s="48">
        <f>+data!M690</f>
        <v>1559696</v>
      </c>
      <c r="E119" s="48">
        <f>+data!M691</f>
        <v>0</v>
      </c>
      <c r="F119" s="48">
        <f>+data!M692</f>
        <v>69335</v>
      </c>
      <c r="G119" s="48">
        <f>+data!M693</f>
        <v>1517297</v>
      </c>
      <c r="H119" s="48">
        <f>+data!M694</f>
        <v>271861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2603468</v>
      </c>
      <c r="D120" s="14">
        <f>data!Y73</f>
        <v>3501646</v>
      </c>
      <c r="E120" s="14">
        <f>data!Z73</f>
        <v>0</v>
      </c>
      <c r="F120" s="14">
        <f>data!AA73</f>
        <v>83974</v>
      </c>
      <c r="G120" s="14">
        <f>data!AB73</f>
        <v>5543882</v>
      </c>
      <c r="H120" s="14">
        <f>data!AC73</f>
        <v>1604100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12200239</v>
      </c>
      <c r="D121" s="14">
        <f>data!Y74</f>
        <v>24843646</v>
      </c>
      <c r="E121" s="14">
        <f>data!Z74</f>
        <v>0</v>
      </c>
      <c r="F121" s="14">
        <f>data!AA74</f>
        <v>618641</v>
      </c>
      <c r="G121" s="14">
        <f>data!AB74</f>
        <v>20625009</v>
      </c>
      <c r="H121" s="14">
        <f>data!AC74</f>
        <v>3234130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14803707</v>
      </c>
      <c r="D122" s="14">
        <f>data!Y75</f>
        <v>28345292</v>
      </c>
      <c r="E122" s="14">
        <f>data!Z75</f>
        <v>0</v>
      </c>
      <c r="F122" s="14">
        <f>data!AA75</f>
        <v>702615</v>
      </c>
      <c r="G122" s="14">
        <f>data!AB75</f>
        <v>26168891</v>
      </c>
      <c r="H122" s="14">
        <f>data!AC75</f>
        <v>4838230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4374</v>
      </c>
      <c r="E124" s="14">
        <f>data!Z76</f>
        <v>0</v>
      </c>
      <c r="F124" s="14">
        <f>data!AA76</f>
        <v>234</v>
      </c>
      <c r="G124" s="14">
        <f>data!AB76</f>
        <v>0</v>
      </c>
      <c r="H124" s="14">
        <f>data!AC76</f>
        <v>246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1335</v>
      </c>
      <c r="E126" s="14">
        <f>data!Z78</f>
        <v>0</v>
      </c>
      <c r="F126" s="14">
        <f>data!AA78</f>
        <v>0</v>
      </c>
      <c r="G126" s="14">
        <f>data!AB78</f>
        <v>276</v>
      </c>
      <c r="H126" s="14">
        <f>data!AC78</f>
        <v>399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3201</v>
      </c>
      <c r="D127" s="14">
        <f>data!Y79</f>
        <v>32856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Astria Sunnyside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9707</v>
      </c>
      <c r="D137" s="14">
        <f>data!AF59</f>
        <v>0</v>
      </c>
      <c r="E137" s="14">
        <f>data!AG59</f>
        <v>17981</v>
      </c>
      <c r="F137" s="14">
        <f>data!AH59</f>
        <v>0</v>
      </c>
      <c r="G137" s="14">
        <f>data!AI59</f>
        <v>1627</v>
      </c>
      <c r="H137" s="14">
        <f>data!AJ59</f>
        <v>74559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2.2799999999999998</v>
      </c>
      <c r="D138" s="26">
        <f>data!AF60</f>
        <v>0</v>
      </c>
      <c r="E138" s="26">
        <f>data!AG60</f>
        <v>23.01</v>
      </c>
      <c r="F138" s="26">
        <f>data!AH60</f>
        <v>0</v>
      </c>
      <c r="G138" s="26">
        <f>data!AI60</f>
        <v>6.87</v>
      </c>
      <c r="H138" s="26">
        <f>data!AJ60</f>
        <v>94.33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180558</v>
      </c>
      <c r="D139" s="14">
        <f>data!AF61</f>
        <v>0</v>
      </c>
      <c r="E139" s="14">
        <f>data!AG61</f>
        <v>2635710</v>
      </c>
      <c r="F139" s="14">
        <f>data!AH61</f>
        <v>0</v>
      </c>
      <c r="G139" s="14">
        <f>data!AI61</f>
        <v>619378</v>
      </c>
      <c r="H139" s="14">
        <f>data!AJ61</f>
        <v>9545663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31518</v>
      </c>
      <c r="D140" s="14">
        <f>data!AF62</f>
        <v>0</v>
      </c>
      <c r="E140" s="14">
        <f>data!AG62</f>
        <v>479383</v>
      </c>
      <c r="F140" s="14">
        <f>data!AH62</f>
        <v>0</v>
      </c>
      <c r="G140" s="14">
        <f>data!AI62</f>
        <v>113427</v>
      </c>
      <c r="H140" s="14">
        <f>data!AJ62</f>
        <v>1689302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391475</v>
      </c>
      <c r="F141" s="14">
        <f>data!AH63</f>
        <v>0</v>
      </c>
      <c r="G141" s="14">
        <f>data!AI63</f>
        <v>0</v>
      </c>
      <c r="H141" s="14">
        <f>data!AJ63</f>
        <v>165874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4885</v>
      </c>
      <c r="D142" s="14">
        <f>data!AF64</f>
        <v>0</v>
      </c>
      <c r="E142" s="14">
        <f>data!AG64</f>
        <v>475976</v>
      </c>
      <c r="F142" s="14">
        <f>data!AH64</f>
        <v>0</v>
      </c>
      <c r="G142" s="14">
        <f>data!AI64</f>
        <v>80281</v>
      </c>
      <c r="H142" s="14">
        <f>data!AJ64</f>
        <v>1153013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191732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310950</v>
      </c>
      <c r="D144" s="14">
        <f>data!AF66</f>
        <v>0</v>
      </c>
      <c r="E144" s="14">
        <f>data!AG66</f>
        <v>1351103</v>
      </c>
      <c r="F144" s="14">
        <f>data!AH66</f>
        <v>0</v>
      </c>
      <c r="G144" s="14">
        <f>data!AI66</f>
        <v>0</v>
      </c>
      <c r="H144" s="14">
        <f>data!AJ66</f>
        <v>2765334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241020</v>
      </c>
      <c r="F145" s="14">
        <f>data!AH67</f>
        <v>0</v>
      </c>
      <c r="G145" s="14">
        <f>data!AI67</f>
        <v>0</v>
      </c>
      <c r="H145" s="14">
        <f>data!AJ67</f>
        <v>877372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28939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488257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11</v>
      </c>
      <c r="D147" s="14">
        <f>data!AF69</f>
        <v>0</v>
      </c>
      <c r="E147" s="14">
        <f>data!AG69</f>
        <v>5227</v>
      </c>
      <c r="F147" s="14">
        <f>data!AH69</f>
        <v>0</v>
      </c>
      <c r="G147" s="14">
        <f>data!AI69</f>
        <v>0</v>
      </c>
      <c r="H147" s="14">
        <f>data!AJ69</f>
        <v>275108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556861</v>
      </c>
      <c r="D149" s="14">
        <f>data!AF71</f>
        <v>0</v>
      </c>
      <c r="E149" s="14">
        <f>data!AG71</f>
        <v>5579894</v>
      </c>
      <c r="F149" s="14">
        <f>data!AH71</f>
        <v>0</v>
      </c>
      <c r="G149" s="14">
        <f>data!AI71</f>
        <v>813086</v>
      </c>
      <c r="H149" s="14">
        <f>data!AJ71</f>
        <v>17151655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132137</v>
      </c>
      <c r="D151" s="48">
        <f>+data!M697</f>
        <v>0</v>
      </c>
      <c r="E151" s="48">
        <f>+data!M698</f>
        <v>2094319</v>
      </c>
      <c r="F151" s="48">
        <f>+data!M699</f>
        <v>0</v>
      </c>
      <c r="G151" s="48">
        <f>+data!M700</f>
        <v>459533</v>
      </c>
      <c r="H151" s="48">
        <f>+data!M701</f>
        <v>4681655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189640</v>
      </c>
      <c r="D152" s="14">
        <f>data!AF73</f>
        <v>0</v>
      </c>
      <c r="E152" s="14">
        <f>data!AG73</f>
        <v>1259810</v>
      </c>
      <c r="F152" s="14">
        <f>data!AH73</f>
        <v>0</v>
      </c>
      <c r="G152" s="14">
        <f>data!AI73</f>
        <v>140541</v>
      </c>
      <c r="H152" s="14">
        <f>data!AJ73</f>
        <v>2211166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1145053</v>
      </c>
      <c r="D153" s="14">
        <f>data!AF74</f>
        <v>0</v>
      </c>
      <c r="E153" s="14">
        <f>data!AG74</f>
        <v>20554991</v>
      </c>
      <c r="F153" s="14">
        <f>data!AH74</f>
        <v>0</v>
      </c>
      <c r="G153" s="14">
        <f>data!AI74</f>
        <v>2616149</v>
      </c>
      <c r="H153" s="14">
        <f>data!AJ74</f>
        <v>24697265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1334693</v>
      </c>
      <c r="D154" s="14">
        <f>data!AF75</f>
        <v>0</v>
      </c>
      <c r="E154" s="14">
        <f>data!AG75</f>
        <v>21814801</v>
      </c>
      <c r="F154" s="14">
        <f>data!AH75</f>
        <v>0</v>
      </c>
      <c r="G154" s="14">
        <f>data!AI75</f>
        <v>2756690</v>
      </c>
      <c r="H154" s="14">
        <f>data!AJ75</f>
        <v>26908431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8072</v>
      </c>
      <c r="F156" s="14">
        <f>data!AH76</f>
        <v>0</v>
      </c>
      <c r="G156" s="14">
        <f>data!AI76</f>
        <v>0</v>
      </c>
      <c r="H156" s="14">
        <f>data!AJ76</f>
        <v>29384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2669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443</v>
      </c>
      <c r="D158" s="14">
        <f>data!AF78</f>
        <v>0</v>
      </c>
      <c r="E158" s="14">
        <f>data!AG78</f>
        <v>3487</v>
      </c>
      <c r="F158" s="14">
        <f>data!AH78</f>
        <v>0</v>
      </c>
      <c r="G158" s="14">
        <f>data!AI78</f>
        <v>1020</v>
      </c>
      <c r="H158" s="14">
        <f>data!AJ78</f>
        <v>8476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77133</v>
      </c>
      <c r="F159" s="14">
        <f>data!AH79</f>
        <v>0</v>
      </c>
      <c r="G159" s="14">
        <f>data!AI79</f>
        <v>18233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23.01</v>
      </c>
      <c r="F160" s="26">
        <f>data!AH80</f>
        <v>0</v>
      </c>
      <c r="G160" s="26">
        <f>data!AI80</f>
        <v>6.87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Astria Sunnyside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6163</v>
      </c>
      <c r="D169" s="14">
        <f>data!AM59</f>
        <v>0</v>
      </c>
      <c r="E169" s="14">
        <f>data!AN59</f>
        <v>0</v>
      </c>
      <c r="F169" s="14">
        <f>data!AO59</f>
        <v>19944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6.03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403201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69325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105194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35310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647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4152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617829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175363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55696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1150737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1206433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1212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Astria Sunnyside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23999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49.52</v>
      </c>
      <c r="G202" s="26">
        <f>data!AW60</f>
        <v>0</v>
      </c>
      <c r="H202" s="26">
        <f>data!AX60</f>
        <v>0</v>
      </c>
      <c r="I202" s="26">
        <f>data!AY60</f>
        <v>10.08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5663409</v>
      </c>
      <c r="G203" s="14">
        <f>data!AW61</f>
        <v>0</v>
      </c>
      <c r="H203" s="14">
        <f>data!AX61</f>
        <v>0</v>
      </c>
      <c r="I203" s="14">
        <f>data!AY61</f>
        <v>363962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1002448</v>
      </c>
      <c r="G204" s="14">
        <f>data!AW62</f>
        <v>0</v>
      </c>
      <c r="H204" s="14">
        <f>data!AX62</f>
        <v>0</v>
      </c>
      <c r="I204" s="14">
        <f>data!AY62</f>
        <v>79719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183175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2251877</v>
      </c>
      <c r="G206" s="14">
        <f>data!AW64</f>
        <v>0</v>
      </c>
      <c r="H206" s="14">
        <f>data!AX64</f>
        <v>0</v>
      </c>
      <c r="I206" s="14">
        <f>data!AY64</f>
        <v>401795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82331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2448866</v>
      </c>
      <c r="G208" s="14">
        <f>data!AW66</f>
        <v>0</v>
      </c>
      <c r="H208" s="14">
        <f>data!AX66</f>
        <v>0</v>
      </c>
      <c r="I208" s="14">
        <f>data!AY66</f>
        <v>2583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18721</v>
      </c>
      <c r="G209" s="14">
        <f>data!AW67</f>
        <v>0</v>
      </c>
      <c r="H209" s="14">
        <f>data!AX67</f>
        <v>0</v>
      </c>
      <c r="I209" s="14">
        <f>data!AY67</f>
        <v>93637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784962</v>
      </c>
      <c r="G210" s="14">
        <f>data!AW68</f>
        <v>0</v>
      </c>
      <c r="H210" s="14">
        <f>data!AX68</f>
        <v>0</v>
      </c>
      <c r="I210" s="14">
        <f>data!AY68</f>
        <v>1038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35280</v>
      </c>
      <c r="G211" s="14">
        <f>data!AW69</f>
        <v>0</v>
      </c>
      <c r="H211" s="14">
        <f>data!AX69</f>
        <v>0</v>
      </c>
      <c r="I211" s="14">
        <f>data!AY69</f>
        <v>1479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12471069</v>
      </c>
      <c r="G213" s="14">
        <f>data!AW71</f>
        <v>0</v>
      </c>
      <c r="H213" s="14">
        <f>data!AX71</f>
        <v>0</v>
      </c>
      <c r="I213" s="14">
        <f>data!AY71</f>
        <v>944213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2970577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10157350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33841001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43998351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627</v>
      </c>
      <c r="G220" s="14">
        <f>data!AW76</f>
        <v>0</v>
      </c>
      <c r="H220" s="14">
        <f>data!AX76</f>
        <v>0</v>
      </c>
      <c r="I220" s="85">
        <f>data!AY76</f>
        <v>3136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1142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6580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Astria Sunnyside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112246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1</v>
      </c>
      <c r="E234" s="26">
        <f>data!BB60</f>
        <v>2.0699999999999998</v>
      </c>
      <c r="F234" s="26">
        <f>data!BC60</f>
        <v>0</v>
      </c>
      <c r="G234" s="26">
        <f>data!BD60</f>
        <v>4.7300000000000004</v>
      </c>
      <c r="H234" s="26">
        <f>data!BE60</f>
        <v>4.1500000000000004</v>
      </c>
      <c r="I234" s="26">
        <f>data!BF60</f>
        <v>23.87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32512</v>
      </c>
      <c r="E235" s="14">
        <f>data!BB61</f>
        <v>145829</v>
      </c>
      <c r="F235" s="14">
        <f>data!BC61</f>
        <v>0</v>
      </c>
      <c r="G235" s="14">
        <f>data!BD61</f>
        <v>192843</v>
      </c>
      <c r="H235" s="14">
        <f>data!BE61</f>
        <v>304486</v>
      </c>
      <c r="I235" s="14">
        <f>data!BF61</f>
        <v>738789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9959</v>
      </c>
      <c r="E236" s="14">
        <f>data!BB62</f>
        <v>27762</v>
      </c>
      <c r="F236" s="14">
        <f>data!BC62</f>
        <v>0</v>
      </c>
      <c r="G236" s="14">
        <f>data!BD62</f>
        <v>38561</v>
      </c>
      <c r="H236" s="14">
        <f>data!BE62</f>
        <v>56887</v>
      </c>
      <c r="I236" s="14">
        <f>data!BF62</f>
        <v>173430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663</v>
      </c>
      <c r="E238" s="14">
        <f>data!BB64</f>
        <v>58</v>
      </c>
      <c r="F238" s="14">
        <f>data!BC64</f>
        <v>0</v>
      </c>
      <c r="G238" s="14">
        <f>data!BD64</f>
        <v>53185</v>
      </c>
      <c r="H238" s="14">
        <f>data!BE64</f>
        <v>10594</v>
      </c>
      <c r="I238" s="14">
        <f>data!BF64</f>
        <v>133958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948407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405883</v>
      </c>
      <c r="E240" s="14">
        <f>data!BB66</f>
        <v>0</v>
      </c>
      <c r="F240" s="14">
        <f>data!BC66</f>
        <v>0</v>
      </c>
      <c r="G240" s="14">
        <f>data!BD66</f>
        <v>8801</v>
      </c>
      <c r="H240" s="14">
        <f>data!BE66</f>
        <v>534312</v>
      </c>
      <c r="I240" s="14">
        <f>data!BF66</f>
        <v>24226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19916</v>
      </c>
      <c r="E241" s="14">
        <f>data!BB67</f>
        <v>2896</v>
      </c>
      <c r="F241" s="14">
        <f>data!BC67</f>
        <v>0</v>
      </c>
      <c r="G241" s="14">
        <f>data!BD67</f>
        <v>0</v>
      </c>
      <c r="H241" s="14">
        <f>data!BE67</f>
        <v>232570</v>
      </c>
      <c r="I241" s="14">
        <f>data!BF67</f>
        <v>3314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91493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7212</v>
      </c>
      <c r="I243" s="14">
        <f>data!BF69</f>
        <v>16492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468933</v>
      </c>
      <c r="E245" s="14">
        <f>data!BB71</f>
        <v>176545</v>
      </c>
      <c r="F245" s="14">
        <f>data!BC71</f>
        <v>0</v>
      </c>
      <c r="G245" s="14">
        <f>data!BD71</f>
        <v>293390</v>
      </c>
      <c r="H245" s="14">
        <f>data!BE71</f>
        <v>2185961</v>
      </c>
      <c r="I245" s="14">
        <f>data!BF71</f>
        <v>1090209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667</v>
      </c>
      <c r="E252" s="85">
        <f>data!BB76</f>
        <v>97</v>
      </c>
      <c r="F252" s="85">
        <f>data!BC76</f>
        <v>0</v>
      </c>
      <c r="G252" s="85">
        <f>data!BD76</f>
        <v>0</v>
      </c>
      <c r="H252" s="85">
        <f>data!BE76</f>
        <v>7789</v>
      </c>
      <c r="I252" s="85">
        <f>data!BF76</f>
        <v>111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Astria Sunnyside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13.18</v>
      </c>
      <c r="E266" s="26">
        <f>data!BI60</f>
        <v>1.08</v>
      </c>
      <c r="F266" s="26">
        <f>data!BJ60</f>
        <v>0</v>
      </c>
      <c r="G266" s="26">
        <f>data!BK60</f>
        <v>21.21</v>
      </c>
      <c r="H266" s="26">
        <f>data!BL60</f>
        <v>26.01</v>
      </c>
      <c r="I266" s="26">
        <f>data!BM60</f>
        <v>6.54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865731</v>
      </c>
      <c r="E267" s="14">
        <f>data!BI61</f>
        <v>55926</v>
      </c>
      <c r="F267" s="14">
        <f>data!BJ61</f>
        <v>0</v>
      </c>
      <c r="G267" s="14">
        <f>data!BK61</f>
        <v>0</v>
      </c>
      <c r="H267" s="14">
        <f>data!BL61</f>
        <v>969048</v>
      </c>
      <c r="I267" s="14">
        <f>data!BM61</f>
        <v>417317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180369</v>
      </c>
      <c r="E268" s="14">
        <f>data!BI62</f>
        <v>11387</v>
      </c>
      <c r="F268" s="14">
        <f>data!BJ62</f>
        <v>0</v>
      </c>
      <c r="G268" s="14">
        <f>data!BK62</f>
        <v>0</v>
      </c>
      <c r="H268" s="14">
        <f>data!BL62</f>
        <v>222707</v>
      </c>
      <c r="I268" s="14">
        <f>data!BM62</f>
        <v>85798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207746</v>
      </c>
      <c r="H269" s="14">
        <f>data!BL63</f>
        <v>0</v>
      </c>
      <c r="I269" s="14">
        <f>data!BM63</f>
        <v>74400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284886</v>
      </c>
      <c r="E270" s="14">
        <f>data!BI64</f>
        <v>4116</v>
      </c>
      <c r="F270" s="14">
        <f>data!BJ64</f>
        <v>0</v>
      </c>
      <c r="G270" s="14">
        <f>data!BK64</f>
        <v>263</v>
      </c>
      <c r="H270" s="14">
        <f>data!BL64</f>
        <v>17469</v>
      </c>
      <c r="I270" s="14">
        <f>data!BM64</f>
        <v>4453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894131</v>
      </c>
      <c r="E272" s="14">
        <f>data!BI66</f>
        <v>14290</v>
      </c>
      <c r="F272" s="14">
        <f>data!BJ66</f>
        <v>0</v>
      </c>
      <c r="G272" s="14">
        <f>data!BK66</f>
        <v>47339</v>
      </c>
      <c r="H272" s="14">
        <f>data!BL66</f>
        <v>6330</v>
      </c>
      <c r="I272" s="14">
        <f>data!BM66</f>
        <v>15594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62823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65486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54600</v>
      </c>
      <c r="E275" s="14">
        <f>data!BI69</f>
        <v>422</v>
      </c>
      <c r="F275" s="14">
        <f>data!BJ69</f>
        <v>0</v>
      </c>
      <c r="G275" s="14">
        <f>data!BK69</f>
        <v>1821</v>
      </c>
      <c r="H275" s="14">
        <f>data!BL69</f>
        <v>1288</v>
      </c>
      <c r="I275" s="14">
        <f>data!BM69</f>
        <v>39109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2345203</v>
      </c>
      <c r="E277" s="14">
        <f>data!BI71</f>
        <v>86141</v>
      </c>
      <c r="F277" s="14">
        <f>data!BJ71</f>
        <v>0</v>
      </c>
      <c r="G277" s="14">
        <f>data!BK71</f>
        <v>319992</v>
      </c>
      <c r="H277" s="14">
        <f>data!BL71</f>
        <v>1216842</v>
      </c>
      <c r="I277" s="14">
        <f>data!BM71</f>
        <v>636671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2104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443</v>
      </c>
      <c r="H286" s="85">
        <f>data!BL78</f>
        <v>759</v>
      </c>
      <c r="I286" s="85">
        <f>data!BM78</f>
        <v>123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Astria Sunnyside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3.37</v>
      </c>
      <c r="D298" s="26">
        <f>data!BO60</f>
        <v>0</v>
      </c>
      <c r="E298" s="26">
        <f>data!BP60</f>
        <v>1.32</v>
      </c>
      <c r="F298" s="26">
        <f>data!BQ60</f>
        <v>2.04</v>
      </c>
      <c r="G298" s="26">
        <f>data!BR60</f>
        <v>4.8899999999999997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214145</v>
      </c>
      <c r="D299" s="14">
        <f>data!BO61</f>
        <v>0</v>
      </c>
      <c r="E299" s="14">
        <f>data!BP61</f>
        <v>0</v>
      </c>
      <c r="F299" s="14">
        <f>data!BQ61</f>
        <v>155153</v>
      </c>
      <c r="G299" s="14">
        <f>data!BR61</f>
        <v>314607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37476</v>
      </c>
      <c r="D300" s="14">
        <f>data!BO62</f>
        <v>0</v>
      </c>
      <c r="E300" s="14">
        <f>data!BP62</f>
        <v>0</v>
      </c>
      <c r="F300" s="14">
        <f>data!BQ62</f>
        <v>29490</v>
      </c>
      <c r="G300" s="14">
        <f>data!BR62</f>
        <v>60544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49956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8627</v>
      </c>
      <c r="D302" s="14">
        <f>data!BO64</f>
        <v>0</v>
      </c>
      <c r="E302" s="14">
        <f>data!BP64</f>
        <v>1397</v>
      </c>
      <c r="F302" s="14">
        <f>data!BQ64</f>
        <v>3045</v>
      </c>
      <c r="G302" s="14">
        <f>data!BR64</f>
        <v>4694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9670084</v>
      </c>
      <c r="D304" s="14">
        <f>data!BO66</f>
        <v>0</v>
      </c>
      <c r="E304" s="14">
        <f>data!BP66</f>
        <v>0</v>
      </c>
      <c r="F304" s="14">
        <f>data!BQ66</f>
        <v>154</v>
      </c>
      <c r="G304" s="14">
        <f>data!BR66</f>
        <v>27469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494462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156105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564389</v>
      </c>
      <c r="D307" s="14">
        <f>data!BO69</f>
        <v>0</v>
      </c>
      <c r="E307" s="14">
        <f>data!BP69</f>
        <v>0</v>
      </c>
      <c r="F307" s="14">
        <f>data!BQ69</f>
        <v>579</v>
      </c>
      <c r="G307" s="14">
        <f>data!BR69</f>
        <v>11115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11195244</v>
      </c>
      <c r="D309" s="14">
        <f>data!BO71</f>
        <v>0</v>
      </c>
      <c r="E309" s="14">
        <f>data!BP71</f>
        <v>1397</v>
      </c>
      <c r="F309" s="14">
        <f>data!BQ71</f>
        <v>188421</v>
      </c>
      <c r="G309" s="14">
        <f>data!BR71</f>
        <v>418429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16560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Astria Sunnyside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9.0500000000000007</v>
      </c>
      <c r="E330" s="26">
        <f>data!BW60</f>
        <v>0</v>
      </c>
      <c r="F330" s="26">
        <f>data!BX60</f>
        <v>0</v>
      </c>
      <c r="G330" s="26">
        <f>data!BY60</f>
        <v>6.65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672080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28877</v>
      </c>
      <c r="E332" s="86">
        <f>data!BW62</f>
        <v>0</v>
      </c>
      <c r="F332" s="86">
        <f>data!BX62</f>
        <v>0</v>
      </c>
      <c r="G332" s="86">
        <f>data!BY62</f>
        <v>130972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5246</v>
      </c>
      <c r="E334" s="86">
        <f>data!BW64</f>
        <v>0</v>
      </c>
      <c r="F334" s="86">
        <f>data!BX64</f>
        <v>0</v>
      </c>
      <c r="G334" s="86">
        <f>data!BY64</f>
        <v>619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146223</v>
      </c>
      <c r="E336" s="86">
        <f>data!BW66</f>
        <v>0</v>
      </c>
      <c r="F336" s="86">
        <f>data!BX66</f>
        <v>0</v>
      </c>
      <c r="G336" s="86">
        <f>data!BY66</f>
        <v>54105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79335</v>
      </c>
      <c r="E337" s="86">
        <f>data!BW67</f>
        <v>0</v>
      </c>
      <c r="F337" s="86">
        <f>data!BX67</f>
        <v>0</v>
      </c>
      <c r="G337" s="86">
        <f>data!BY67</f>
        <v>5584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19690</v>
      </c>
      <c r="E339" s="86">
        <f>data!BW69</f>
        <v>0</v>
      </c>
      <c r="F339" s="86">
        <f>data!BX69</f>
        <v>0</v>
      </c>
      <c r="G339" s="86">
        <f>data!BY69</f>
        <v>8619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279371</v>
      </c>
      <c r="E341" s="14">
        <f>data!BW71</f>
        <v>0</v>
      </c>
      <c r="F341" s="14">
        <f>data!BX71</f>
        <v>0</v>
      </c>
      <c r="G341" s="14">
        <f>data!BY71</f>
        <v>871979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2657</v>
      </c>
      <c r="E348" s="85">
        <f>data!BW76</f>
        <v>0</v>
      </c>
      <c r="F348" s="85">
        <f>data!BX76</f>
        <v>0</v>
      </c>
      <c r="G348" s="85">
        <f>data!BY76</f>
        <v>187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122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Astria Sunnyside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4.26</v>
      </c>
      <c r="E362" s="217"/>
      <c r="F362" s="211"/>
      <c r="G362" s="211"/>
      <c r="H362" s="211"/>
      <c r="I362" s="87">
        <f>data!CE60</f>
        <v>473.31999999999994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320375</v>
      </c>
      <c r="E363" s="218"/>
      <c r="F363" s="219"/>
      <c r="G363" s="219"/>
      <c r="H363" s="219"/>
      <c r="I363" s="86">
        <f>data!CE61</f>
        <v>36116458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64981</v>
      </c>
      <c r="E364" s="218"/>
      <c r="F364" s="219"/>
      <c r="G364" s="219"/>
      <c r="H364" s="219"/>
      <c r="I364" s="86">
        <f>data!CE62</f>
        <v>6817786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3330</v>
      </c>
      <c r="E365" s="218"/>
      <c r="F365" s="219"/>
      <c r="G365" s="219"/>
      <c r="H365" s="219"/>
      <c r="I365" s="86">
        <f>data!CE63</f>
        <v>1156689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9553</v>
      </c>
      <c r="E366" s="218"/>
      <c r="F366" s="219"/>
      <c r="G366" s="219"/>
      <c r="H366" s="219"/>
      <c r="I366" s="86">
        <f>data!CE64</f>
        <v>15276312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1222470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154564</v>
      </c>
      <c r="E368" s="218"/>
      <c r="F368" s="219"/>
      <c r="G368" s="219"/>
      <c r="H368" s="219"/>
      <c r="I368" s="86">
        <f>data!CE66</f>
        <v>25061890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39234</v>
      </c>
      <c r="E369" s="218"/>
      <c r="F369" s="219"/>
      <c r="G369" s="219"/>
      <c r="H369" s="219"/>
      <c r="I369" s="86">
        <f>data!CE67</f>
        <v>3351530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1890185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1381608</v>
      </c>
      <c r="F371" s="219"/>
      <c r="G371" s="219"/>
      <c r="H371" s="219"/>
      <c r="I371" s="86">
        <f>data!CE69</f>
        <v>2689114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370751</v>
      </c>
      <c r="F372" s="220"/>
      <c r="G372" s="220"/>
      <c r="H372" s="220"/>
      <c r="I372" s="14">
        <f>-data!CE70</f>
        <v>-370751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592037</v>
      </c>
      <c r="E373" s="86">
        <f>data!CD71</f>
        <v>1010857</v>
      </c>
      <c r="F373" s="219"/>
      <c r="G373" s="219"/>
      <c r="H373" s="219"/>
      <c r="I373" s="14">
        <f>data!CE71</f>
        <v>93211683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76430582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241836956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318267538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1314</v>
      </c>
      <c r="E380" s="214"/>
      <c r="F380" s="211"/>
      <c r="G380" s="211"/>
      <c r="H380" s="211"/>
      <c r="I380" s="14">
        <f>data!CE76</f>
        <v>112246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23999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33273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348224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105.33000000000001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2020-09-15T23:50:05Z</dcterms:modified>
</cp:coreProperties>
</file>