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19176" windowHeight="12072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data!$A$44:$CE$80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W815" i="10"/>
  <c r="X813" i="10"/>
  <c r="X815" i="10" s="1"/>
  <c r="W813" i="10"/>
  <c r="V813" i="10"/>
  <c r="V815" i="10" s="1"/>
  <c r="U813" i="10"/>
  <c r="U815" i="10" s="1"/>
  <c r="A813" i="10"/>
  <c r="T812" i="10"/>
  <c r="S812" i="10"/>
  <c r="R812" i="10"/>
  <c r="Q812" i="10"/>
  <c r="P812" i="10"/>
  <c r="M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K807" i="10"/>
  <c r="H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H805" i="10"/>
  <c r="G805" i="10"/>
  <c r="F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F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K799" i="10"/>
  <c r="H799" i="10"/>
  <c r="F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K792" i="10"/>
  <c r="I792" i="10"/>
  <c r="H792" i="10"/>
  <c r="G792" i="10"/>
  <c r="F792" i="10"/>
  <c r="C792" i="10"/>
  <c r="A792" i="10"/>
  <c r="T791" i="10"/>
  <c r="S791" i="10"/>
  <c r="R791" i="10"/>
  <c r="Q791" i="10"/>
  <c r="P791" i="10"/>
  <c r="M791" i="10"/>
  <c r="H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K788" i="10"/>
  <c r="H788" i="10"/>
  <c r="G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H767" i="10"/>
  <c r="G767" i="10"/>
  <c r="D767" i="10"/>
  <c r="C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M764" i="10"/>
  <c r="H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M761" i="10"/>
  <c r="H761" i="10"/>
  <c r="C761" i="10"/>
  <c r="A761" i="10"/>
  <c r="T760" i="10"/>
  <c r="S760" i="10"/>
  <c r="R760" i="10"/>
  <c r="Q760" i="10"/>
  <c r="P760" i="10"/>
  <c r="O760" i="10"/>
  <c r="M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M759" i="10"/>
  <c r="K759" i="10"/>
  <c r="H759" i="10"/>
  <c r="F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M756" i="10"/>
  <c r="K756" i="10"/>
  <c r="I756" i="10"/>
  <c r="H756" i="10"/>
  <c r="C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K752" i="10"/>
  <c r="H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M750" i="10"/>
  <c r="L750" i="10"/>
  <c r="K750" i="10"/>
  <c r="H750" i="10"/>
  <c r="F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C737" i="10"/>
  <c r="B737" i="10"/>
  <c r="A737" i="10"/>
  <c r="T736" i="10"/>
  <c r="S736" i="10"/>
  <c r="R736" i="10"/>
  <c r="Q736" i="10"/>
  <c r="P736" i="10"/>
  <c r="O736" i="10"/>
  <c r="M736" i="10"/>
  <c r="K736" i="10"/>
  <c r="H736" i="10"/>
  <c r="G736" i="10"/>
  <c r="C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M815" i="10" s="1"/>
  <c r="L734" i="10"/>
  <c r="K734" i="10"/>
  <c r="I734" i="10"/>
  <c r="H734" i="10"/>
  <c r="G734" i="10"/>
  <c r="F734" i="10"/>
  <c r="D734" i="10"/>
  <c r="C734" i="10"/>
  <c r="B734" i="10"/>
  <c r="A734" i="10"/>
  <c r="CF730" i="10"/>
  <c r="BP730" i="10"/>
  <c r="BN730" i="10"/>
  <c r="BF730" i="10"/>
  <c r="BE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I726" i="10"/>
  <c r="AH726" i="10"/>
  <c r="AE726" i="10"/>
  <c r="AD726" i="10"/>
  <c r="AC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BZ722" i="10"/>
  <c r="BY722" i="10"/>
  <c r="BS722" i="10"/>
  <c r="BR722" i="10"/>
  <c r="BQ722" i="10"/>
  <c r="BP722" i="10"/>
  <c r="BM722" i="10"/>
  <c r="BD722" i="10"/>
  <c r="BC722" i="10"/>
  <c r="BB722" i="10"/>
  <c r="BA722" i="10"/>
  <c r="AX722" i="10"/>
  <c r="AR722" i="10"/>
  <c r="AO722" i="10"/>
  <c r="AL722" i="10"/>
  <c r="AK722" i="10"/>
  <c r="AC722" i="10"/>
  <c r="AB722" i="10"/>
  <c r="AA722" i="10"/>
  <c r="Z722" i="10"/>
  <c r="W722" i="10"/>
  <c r="V722" i="10"/>
  <c r="T722" i="10"/>
  <c r="S722" i="10"/>
  <c r="P722" i="10"/>
  <c r="O722" i="10"/>
  <c r="A722" i="10"/>
  <c r="C615" i="10"/>
  <c r="D612" i="10"/>
  <c r="E550" i="10"/>
  <c r="F550" i="10"/>
  <c r="E546" i="10"/>
  <c r="F546" i="10"/>
  <c r="E545" i="10"/>
  <c r="F544" i="10"/>
  <c r="E544" i="10"/>
  <c r="E540" i="10"/>
  <c r="E539" i="10"/>
  <c r="E538" i="10"/>
  <c r="H537" i="10"/>
  <c r="E537" i="10"/>
  <c r="F537" i="10"/>
  <c r="H536" i="10"/>
  <c r="F536" i="10"/>
  <c r="E536" i="10"/>
  <c r="F535" i="10"/>
  <c r="E535" i="10"/>
  <c r="E534" i="10"/>
  <c r="F534" i="10"/>
  <c r="H533" i="10"/>
  <c r="F533" i="10"/>
  <c r="E533" i="10"/>
  <c r="F532" i="10"/>
  <c r="E532" i="10"/>
  <c r="H532" i="10"/>
  <c r="E531" i="10"/>
  <c r="E530" i="10"/>
  <c r="F529" i="10"/>
  <c r="H528" i="10"/>
  <c r="E528" i="10"/>
  <c r="F528" i="10"/>
  <c r="F527" i="10"/>
  <c r="E527" i="10"/>
  <c r="H527" i="10"/>
  <c r="E526" i="10"/>
  <c r="F526" i="10"/>
  <c r="H525" i="10"/>
  <c r="F525" i="10"/>
  <c r="E525" i="10"/>
  <c r="F524" i="10"/>
  <c r="E524" i="10"/>
  <c r="E522" i="10"/>
  <c r="F522" i="10"/>
  <c r="F521" i="10"/>
  <c r="F520" i="10"/>
  <c r="E520" i="10"/>
  <c r="E519" i="10"/>
  <c r="F519" i="10"/>
  <c r="F518" i="10"/>
  <c r="F517" i="10"/>
  <c r="E517" i="10"/>
  <c r="E516" i="10"/>
  <c r="E515" i="10"/>
  <c r="F515" i="10"/>
  <c r="F514" i="10"/>
  <c r="E514" i="10"/>
  <c r="F513" i="10"/>
  <c r="E511" i="10"/>
  <c r="F511" i="10"/>
  <c r="F510" i="10"/>
  <c r="E510" i="10"/>
  <c r="E509" i="10"/>
  <c r="E508" i="10"/>
  <c r="F508" i="10"/>
  <c r="H507" i="10"/>
  <c r="F507" i="10"/>
  <c r="E507" i="10"/>
  <c r="F506" i="10"/>
  <c r="E506" i="10"/>
  <c r="H506" i="10"/>
  <c r="E505" i="10"/>
  <c r="H505" i="10"/>
  <c r="E504" i="10"/>
  <c r="F504" i="10"/>
  <c r="E503" i="10"/>
  <c r="F503" i="10"/>
  <c r="H502" i="10"/>
  <c r="F502" i="10"/>
  <c r="E502" i="10"/>
  <c r="E501" i="10"/>
  <c r="H500" i="10"/>
  <c r="F500" i="10"/>
  <c r="E500" i="10"/>
  <c r="E499" i="10"/>
  <c r="F499" i="10"/>
  <c r="F498" i="10"/>
  <c r="E497" i="10"/>
  <c r="H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C464" i="10"/>
  <c r="B464" i="10"/>
  <c r="C459" i="10"/>
  <c r="B459" i="10"/>
  <c r="B458" i="10"/>
  <c r="B455" i="10"/>
  <c r="B454" i="10"/>
  <c r="B453" i="10"/>
  <c r="C447" i="10"/>
  <c r="C445" i="10"/>
  <c r="C438" i="10"/>
  <c r="B436" i="10"/>
  <c r="B428" i="10"/>
  <c r="D424" i="10"/>
  <c r="B424" i="10"/>
  <c r="B423" i="10"/>
  <c r="D421" i="10"/>
  <c r="B421" i="10"/>
  <c r="C420" i="10"/>
  <c r="B420" i="10"/>
  <c r="D418" i="10"/>
  <c r="C418" i="10"/>
  <c r="B418" i="10"/>
  <c r="B417" i="10"/>
  <c r="B415" i="10"/>
  <c r="C414" i="10"/>
  <c r="B414" i="10"/>
  <c r="A412" i="10"/>
  <c r="C394" i="10"/>
  <c r="CE730" i="10" s="1"/>
  <c r="C392" i="10"/>
  <c r="CD730" i="10" s="1"/>
  <c r="C389" i="10"/>
  <c r="C388" i="10"/>
  <c r="CA730" i="10" s="1"/>
  <c r="C387" i="10"/>
  <c r="BZ730" i="10" s="1"/>
  <c r="C386" i="10"/>
  <c r="C385" i="10"/>
  <c r="B434" i="10" s="1"/>
  <c r="C384" i="10"/>
  <c r="C383" i="10"/>
  <c r="C382" i="10"/>
  <c r="C381" i="10"/>
  <c r="C380" i="10"/>
  <c r="B429" i="10" s="1"/>
  <c r="C379" i="10"/>
  <c r="C378" i="10"/>
  <c r="B427" i="10" s="1"/>
  <c r="D372" i="10"/>
  <c r="C370" i="10"/>
  <c r="C365" i="10"/>
  <c r="BM730" i="10" s="1"/>
  <c r="C364" i="10"/>
  <c r="BL730" i="10" s="1"/>
  <c r="C363" i="10"/>
  <c r="CB730" i="10" s="1"/>
  <c r="C360" i="10"/>
  <c r="C359" i="10"/>
  <c r="D339" i="10"/>
  <c r="C482" i="10" s="1"/>
  <c r="C332" i="10"/>
  <c r="BB730" i="10" s="1"/>
  <c r="D329" i="10"/>
  <c r="D328" i="10"/>
  <c r="D330" i="10" s="1"/>
  <c r="D319" i="10"/>
  <c r="D314" i="10"/>
  <c r="D290" i="10"/>
  <c r="D283" i="10"/>
  <c r="D275" i="10"/>
  <c r="B476" i="10" s="1"/>
  <c r="D265" i="10"/>
  <c r="D260" i="10"/>
  <c r="C239" i="10"/>
  <c r="C238" i="10"/>
  <c r="CC722" i="10" s="1"/>
  <c r="C234" i="10"/>
  <c r="CB722" i="10" s="1"/>
  <c r="C233" i="10"/>
  <c r="CA722" i="10" s="1"/>
  <c r="C227" i="10"/>
  <c r="BX722" i="10" s="1"/>
  <c r="C226" i="10"/>
  <c r="BW722" i="10" s="1"/>
  <c r="C225" i="10"/>
  <c r="BV722" i="10" s="1"/>
  <c r="C224" i="10"/>
  <c r="BU722" i="10" s="1"/>
  <c r="C223" i="10"/>
  <c r="BT722" i="10" s="1"/>
  <c r="C221" i="10"/>
  <c r="D221" i="10" s="1"/>
  <c r="E216" i="10"/>
  <c r="C215" i="10"/>
  <c r="BO722" i="10" s="1"/>
  <c r="B215" i="10"/>
  <c r="BN722" i="10" s="1"/>
  <c r="C214" i="10"/>
  <c r="BL722" i="10" s="1"/>
  <c r="B214" i="10"/>
  <c r="D213" i="10"/>
  <c r="BJ722" i="10" s="1"/>
  <c r="C213" i="10"/>
  <c r="BI722" i="10" s="1"/>
  <c r="B213" i="10"/>
  <c r="BH722" i="10" s="1"/>
  <c r="D212" i="10"/>
  <c r="C212" i="10"/>
  <c r="BF722" i="10" s="1"/>
  <c r="B212" i="10"/>
  <c r="E211" i="10"/>
  <c r="E210" i="10"/>
  <c r="C210" i="10"/>
  <c r="AZ722" i="10" s="1"/>
  <c r="B210" i="10"/>
  <c r="AY722" i="10" s="1"/>
  <c r="C209" i="10"/>
  <c r="C217" i="10" s="1"/>
  <c r="D433" i="10" s="1"/>
  <c r="B209" i="10"/>
  <c r="AV722" i="10" s="1"/>
  <c r="D204" i="10"/>
  <c r="C203" i="10"/>
  <c r="AQ722" i="10" s="1"/>
  <c r="B203" i="10"/>
  <c r="C202" i="10"/>
  <c r="AN722" i="10" s="1"/>
  <c r="B202" i="10"/>
  <c r="E201" i="10"/>
  <c r="B201" i="10"/>
  <c r="AJ722" i="10" s="1"/>
  <c r="D200" i="10"/>
  <c r="AI722" i="10" s="1"/>
  <c r="C200" i="10"/>
  <c r="AH722" i="10" s="1"/>
  <c r="B200" i="10"/>
  <c r="AG722" i="10" s="1"/>
  <c r="D199" i="10"/>
  <c r="AF722" i="10" s="1"/>
  <c r="C199" i="10"/>
  <c r="AE722" i="10" s="1"/>
  <c r="B199" i="10"/>
  <c r="AD722" i="10" s="1"/>
  <c r="E198" i="10"/>
  <c r="C471" i="10" s="1"/>
  <c r="C197" i="10"/>
  <c r="C204" i="10" s="1"/>
  <c r="B197" i="10"/>
  <c r="X722" i="10" s="1"/>
  <c r="B196" i="10"/>
  <c r="U722" i="10" s="1"/>
  <c r="E195" i="10"/>
  <c r="C468" i="10" s="1"/>
  <c r="B195" i="10"/>
  <c r="R722" i="10" s="1"/>
  <c r="C189" i="10"/>
  <c r="Q722" i="10" s="1"/>
  <c r="C184" i="10"/>
  <c r="N722" i="10" s="1"/>
  <c r="C183" i="10"/>
  <c r="C180" i="10"/>
  <c r="L722" i="10" s="1"/>
  <c r="C179" i="10"/>
  <c r="K722" i="10" s="1"/>
  <c r="C176" i="10"/>
  <c r="J722" i="10" s="1"/>
  <c r="C175" i="10"/>
  <c r="C171" i="10"/>
  <c r="H722" i="10" s="1"/>
  <c r="C170" i="10"/>
  <c r="G722" i="10" s="1"/>
  <c r="C169" i="10"/>
  <c r="F722" i="10" s="1"/>
  <c r="C168" i="10"/>
  <c r="E722" i="10" s="1"/>
  <c r="C167" i="10"/>
  <c r="D722" i="10" s="1"/>
  <c r="C166" i="10"/>
  <c r="C722" i="10" s="1"/>
  <c r="C165" i="10"/>
  <c r="E154" i="10"/>
  <c r="E153" i="10"/>
  <c r="E152" i="10"/>
  <c r="E151" i="10"/>
  <c r="C421" i="10" s="1"/>
  <c r="E150" i="10"/>
  <c r="E148" i="10"/>
  <c r="E147" i="10"/>
  <c r="E146" i="10"/>
  <c r="E145" i="10"/>
  <c r="E144" i="10"/>
  <c r="C417" i="10" s="1"/>
  <c r="E142" i="10"/>
  <c r="D464" i="10" s="1"/>
  <c r="D142" i="10"/>
  <c r="AL726" i="10" s="1"/>
  <c r="C142" i="10"/>
  <c r="AG726" i="10" s="1"/>
  <c r="B142" i="10"/>
  <c r="AB726" i="10" s="1"/>
  <c r="D141" i="10"/>
  <c r="AK726" i="10" s="1"/>
  <c r="C141" i="10"/>
  <c r="AF726" i="10" s="1"/>
  <c r="B141" i="10"/>
  <c r="E140" i="10"/>
  <c r="E139" i="10"/>
  <c r="C415" i="10" s="1"/>
  <c r="E138" i="10"/>
  <c r="E127" i="10"/>
  <c r="CE80" i="10"/>
  <c r="T816" i="10" s="1"/>
  <c r="CF79" i="10"/>
  <c r="CE79" i="10"/>
  <c r="CE78" i="10"/>
  <c r="CE77" i="10"/>
  <c r="CE76" i="10"/>
  <c r="P816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F75" i="10"/>
  <c r="N763" i="10" s="1"/>
  <c r="AE75" i="10"/>
  <c r="N762" i="10" s="1"/>
  <c r="AC75" i="10"/>
  <c r="N760" i="10" s="1"/>
  <c r="AB75" i="10"/>
  <c r="N759" i="10" s="1"/>
  <c r="AA75" i="10"/>
  <c r="N758" i="10" s="1"/>
  <c r="Z75" i="10"/>
  <c r="N757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C75" i="10"/>
  <c r="N734" i="10" s="1"/>
  <c r="AV74" i="10"/>
  <c r="E74" i="10"/>
  <c r="CE74" i="10" s="1"/>
  <c r="AV73" i="10"/>
  <c r="O779" i="10" s="1"/>
  <c r="AG73" i="10"/>
  <c r="AD73" i="10"/>
  <c r="AB73" i="10"/>
  <c r="O759" i="10" s="1"/>
  <c r="Y73" i="10"/>
  <c r="O756" i="10" s="1"/>
  <c r="U73" i="10"/>
  <c r="O752" i="10" s="1"/>
  <c r="S73" i="10"/>
  <c r="CD71" i="10"/>
  <c r="C575" i="10" s="1"/>
  <c r="CE70" i="10"/>
  <c r="CC69" i="10"/>
  <c r="L812" i="10" s="1"/>
  <c r="BX69" i="10"/>
  <c r="L807" i="10" s="1"/>
  <c r="BP69" i="10"/>
  <c r="L799" i="10" s="1"/>
  <c r="BI69" i="10"/>
  <c r="L792" i="10" s="1"/>
  <c r="BH69" i="10"/>
  <c r="L791" i="10" s="1"/>
  <c r="BE69" i="10"/>
  <c r="L788" i="10" s="1"/>
  <c r="AJ69" i="10"/>
  <c r="L767" i="10" s="1"/>
  <c r="AG69" i="10"/>
  <c r="L764" i="10" s="1"/>
  <c r="AD69" i="10"/>
  <c r="L761" i="10" s="1"/>
  <c r="AC69" i="10"/>
  <c r="L760" i="10" s="1"/>
  <c r="AB69" i="10"/>
  <c r="L759" i="10" s="1"/>
  <c r="Y69" i="10"/>
  <c r="L756" i="10" s="1"/>
  <c r="U69" i="10"/>
  <c r="L752" i="10" s="1"/>
  <c r="H69" i="10"/>
  <c r="E69" i="10"/>
  <c r="L736" i="10" s="1"/>
  <c r="CC68" i="10"/>
  <c r="K812" i="10" s="1"/>
  <c r="BH68" i="10"/>
  <c r="K791" i="10" s="1"/>
  <c r="AJ68" i="10"/>
  <c r="K767" i="10" s="1"/>
  <c r="AG68" i="10"/>
  <c r="K764" i="10" s="1"/>
  <c r="AD68" i="10"/>
  <c r="K761" i="10" s="1"/>
  <c r="CC66" i="10"/>
  <c r="I812" i="10" s="1"/>
  <c r="BX66" i="10"/>
  <c r="I807" i="10" s="1"/>
  <c r="BV66" i="10"/>
  <c r="I805" i="10" s="1"/>
  <c r="BP66" i="10"/>
  <c r="I799" i="10" s="1"/>
  <c r="BH66" i="10"/>
  <c r="I791" i="10" s="1"/>
  <c r="BE66" i="10"/>
  <c r="I788" i="10" s="1"/>
  <c r="AJ66" i="10"/>
  <c r="I767" i="10" s="1"/>
  <c r="AG66" i="10"/>
  <c r="I764" i="10" s="1"/>
  <c r="AD66" i="10"/>
  <c r="I761" i="10" s="1"/>
  <c r="AB66" i="10"/>
  <c r="I759" i="10" s="1"/>
  <c r="U66" i="10"/>
  <c r="I752" i="10" s="1"/>
  <c r="S66" i="10"/>
  <c r="I750" i="10" s="1"/>
  <c r="E66" i="10"/>
  <c r="I736" i="10" s="1"/>
  <c r="CE65" i="10"/>
  <c r="CC65" i="10"/>
  <c r="H812" i="10" s="1"/>
  <c r="CC64" i="10"/>
  <c r="G812" i="10" s="1"/>
  <c r="BX64" i="10"/>
  <c r="G807" i="10" s="1"/>
  <c r="BS64" i="10"/>
  <c r="G802" i="10" s="1"/>
  <c r="BP64" i="10"/>
  <c r="G799" i="10" s="1"/>
  <c r="BH64" i="10"/>
  <c r="G791" i="10" s="1"/>
  <c r="AG64" i="10"/>
  <c r="G764" i="10" s="1"/>
  <c r="AD64" i="10"/>
  <c r="G761" i="10" s="1"/>
  <c r="AB64" i="10"/>
  <c r="G759" i="10" s="1"/>
  <c r="Y64" i="10"/>
  <c r="G756" i="10" s="1"/>
  <c r="U64" i="10"/>
  <c r="G752" i="10" s="1"/>
  <c r="S64" i="10"/>
  <c r="CC63" i="10"/>
  <c r="F812" i="10" s="1"/>
  <c r="BX63" i="10"/>
  <c r="F807" i="10" s="1"/>
  <c r="BH63" i="10"/>
  <c r="F791" i="10" s="1"/>
  <c r="BE63" i="10"/>
  <c r="F788" i="10" s="1"/>
  <c r="AJ63" i="10"/>
  <c r="F767" i="10" s="1"/>
  <c r="AG63" i="10"/>
  <c r="F764" i="10" s="1"/>
  <c r="AD63" i="10"/>
  <c r="F761" i="10" s="1"/>
  <c r="Y63" i="10"/>
  <c r="F756" i="10" s="1"/>
  <c r="E63" i="10"/>
  <c r="CC61" i="10"/>
  <c r="D812" i="10" s="1"/>
  <c r="BX61" i="10"/>
  <c r="D807" i="10" s="1"/>
  <c r="BV61" i="10"/>
  <c r="BS61" i="10"/>
  <c r="BP61" i="10"/>
  <c r="D799" i="10" s="1"/>
  <c r="BI61" i="10"/>
  <c r="D792" i="10" s="1"/>
  <c r="BH61" i="10"/>
  <c r="BE61" i="10"/>
  <c r="D788" i="10" s="1"/>
  <c r="AG61" i="10"/>
  <c r="D764" i="10" s="1"/>
  <c r="AD61" i="10"/>
  <c r="AB61" i="10"/>
  <c r="D759" i="10" s="1"/>
  <c r="Y61" i="10"/>
  <c r="S61" i="10"/>
  <c r="F61" i="10"/>
  <c r="D737" i="10" s="1"/>
  <c r="E61" i="10"/>
  <c r="CE60" i="10"/>
  <c r="AJ59" i="10"/>
  <c r="AD59" i="10"/>
  <c r="Y59" i="10"/>
  <c r="E59" i="10"/>
  <c r="B53" i="10"/>
  <c r="CE51" i="10"/>
  <c r="B49" i="10"/>
  <c r="CE47" i="10"/>
  <c r="D805" i="10" l="1"/>
  <c r="G750" i="10"/>
  <c r="CE64" i="10"/>
  <c r="CE68" i="10"/>
  <c r="CE69" i="10"/>
  <c r="O761" i="10"/>
  <c r="AD75" i="10"/>
  <c r="N761" i="10" s="1"/>
  <c r="D756" i="10"/>
  <c r="B756" i="10"/>
  <c r="E518" i="10"/>
  <c r="O764" i="10"/>
  <c r="O815" i="10" s="1"/>
  <c r="AG75" i="10"/>
  <c r="N764" i="10" s="1"/>
  <c r="BE722" i="10"/>
  <c r="B217" i="10"/>
  <c r="BW730" i="10"/>
  <c r="J817" i="10"/>
  <c r="B433" i="10"/>
  <c r="B736" i="10"/>
  <c r="D415" i="10"/>
  <c r="E498" i="10"/>
  <c r="Y722" i="10"/>
  <c r="E197" i="10"/>
  <c r="C470" i="10" s="1"/>
  <c r="C815" i="10"/>
  <c r="Q816" i="10"/>
  <c r="G612" i="10"/>
  <c r="CF77" i="10"/>
  <c r="BK722" i="10"/>
  <c r="E214" i="10"/>
  <c r="D791" i="10"/>
  <c r="H816" i="10"/>
  <c r="C431" i="10"/>
  <c r="M722" i="10"/>
  <c r="D186" i="10"/>
  <c r="D436" i="10" s="1"/>
  <c r="D802" i="10"/>
  <c r="D736" i="10"/>
  <c r="CE61" i="10"/>
  <c r="CD722" i="10"/>
  <c r="B444" i="10"/>
  <c r="D242" i="10"/>
  <c r="B448" i="10" s="1"/>
  <c r="C439" i="10"/>
  <c r="M816" i="10"/>
  <c r="C458" i="10"/>
  <c r="N735" i="10"/>
  <c r="CC730" i="10"/>
  <c r="B439" i="10"/>
  <c r="B437" i="10"/>
  <c r="D750" i="10"/>
  <c r="D815" i="10" s="1"/>
  <c r="F736" i="10"/>
  <c r="CE63" i="10"/>
  <c r="AV75" i="10"/>
  <c r="N779" i="10" s="1"/>
  <c r="D181" i="10"/>
  <c r="E196" i="10"/>
  <c r="C469" i="10" s="1"/>
  <c r="E213" i="10"/>
  <c r="D229" i="10"/>
  <c r="B445" i="10" s="1"/>
  <c r="D367" i="10"/>
  <c r="C448" i="10" s="1"/>
  <c r="H817" i="10"/>
  <c r="BU730" i="10"/>
  <c r="D390" i="10"/>
  <c r="B441" i="10" s="1"/>
  <c r="B431" i="10"/>
  <c r="B438" i="10"/>
  <c r="B440" i="10" s="1"/>
  <c r="C446" i="10"/>
  <c r="H540" i="10"/>
  <c r="F540" i="10"/>
  <c r="L815" i="10"/>
  <c r="F505" i="10"/>
  <c r="F509" i="10"/>
  <c r="F516" i="10"/>
  <c r="F538" i="10"/>
  <c r="H538" i="10"/>
  <c r="B761" i="10"/>
  <c r="E523" i="10"/>
  <c r="D761" i="10"/>
  <c r="B767" i="10"/>
  <c r="E529" i="10"/>
  <c r="CE66" i="10"/>
  <c r="R816" i="10"/>
  <c r="I612" i="10"/>
  <c r="AA726" i="10"/>
  <c r="E141" i="10"/>
  <c r="D463" i="10" s="1"/>
  <c r="D465" i="10" s="1"/>
  <c r="I722" i="10"/>
  <c r="D177" i="10"/>
  <c r="D434" i="10" s="1"/>
  <c r="BG722" i="10"/>
  <c r="E212" i="10"/>
  <c r="D217" i="10"/>
  <c r="BK730" i="10"/>
  <c r="D361" i="10"/>
  <c r="F497" i="10"/>
  <c r="F545" i="10"/>
  <c r="BI730" i="10"/>
  <c r="C816" i="10"/>
  <c r="H612" i="10"/>
  <c r="O750" i="10"/>
  <c r="S75" i="10"/>
  <c r="N750" i="10" s="1"/>
  <c r="CE73" i="10"/>
  <c r="B722" i="10"/>
  <c r="D173" i="10"/>
  <c r="D428" i="10" s="1"/>
  <c r="AM722" i="10"/>
  <c r="E202" i="10"/>
  <c r="C474" i="10" s="1"/>
  <c r="AW722" i="10"/>
  <c r="E209" i="10"/>
  <c r="D240" i="10"/>
  <c r="B447" i="10" s="1"/>
  <c r="F501" i="10"/>
  <c r="F523" i="10"/>
  <c r="F817" i="10"/>
  <c r="BS730" i="10"/>
  <c r="E199" i="10"/>
  <c r="C472" i="10" s="1"/>
  <c r="AP722" i="10"/>
  <c r="E203" i="10"/>
  <c r="C475" i="10" s="1"/>
  <c r="G817" i="10"/>
  <c r="BT730" i="10"/>
  <c r="B430" i="10"/>
  <c r="S816" i="10"/>
  <c r="J612" i="10"/>
  <c r="O817" i="10"/>
  <c r="BJ730" i="10"/>
  <c r="M817" i="10"/>
  <c r="BO730" i="10"/>
  <c r="BV730" i="10"/>
  <c r="I817" i="10"/>
  <c r="F531" i="10"/>
  <c r="Y75" i="10"/>
  <c r="N756" i="10" s="1"/>
  <c r="N815" i="10" s="1"/>
  <c r="BX730" i="10"/>
  <c r="K817" i="10"/>
  <c r="F512" i="10"/>
  <c r="H539" i="10"/>
  <c r="F539" i="10"/>
  <c r="L612" i="10"/>
  <c r="S815" i="10"/>
  <c r="D190" i="10"/>
  <c r="D437" i="10" s="1"/>
  <c r="E200" i="10"/>
  <c r="C473" i="10" s="1"/>
  <c r="BQ730" i="10"/>
  <c r="D817" i="10"/>
  <c r="BY730" i="10"/>
  <c r="L817" i="10"/>
  <c r="B432" i="10"/>
  <c r="B435" i="10"/>
  <c r="C444" i="10"/>
  <c r="B463" i="10"/>
  <c r="CF76" i="10"/>
  <c r="B204" i="10"/>
  <c r="E215" i="10"/>
  <c r="D236" i="10"/>
  <c r="B446" i="10" s="1"/>
  <c r="D277" i="10"/>
  <c r="D292" i="10" s="1"/>
  <c r="D341" i="10" s="1"/>
  <c r="C481" i="10" s="1"/>
  <c r="BR730" i="10"/>
  <c r="E817" i="10"/>
  <c r="H504" i="10"/>
  <c r="F530" i="10"/>
  <c r="R815" i="10"/>
  <c r="H815" i="10"/>
  <c r="I815" i="10"/>
  <c r="K815" i="10"/>
  <c r="T815" i="10"/>
  <c r="F815" i="10"/>
  <c r="P815" i="10"/>
  <c r="G815" i="10"/>
  <c r="Q815" i="10"/>
  <c r="E204" i="10" l="1"/>
  <c r="C476" i="10" s="1"/>
  <c r="D435" i="10"/>
  <c r="D438" i="10"/>
  <c r="I816" i="10"/>
  <c r="C432" i="10"/>
  <c r="CE75" i="10"/>
  <c r="K816" i="10"/>
  <c r="C434" i="10"/>
  <c r="BV52" i="10"/>
  <c r="BV67" i="10" s="1"/>
  <c r="J805" i="10" s="1"/>
  <c r="BF52" i="10"/>
  <c r="BF67" i="10" s="1"/>
  <c r="J789" i="10" s="1"/>
  <c r="AP52" i="10"/>
  <c r="AP67" i="10" s="1"/>
  <c r="J773" i="10" s="1"/>
  <c r="R52" i="10"/>
  <c r="R67" i="10" s="1"/>
  <c r="J749" i="10" s="1"/>
  <c r="CB52" i="10"/>
  <c r="CB67" i="10" s="1"/>
  <c r="J811" i="10" s="1"/>
  <c r="BT52" i="10"/>
  <c r="BT67" i="10" s="1"/>
  <c r="J803" i="10" s="1"/>
  <c r="BL52" i="10"/>
  <c r="BL67" i="10" s="1"/>
  <c r="J795" i="10" s="1"/>
  <c r="BD52" i="10"/>
  <c r="BD67" i="10" s="1"/>
  <c r="J787" i="10" s="1"/>
  <c r="AV52" i="10"/>
  <c r="AV67" i="10" s="1"/>
  <c r="J779" i="10" s="1"/>
  <c r="AN52" i="10"/>
  <c r="AN67" i="10" s="1"/>
  <c r="J771" i="10" s="1"/>
  <c r="AF52" i="10"/>
  <c r="AF67" i="10" s="1"/>
  <c r="J763" i="10" s="1"/>
  <c r="X52" i="10"/>
  <c r="X67" i="10" s="1"/>
  <c r="J755" i="10" s="1"/>
  <c r="P52" i="10"/>
  <c r="P67" i="10" s="1"/>
  <c r="J747" i="10" s="1"/>
  <c r="H52" i="10"/>
  <c r="H67" i="10" s="1"/>
  <c r="J739" i="10" s="1"/>
  <c r="CA52" i="10"/>
  <c r="CA67" i="10" s="1"/>
  <c r="J810" i="10" s="1"/>
  <c r="BS52" i="10"/>
  <c r="BS67" i="10" s="1"/>
  <c r="J802" i="10" s="1"/>
  <c r="BK52" i="10"/>
  <c r="BK67" i="10" s="1"/>
  <c r="J794" i="10" s="1"/>
  <c r="BC52" i="10"/>
  <c r="BC67" i="10" s="1"/>
  <c r="J786" i="10" s="1"/>
  <c r="AU52" i="10"/>
  <c r="AU67" i="10" s="1"/>
  <c r="J778" i="10" s="1"/>
  <c r="AM52" i="10"/>
  <c r="AM67" i="10" s="1"/>
  <c r="J770" i="10" s="1"/>
  <c r="AE52" i="10"/>
  <c r="AE67" i="10" s="1"/>
  <c r="J762" i="10" s="1"/>
  <c r="W52" i="10"/>
  <c r="W67" i="10" s="1"/>
  <c r="J754" i="10" s="1"/>
  <c r="O52" i="10"/>
  <c r="O67" i="10" s="1"/>
  <c r="J746" i="10" s="1"/>
  <c r="G52" i="10"/>
  <c r="G67" i="10" s="1"/>
  <c r="J738" i="10" s="1"/>
  <c r="BZ52" i="10"/>
  <c r="BZ67" i="10" s="1"/>
  <c r="J809" i="10" s="1"/>
  <c r="BJ52" i="10"/>
  <c r="BJ67" i="10" s="1"/>
  <c r="J793" i="10" s="1"/>
  <c r="BB52" i="10"/>
  <c r="BB67" i="10" s="1"/>
  <c r="J785" i="10" s="1"/>
  <c r="AL52" i="10"/>
  <c r="AL67" i="10" s="1"/>
  <c r="J769" i="10" s="1"/>
  <c r="V52" i="10"/>
  <c r="V67" i="10" s="1"/>
  <c r="J753" i="10" s="1"/>
  <c r="N52" i="10"/>
  <c r="N67" i="10" s="1"/>
  <c r="J745" i="10" s="1"/>
  <c r="BR52" i="10"/>
  <c r="BR67" i="10" s="1"/>
  <c r="J801" i="10" s="1"/>
  <c r="AT52" i="10"/>
  <c r="AT67" i="10" s="1"/>
  <c r="J777" i="10" s="1"/>
  <c r="AD52" i="10"/>
  <c r="AD67" i="10" s="1"/>
  <c r="J761" i="10" s="1"/>
  <c r="F52" i="10"/>
  <c r="F67" i="10" s="1"/>
  <c r="J737" i="10" s="1"/>
  <c r="BW52" i="10"/>
  <c r="BW67" i="10" s="1"/>
  <c r="J806" i="10" s="1"/>
  <c r="BO52" i="10"/>
  <c r="BO67" i="10" s="1"/>
  <c r="J798" i="10" s="1"/>
  <c r="BG52" i="10"/>
  <c r="BG67" i="10" s="1"/>
  <c r="J790" i="10" s="1"/>
  <c r="AY52" i="10"/>
  <c r="AY67" i="10" s="1"/>
  <c r="J782" i="10" s="1"/>
  <c r="AQ52" i="10"/>
  <c r="AQ67" i="10" s="1"/>
  <c r="J774" i="10" s="1"/>
  <c r="AI52" i="10"/>
  <c r="AI67" i="10" s="1"/>
  <c r="J766" i="10" s="1"/>
  <c r="AA52" i="10"/>
  <c r="AA67" i="10" s="1"/>
  <c r="J758" i="10" s="1"/>
  <c r="S52" i="10"/>
  <c r="S67" i="10" s="1"/>
  <c r="J750" i="10" s="1"/>
  <c r="K52" i="10"/>
  <c r="K67" i="10" s="1"/>
  <c r="J742" i="10" s="1"/>
  <c r="C52" i="10"/>
  <c r="BN52" i="10"/>
  <c r="BN67" i="10" s="1"/>
  <c r="J797" i="10" s="1"/>
  <c r="AX52" i="10"/>
  <c r="AX67" i="10" s="1"/>
  <c r="J781" i="10" s="1"/>
  <c r="AH52" i="10"/>
  <c r="AH67" i="10" s="1"/>
  <c r="J765" i="10" s="1"/>
  <c r="Z52" i="10"/>
  <c r="Z67" i="10" s="1"/>
  <c r="J757" i="10" s="1"/>
  <c r="J52" i="10"/>
  <c r="J67" i="10" s="1"/>
  <c r="J741" i="10" s="1"/>
  <c r="CC52" i="10"/>
  <c r="CC67" i="10" s="1"/>
  <c r="J812" i="10" s="1"/>
  <c r="BH52" i="10"/>
  <c r="BH67" i="10" s="1"/>
  <c r="J791" i="10" s="1"/>
  <c r="AK52" i="10"/>
  <c r="AK67" i="10" s="1"/>
  <c r="J768" i="10" s="1"/>
  <c r="Q52" i="10"/>
  <c r="Q67" i="10" s="1"/>
  <c r="J748" i="10" s="1"/>
  <c r="BE52" i="10"/>
  <c r="BE67" i="10" s="1"/>
  <c r="J788" i="10" s="1"/>
  <c r="M52" i="10"/>
  <c r="M67" i="10" s="1"/>
  <c r="J744" i="10" s="1"/>
  <c r="BI52" i="10"/>
  <c r="BI67" i="10" s="1"/>
  <c r="J792" i="10" s="1"/>
  <c r="BY52" i="10"/>
  <c r="BY67" i="10" s="1"/>
  <c r="J808" i="10" s="1"/>
  <c r="AJ52" i="10"/>
  <c r="AJ67" i="10" s="1"/>
  <c r="J767" i="10" s="1"/>
  <c r="BM52" i="10"/>
  <c r="BM67" i="10" s="1"/>
  <c r="J796" i="10" s="1"/>
  <c r="AO52" i="10"/>
  <c r="AO67" i="10" s="1"/>
  <c r="J772" i="10" s="1"/>
  <c r="BX52" i="10"/>
  <c r="BX67" i="10" s="1"/>
  <c r="J807" i="10" s="1"/>
  <c r="BA52" i="10"/>
  <c r="BA67" i="10" s="1"/>
  <c r="J784" i="10" s="1"/>
  <c r="AG52" i="10"/>
  <c r="AG67" i="10" s="1"/>
  <c r="J764" i="10" s="1"/>
  <c r="L52" i="10"/>
  <c r="L67" i="10" s="1"/>
  <c r="J743" i="10" s="1"/>
  <c r="BP52" i="10"/>
  <c r="BP67" i="10" s="1"/>
  <c r="J799" i="10" s="1"/>
  <c r="AR52" i="10"/>
  <c r="AR67" i="10" s="1"/>
  <c r="J775" i="10" s="1"/>
  <c r="BU52" i="10"/>
  <c r="BU67" i="10" s="1"/>
  <c r="J804" i="10" s="1"/>
  <c r="AZ52" i="10"/>
  <c r="AZ67" i="10" s="1"/>
  <c r="J783" i="10" s="1"/>
  <c r="AC52" i="10"/>
  <c r="AC67" i="10" s="1"/>
  <c r="J760" i="10" s="1"/>
  <c r="I52" i="10"/>
  <c r="I67" i="10" s="1"/>
  <c r="J740" i="10" s="1"/>
  <c r="AW52" i="10"/>
  <c r="AW67" i="10" s="1"/>
  <c r="J780" i="10" s="1"/>
  <c r="AB52" i="10"/>
  <c r="AB67" i="10" s="1"/>
  <c r="J759" i="10" s="1"/>
  <c r="AS52" i="10"/>
  <c r="AS67" i="10" s="1"/>
  <c r="J776" i="10" s="1"/>
  <c r="BQ52" i="10"/>
  <c r="BQ67" i="10" s="1"/>
  <c r="J800" i="10" s="1"/>
  <c r="E52" i="10"/>
  <c r="E67" i="10" s="1"/>
  <c r="J736" i="10" s="1"/>
  <c r="D52" i="10"/>
  <c r="D67" i="10" s="1"/>
  <c r="J735" i="10" s="1"/>
  <c r="U52" i="10"/>
  <c r="U67" i="10" s="1"/>
  <c r="J752" i="10" s="1"/>
  <c r="Y52" i="10"/>
  <c r="Y67" i="10" s="1"/>
  <c r="J756" i="10" s="1"/>
  <c r="T52" i="10"/>
  <c r="T67" i="10" s="1"/>
  <c r="J751" i="10" s="1"/>
  <c r="O816" i="10"/>
  <c r="C463" i="10"/>
  <c r="F816" i="10"/>
  <c r="C429" i="10"/>
  <c r="G816" i="10"/>
  <c r="F612" i="10"/>
  <c r="C430" i="10"/>
  <c r="L816" i="10"/>
  <c r="C440" i="10"/>
  <c r="D816" i="10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H48" i="10"/>
  <c r="H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CB48" i="10"/>
  <c r="CB62" i="10" s="1"/>
  <c r="BL48" i="10"/>
  <c r="BL62" i="10" s="1"/>
  <c r="BD48" i="10"/>
  <c r="BD62" i="10" s="1"/>
  <c r="AN48" i="10"/>
  <c r="AN62" i="10" s="1"/>
  <c r="AF48" i="10"/>
  <c r="AF62" i="10" s="1"/>
  <c r="P48" i="10"/>
  <c r="P62" i="10" s="1"/>
  <c r="C427" i="10"/>
  <c r="BT48" i="10"/>
  <c r="BT62" i="10" s="1"/>
  <c r="AV48" i="10"/>
  <c r="AV62" i="10" s="1"/>
  <c r="X48" i="10"/>
  <c r="X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BX48" i="10"/>
  <c r="BX62" i="10" s="1"/>
  <c r="BP48" i="10"/>
  <c r="BP62" i="10" s="1"/>
  <c r="BH48" i="10"/>
  <c r="BH62" i="10" s="1"/>
  <c r="CA48" i="10"/>
  <c r="CA62" i="10" s="1"/>
  <c r="BG48" i="10"/>
  <c r="BG62" i="10" s="1"/>
  <c r="AQ48" i="10"/>
  <c r="AQ62" i="10" s="1"/>
  <c r="AA48" i="10"/>
  <c r="AA62" i="10" s="1"/>
  <c r="K48" i="10"/>
  <c r="K62" i="10" s="1"/>
  <c r="BC48" i="10"/>
  <c r="BC62" i="10" s="1"/>
  <c r="W48" i="10"/>
  <c r="W62" i="10" s="1"/>
  <c r="AT48" i="10"/>
  <c r="AT62" i="10" s="1"/>
  <c r="BZ48" i="10"/>
  <c r="BZ62" i="10" s="1"/>
  <c r="AM48" i="10"/>
  <c r="AM62" i="10" s="1"/>
  <c r="G48" i="10"/>
  <c r="G62" i="10" s="1"/>
  <c r="BK48" i="10"/>
  <c r="BK62" i="10" s="1"/>
  <c r="AB48" i="10"/>
  <c r="AB62" i="10" s="1"/>
  <c r="BW48" i="10"/>
  <c r="BW62" i="10" s="1"/>
  <c r="BB48" i="10"/>
  <c r="BB62" i="10" s="1"/>
  <c r="AL48" i="10"/>
  <c r="AL62" i="10" s="1"/>
  <c r="V48" i="10"/>
  <c r="V62" i="10" s="1"/>
  <c r="F48" i="10"/>
  <c r="F62" i="10" s="1"/>
  <c r="S48" i="10"/>
  <c r="S62" i="10" s="1"/>
  <c r="BO48" i="10"/>
  <c r="BO62" i="10" s="1"/>
  <c r="AR48" i="10"/>
  <c r="AR62" i="10" s="1"/>
  <c r="BS48" i="10"/>
  <c r="BS62" i="10" s="1"/>
  <c r="AZ48" i="10"/>
  <c r="AZ62" i="10" s="1"/>
  <c r="AJ48" i="10"/>
  <c r="AJ62" i="10" s="1"/>
  <c r="T48" i="10"/>
  <c r="T62" i="10" s="1"/>
  <c r="D48" i="10"/>
  <c r="D62" i="10" s="1"/>
  <c r="BR48" i="10"/>
  <c r="BR62" i="10" s="1"/>
  <c r="AI48" i="10"/>
  <c r="AI62" i="10" s="1"/>
  <c r="C48" i="10"/>
  <c r="AU48" i="10"/>
  <c r="AU62" i="10" s="1"/>
  <c r="AD48" i="10"/>
  <c r="AD62" i="10" s="1"/>
  <c r="AY48" i="10"/>
  <c r="AY62" i="10" s="1"/>
  <c r="O48" i="10"/>
  <c r="O62" i="10" s="1"/>
  <c r="N48" i="10"/>
  <c r="N62" i="10" s="1"/>
  <c r="BJ48" i="10"/>
  <c r="BJ62" i="10" s="1"/>
  <c r="AE48" i="10"/>
  <c r="AE62" i="10" s="1"/>
  <c r="L48" i="10"/>
  <c r="L62" i="10" s="1"/>
  <c r="E217" i="10"/>
  <c r="C478" i="10" s="1"/>
  <c r="N817" i="10"/>
  <c r="B465" i="10"/>
  <c r="D368" i="10"/>
  <c r="D373" i="10" s="1"/>
  <c r="D391" i="10" s="1"/>
  <c r="D393" i="10" s="1"/>
  <c r="D396" i="10" s="1"/>
  <c r="E762" i="10" l="1"/>
  <c r="AE71" i="10"/>
  <c r="E758" i="10"/>
  <c r="AA71" i="10"/>
  <c r="E780" i="10"/>
  <c r="AW71" i="10"/>
  <c r="E750" i="10"/>
  <c r="S71" i="10"/>
  <c r="E755" i="10"/>
  <c r="X71" i="10"/>
  <c r="E745" i="10"/>
  <c r="N71" i="10"/>
  <c r="E735" i="10"/>
  <c r="D71" i="10"/>
  <c r="E737" i="10"/>
  <c r="F71" i="10"/>
  <c r="E770" i="10"/>
  <c r="AM71" i="10"/>
  <c r="E790" i="10"/>
  <c r="BG71" i="10"/>
  <c r="E760" i="10"/>
  <c r="AC71" i="10"/>
  <c r="E779" i="10"/>
  <c r="AV71" i="10"/>
  <c r="E811" i="10"/>
  <c r="CB71" i="10"/>
  <c r="E796" i="10"/>
  <c r="BM71" i="10"/>
  <c r="E773" i="10"/>
  <c r="AP71" i="10"/>
  <c r="N816" i="10"/>
  <c r="C465" i="10"/>
  <c r="K612" i="10"/>
  <c r="E766" i="10"/>
  <c r="AI71" i="10"/>
  <c r="E744" i="10"/>
  <c r="M71" i="10"/>
  <c r="E774" i="10"/>
  <c r="AQ71" i="10"/>
  <c r="E746" i="10"/>
  <c r="O71" i="10"/>
  <c r="E751" i="10"/>
  <c r="T71" i="10"/>
  <c r="E753" i="10"/>
  <c r="V71" i="10"/>
  <c r="E809" i="10"/>
  <c r="BZ71" i="10"/>
  <c r="E810" i="10"/>
  <c r="CA71" i="10"/>
  <c r="E768" i="10"/>
  <c r="AK71" i="10"/>
  <c r="E803" i="10"/>
  <c r="BT71" i="10"/>
  <c r="E740" i="10"/>
  <c r="I71" i="10"/>
  <c r="E804" i="10"/>
  <c r="BU71" i="10"/>
  <c r="E781" i="10"/>
  <c r="AX71" i="10"/>
  <c r="E808" i="10"/>
  <c r="BY71" i="10"/>
  <c r="E738" i="10"/>
  <c r="G71" i="10"/>
  <c r="E782" i="10"/>
  <c r="AY71" i="10"/>
  <c r="E767" i="10"/>
  <c r="AJ71" i="10"/>
  <c r="E769" i="10"/>
  <c r="AL71" i="10"/>
  <c r="E777" i="10"/>
  <c r="AT71" i="10"/>
  <c r="E791" i="10"/>
  <c r="BH71" i="10"/>
  <c r="E776" i="10"/>
  <c r="AS71" i="10"/>
  <c r="E748" i="10"/>
  <c r="Q71" i="10"/>
  <c r="E812" i="10"/>
  <c r="CC71" i="10"/>
  <c r="E789" i="10"/>
  <c r="BF71" i="10"/>
  <c r="C67" i="10"/>
  <c r="CE52" i="10"/>
  <c r="E798" i="10"/>
  <c r="BO71" i="10"/>
  <c r="E787" i="10"/>
  <c r="BD71" i="10"/>
  <c r="E793" i="10"/>
  <c r="BJ71" i="10"/>
  <c r="E788" i="10"/>
  <c r="BE71" i="10"/>
  <c r="E761" i="10"/>
  <c r="AD71" i="10"/>
  <c r="E783" i="10"/>
  <c r="AZ71" i="10"/>
  <c r="E785" i="10"/>
  <c r="BB71" i="10"/>
  <c r="E754" i="10"/>
  <c r="W71" i="10"/>
  <c r="E799" i="10"/>
  <c r="BP71" i="10"/>
  <c r="E784" i="10"/>
  <c r="BA71" i="10"/>
  <c r="E747" i="10"/>
  <c r="P71" i="10"/>
  <c r="E756" i="10"/>
  <c r="Y71" i="10"/>
  <c r="E739" i="10"/>
  <c r="H71" i="10"/>
  <c r="E797" i="10"/>
  <c r="BN71" i="10"/>
  <c r="E794" i="10"/>
  <c r="BK71" i="10"/>
  <c r="E757" i="10"/>
  <c r="Z71" i="10"/>
  <c r="E752" i="10"/>
  <c r="U71" i="10"/>
  <c r="E765" i="10"/>
  <c r="AH71" i="10"/>
  <c r="E778" i="10"/>
  <c r="AU71" i="10"/>
  <c r="E802" i="10"/>
  <c r="BS71" i="10"/>
  <c r="E806" i="10"/>
  <c r="BW71" i="10"/>
  <c r="E786" i="10"/>
  <c r="BC71" i="10"/>
  <c r="E807" i="10"/>
  <c r="BX71" i="10"/>
  <c r="E792" i="10"/>
  <c r="BI71" i="10"/>
  <c r="E763" i="10"/>
  <c r="AF71" i="10"/>
  <c r="E764" i="10"/>
  <c r="AG71" i="10"/>
  <c r="E741" i="10"/>
  <c r="J71" i="10"/>
  <c r="E805" i="10"/>
  <c r="BV71" i="10"/>
  <c r="E801" i="10"/>
  <c r="BR71" i="10"/>
  <c r="E795" i="10"/>
  <c r="BL71" i="10"/>
  <c r="E743" i="10"/>
  <c r="L71" i="10"/>
  <c r="CE48" i="10"/>
  <c r="C62" i="10"/>
  <c r="E775" i="10"/>
  <c r="AR71" i="10"/>
  <c r="E759" i="10"/>
  <c r="AB71" i="10"/>
  <c r="E742" i="10"/>
  <c r="K71" i="10"/>
  <c r="E736" i="10"/>
  <c r="E71" i="10"/>
  <c r="E800" i="10"/>
  <c r="BQ71" i="10"/>
  <c r="E771" i="10"/>
  <c r="AN71" i="10"/>
  <c r="E772" i="10"/>
  <c r="AO71" i="10"/>
  <c r="E749" i="10"/>
  <c r="R71" i="10"/>
  <c r="C698" i="10" l="1"/>
  <c r="C526" i="10"/>
  <c r="C619" i="10"/>
  <c r="C559" i="10"/>
  <c r="C574" i="10"/>
  <c r="C620" i="10"/>
  <c r="C672" i="10"/>
  <c r="C500" i="10"/>
  <c r="G500" i="10" s="1"/>
  <c r="C708" i="10"/>
  <c r="C536" i="10"/>
  <c r="G536" i="10" s="1"/>
  <c r="C684" i="10"/>
  <c r="C512" i="10"/>
  <c r="C562" i="10"/>
  <c r="C623" i="10"/>
  <c r="C709" i="10"/>
  <c r="C537" i="10"/>
  <c r="G537" i="10" s="1"/>
  <c r="C626" i="10"/>
  <c r="C563" i="10"/>
  <c r="C697" i="10"/>
  <c r="C525" i="10"/>
  <c r="G525" i="10" s="1"/>
  <c r="C643" i="10"/>
  <c r="C568" i="10"/>
  <c r="C686" i="10"/>
  <c r="C514" i="10"/>
  <c r="C501" i="10"/>
  <c r="C673" i="10"/>
  <c r="C621" i="10"/>
  <c r="C561" i="10"/>
  <c r="C695" i="10"/>
  <c r="C523" i="10"/>
  <c r="C627" i="10"/>
  <c r="C560" i="10"/>
  <c r="C510" i="10"/>
  <c r="C682" i="10"/>
  <c r="C703" i="10"/>
  <c r="C531" i="10"/>
  <c r="C645" i="10"/>
  <c r="C570" i="10"/>
  <c r="C565" i="10"/>
  <c r="C640" i="10"/>
  <c r="C687" i="10"/>
  <c r="C515" i="10"/>
  <c r="C707" i="10"/>
  <c r="C535" i="10"/>
  <c r="C694" i="10"/>
  <c r="C522" i="10"/>
  <c r="C669" i="10"/>
  <c r="C497" i="10"/>
  <c r="G497" i="10" s="1"/>
  <c r="C631" i="10"/>
  <c r="C542" i="10"/>
  <c r="C705" i="10"/>
  <c r="C533" i="10"/>
  <c r="G533" i="10" s="1"/>
  <c r="C637" i="10"/>
  <c r="C557" i="10"/>
  <c r="C699" i="10"/>
  <c r="C527" i="10"/>
  <c r="G527" i="10" s="1"/>
  <c r="C549" i="10"/>
  <c r="C624" i="10"/>
  <c r="C674" i="10"/>
  <c r="C502" i="10"/>
  <c r="G502" i="10" s="1"/>
  <c r="C713" i="10"/>
  <c r="C541" i="10"/>
  <c r="C670" i="10"/>
  <c r="C498" i="10"/>
  <c r="C642" i="10"/>
  <c r="C567" i="10"/>
  <c r="C639" i="10"/>
  <c r="C564" i="10"/>
  <c r="C690" i="10"/>
  <c r="C518" i="10"/>
  <c r="C614" i="10"/>
  <c r="C550" i="10"/>
  <c r="C710" i="10"/>
  <c r="C538" i="10"/>
  <c r="G538" i="10" s="1"/>
  <c r="C701" i="10"/>
  <c r="C529" i="10"/>
  <c r="C616" i="10"/>
  <c r="C543" i="10"/>
  <c r="C702" i="10"/>
  <c r="C530" i="10"/>
  <c r="C685" i="10"/>
  <c r="C513" i="10"/>
  <c r="C638" i="10"/>
  <c r="C558" i="10"/>
  <c r="C552" i="10"/>
  <c r="C618" i="10"/>
  <c r="C679" i="10"/>
  <c r="C507" i="10"/>
  <c r="G507" i="10" s="1"/>
  <c r="C520" i="10"/>
  <c r="C692" i="10"/>
  <c r="C693" i="10"/>
  <c r="C521" i="10"/>
  <c r="C548" i="10"/>
  <c r="C633" i="10"/>
  <c r="C630" i="10"/>
  <c r="C546" i="10"/>
  <c r="C628" i="10"/>
  <c r="C545" i="10"/>
  <c r="C711" i="10"/>
  <c r="C539" i="10"/>
  <c r="G539" i="10" s="1"/>
  <c r="C646" i="10"/>
  <c r="C571" i="10"/>
  <c r="C671" i="10"/>
  <c r="C499" i="10"/>
  <c r="C678" i="10"/>
  <c r="C506" i="10"/>
  <c r="G506" i="10" s="1"/>
  <c r="C683" i="10"/>
  <c r="C511" i="10"/>
  <c r="E734" i="10"/>
  <c r="E815" i="10" s="1"/>
  <c r="C71" i="10"/>
  <c r="CE62" i="10"/>
  <c r="C634" i="10"/>
  <c r="C554" i="10"/>
  <c r="C691" i="10"/>
  <c r="C519" i="10"/>
  <c r="C688" i="10"/>
  <c r="C516" i="10"/>
  <c r="J734" i="10"/>
  <c r="J815" i="10" s="1"/>
  <c r="CE67" i="10"/>
  <c r="C528" i="10"/>
  <c r="G528" i="10" s="1"/>
  <c r="C700" i="10"/>
  <c r="C706" i="10"/>
  <c r="C534" i="10"/>
  <c r="C504" i="10"/>
  <c r="G504" i="10" s="1"/>
  <c r="C676" i="10"/>
  <c r="C677" i="10"/>
  <c r="C505" i="10"/>
  <c r="G505" i="10" s="1"/>
  <c r="C675" i="10"/>
  <c r="C503" i="10"/>
  <c r="C644" i="10"/>
  <c r="C569" i="10"/>
  <c r="C712" i="10"/>
  <c r="C540" i="10"/>
  <c r="G540" i="10" s="1"/>
  <c r="C635" i="10"/>
  <c r="C556" i="10"/>
  <c r="C509" i="10"/>
  <c r="C681" i="10"/>
  <c r="C632" i="10"/>
  <c r="C547" i="10"/>
  <c r="C617" i="10"/>
  <c r="C555" i="10"/>
  <c r="C551" i="10"/>
  <c r="C629" i="10"/>
  <c r="C636" i="10"/>
  <c r="C553" i="10"/>
  <c r="C544" i="10"/>
  <c r="C625" i="10"/>
  <c r="C641" i="10"/>
  <c r="C566" i="10"/>
  <c r="C647" i="10"/>
  <c r="C572" i="10"/>
  <c r="C680" i="10"/>
  <c r="C508" i="10"/>
  <c r="C622" i="10"/>
  <c r="C573" i="10"/>
  <c r="C704" i="10"/>
  <c r="C532" i="10"/>
  <c r="G532" i="10" s="1"/>
  <c r="C517" i="10"/>
  <c r="C689" i="10"/>
  <c r="C696" i="10"/>
  <c r="C524" i="10"/>
  <c r="G545" i="10" l="1"/>
  <c r="H545" i="10"/>
  <c r="H513" i="10"/>
  <c r="G513" i="10"/>
  <c r="G524" i="10"/>
  <c r="H524" i="10"/>
  <c r="G503" i="10"/>
  <c r="H503" i="10"/>
  <c r="G510" i="10"/>
  <c r="H510" i="10" s="1"/>
  <c r="G509" i="10"/>
  <c r="H509" i="10" s="1"/>
  <c r="G499" i="10"/>
  <c r="H499" i="10" s="1"/>
  <c r="H546" i="10"/>
  <c r="G546" i="10"/>
  <c r="G530" i="10"/>
  <c r="H530" i="10"/>
  <c r="G550" i="10"/>
  <c r="H550" i="10" s="1"/>
  <c r="G498" i="10"/>
  <c r="H498" i="10"/>
  <c r="G514" i="10"/>
  <c r="H514" i="10"/>
  <c r="J816" i="10"/>
  <c r="C433" i="10"/>
  <c r="E816" i="10"/>
  <c r="C428" i="10"/>
  <c r="CE71" i="10"/>
  <c r="C716" i="10" s="1"/>
  <c r="C715" i="10"/>
  <c r="D615" i="10"/>
  <c r="C648" i="10"/>
  <c r="M716" i="10" s="1"/>
  <c r="Y816" i="10" s="1"/>
  <c r="G517" i="10"/>
  <c r="H517" i="10" s="1"/>
  <c r="C668" i="10"/>
  <c r="C496" i="10"/>
  <c r="G518" i="10"/>
  <c r="H518" i="10"/>
  <c r="G522" i="10"/>
  <c r="H522" i="10"/>
  <c r="G523" i="10"/>
  <c r="H523" i="10"/>
  <c r="G544" i="10"/>
  <c r="H544" i="10"/>
  <c r="G515" i="10"/>
  <c r="H515" i="10"/>
  <c r="G526" i="10"/>
  <c r="H526" i="10" s="1"/>
  <c r="G508" i="10"/>
  <c r="H508" i="10" s="1"/>
  <c r="G520" i="10"/>
  <c r="H520" i="10"/>
  <c r="G501" i="10"/>
  <c r="H501" i="10"/>
  <c r="G516" i="10"/>
  <c r="H516" i="10" s="1"/>
  <c r="G511" i="10"/>
  <c r="H511" i="10"/>
  <c r="H521" i="10"/>
  <c r="G521" i="10"/>
  <c r="H529" i="10"/>
  <c r="G529" i="10"/>
  <c r="G535" i="10"/>
  <c r="H535" i="10"/>
  <c r="G531" i="10"/>
  <c r="H531" i="10"/>
  <c r="G512" i="10"/>
  <c r="H512" i="10"/>
  <c r="G534" i="10"/>
  <c r="H534" i="10"/>
  <c r="G519" i="10"/>
  <c r="H519" i="10" s="1"/>
  <c r="G496" i="10" l="1"/>
  <c r="H496" i="10"/>
  <c r="C441" i="10"/>
  <c r="D712" i="10"/>
  <c r="D704" i="10"/>
  <c r="D709" i="10"/>
  <c r="D701" i="10"/>
  <c r="D706" i="10"/>
  <c r="D711" i="10"/>
  <c r="D703" i="10"/>
  <c r="D708" i="10"/>
  <c r="D700" i="10"/>
  <c r="D716" i="10"/>
  <c r="D707" i="10"/>
  <c r="D713" i="10"/>
  <c r="D691" i="10"/>
  <c r="D683" i="10"/>
  <c r="D675" i="10"/>
  <c r="D644" i="10"/>
  <c r="D643" i="10"/>
  <c r="D642" i="10"/>
  <c r="D641" i="10"/>
  <c r="D640" i="10"/>
  <c r="D639" i="10"/>
  <c r="D638" i="10"/>
  <c r="D710" i="10"/>
  <c r="D696" i="10"/>
  <c r="D688" i="10"/>
  <c r="D680" i="10"/>
  <c r="D672" i="10"/>
  <c r="D693" i="10"/>
  <c r="D685" i="10"/>
  <c r="D677" i="10"/>
  <c r="D669" i="10"/>
  <c r="D627" i="10"/>
  <c r="D698" i="10"/>
  <c r="D692" i="10"/>
  <c r="D684" i="10"/>
  <c r="D676" i="10"/>
  <c r="D668" i="10"/>
  <c r="D628" i="10"/>
  <c r="D690" i="10"/>
  <c r="D674" i="10"/>
  <c r="D626" i="10"/>
  <c r="D624" i="10"/>
  <c r="D687" i="10"/>
  <c r="D671" i="10"/>
  <c r="D635" i="10"/>
  <c r="D631" i="10"/>
  <c r="D620" i="10"/>
  <c r="D616" i="10"/>
  <c r="D699" i="10"/>
  <c r="D697" i="10"/>
  <c r="D681" i="10"/>
  <c r="D682" i="10"/>
  <c r="D629" i="10"/>
  <c r="D625" i="10"/>
  <c r="D678" i="10"/>
  <c r="D646" i="10"/>
  <c r="D636" i="10"/>
  <c r="D623" i="10"/>
  <c r="D695" i="10"/>
  <c r="D633" i="10"/>
  <c r="D622" i="10"/>
  <c r="D705" i="10"/>
  <c r="D689" i="10"/>
  <c r="D686" i="10"/>
  <c r="D645" i="10"/>
  <c r="D630" i="10"/>
  <c r="D621" i="10"/>
  <c r="D702" i="10"/>
  <c r="D694" i="10"/>
  <c r="D632" i="10"/>
  <c r="D619" i="10"/>
  <c r="D679" i="10"/>
  <c r="D637" i="10"/>
  <c r="D618" i="10"/>
  <c r="D673" i="10"/>
  <c r="D670" i="10"/>
  <c r="D647" i="10"/>
  <c r="D634" i="10"/>
  <c r="D617" i="10"/>
  <c r="E612" i="10" l="1"/>
  <c r="D715" i="10"/>
  <c r="E623" i="10"/>
  <c r="E709" i="10" l="1"/>
  <c r="E701" i="10"/>
  <c r="E706" i="10"/>
  <c r="E711" i="10"/>
  <c r="E703" i="10"/>
  <c r="E708" i="10"/>
  <c r="E700" i="10"/>
  <c r="E713" i="10"/>
  <c r="E705" i="10"/>
  <c r="E712" i="10"/>
  <c r="E704" i="10"/>
  <c r="E710" i="10"/>
  <c r="E696" i="10"/>
  <c r="E688" i="10"/>
  <c r="E680" i="10"/>
  <c r="E672" i="10"/>
  <c r="E707" i="10"/>
  <c r="E693" i="10"/>
  <c r="E685" i="10"/>
  <c r="E677" i="10"/>
  <c r="E669" i="10"/>
  <c r="E690" i="10"/>
  <c r="E682" i="10"/>
  <c r="E674" i="10"/>
  <c r="E699" i="10"/>
  <c r="E697" i="10"/>
  <c r="E689" i="10"/>
  <c r="E681" i="10"/>
  <c r="E673" i="10"/>
  <c r="E716" i="10"/>
  <c r="E687" i="10"/>
  <c r="E671" i="10"/>
  <c r="E641" i="10"/>
  <c r="E635" i="10"/>
  <c r="E631" i="10"/>
  <c r="E628" i="10"/>
  <c r="E684" i="10"/>
  <c r="E668" i="10"/>
  <c r="E702" i="10"/>
  <c r="E694" i="10"/>
  <c r="E678" i="10"/>
  <c r="E646" i="10"/>
  <c r="E639" i="10"/>
  <c r="E636" i="10"/>
  <c r="E632" i="10"/>
  <c r="E695" i="10"/>
  <c r="E679" i="10"/>
  <c r="E637" i="10"/>
  <c r="E633" i="10"/>
  <c r="E627" i="10"/>
  <c r="E675" i="10"/>
  <c r="E642" i="10"/>
  <c r="E698" i="10"/>
  <c r="E692" i="10"/>
  <c r="E686" i="10"/>
  <c r="E645" i="10"/>
  <c r="E630" i="10"/>
  <c r="E683" i="10"/>
  <c r="E638" i="10"/>
  <c r="E626" i="10"/>
  <c r="E691" i="10"/>
  <c r="E644" i="10"/>
  <c r="E629" i="10"/>
  <c r="E625" i="10"/>
  <c r="E676" i="10"/>
  <c r="E640" i="10"/>
  <c r="E643" i="10"/>
  <c r="E670" i="10"/>
  <c r="E647" i="10"/>
  <c r="E624" i="10"/>
  <c r="E634" i="10"/>
  <c r="E715" i="10" l="1"/>
  <c r="F624" i="10"/>
  <c r="F706" i="10" l="1"/>
  <c r="F698" i="10"/>
  <c r="F711" i="10"/>
  <c r="F703" i="10"/>
  <c r="F708" i="10"/>
  <c r="F700" i="10"/>
  <c r="F713" i="10"/>
  <c r="F705" i="10"/>
  <c r="F697" i="10"/>
  <c r="F710" i="10"/>
  <c r="F702" i="10"/>
  <c r="F709" i="10"/>
  <c r="F707" i="10"/>
  <c r="F693" i="10"/>
  <c r="F685" i="10"/>
  <c r="F677" i="10"/>
  <c r="F669" i="10"/>
  <c r="F704" i="10"/>
  <c r="F690" i="10"/>
  <c r="F682" i="10"/>
  <c r="F674" i="10"/>
  <c r="F716" i="10"/>
  <c r="F701" i="10"/>
  <c r="F695" i="10"/>
  <c r="F687" i="10"/>
  <c r="F679" i="10"/>
  <c r="F671" i="10"/>
  <c r="F625" i="10"/>
  <c r="F694" i="10"/>
  <c r="F686" i="10"/>
  <c r="F678" i="10"/>
  <c r="F670" i="10"/>
  <c r="F647" i="10"/>
  <c r="F646" i="10"/>
  <c r="F645" i="10"/>
  <c r="F629" i="10"/>
  <c r="F626" i="10"/>
  <c r="F684" i="10"/>
  <c r="F668" i="10"/>
  <c r="F699" i="10"/>
  <c r="F681" i="10"/>
  <c r="F639" i="10"/>
  <c r="F636" i="10"/>
  <c r="F632" i="10"/>
  <c r="F691" i="10"/>
  <c r="F675" i="10"/>
  <c r="F644" i="10"/>
  <c r="F642" i="10"/>
  <c r="F712" i="10"/>
  <c r="F692" i="10"/>
  <c r="F676" i="10"/>
  <c r="F640" i="10"/>
  <c r="F672" i="10"/>
  <c r="F633" i="10"/>
  <c r="F627" i="10"/>
  <c r="F689" i="10"/>
  <c r="F630" i="10"/>
  <c r="F683" i="10"/>
  <c r="F638" i="10"/>
  <c r="F680" i="10"/>
  <c r="F641" i="10"/>
  <c r="F635" i="10"/>
  <c r="F688" i="10"/>
  <c r="F637" i="10"/>
  <c r="F673" i="10"/>
  <c r="F634" i="10"/>
  <c r="F631" i="10"/>
  <c r="F696" i="10"/>
  <c r="F628" i="10"/>
  <c r="F643" i="10"/>
  <c r="F715" i="10" l="1"/>
  <c r="G625" i="10"/>
  <c r="G711" i="10" l="1"/>
  <c r="G703" i="10"/>
  <c r="G708" i="10"/>
  <c r="G713" i="10"/>
  <c r="G705" i="10"/>
  <c r="G710" i="10"/>
  <c r="G702" i="10"/>
  <c r="G716" i="10"/>
  <c r="G707" i="10"/>
  <c r="G706" i="10"/>
  <c r="G704" i="10"/>
  <c r="G690" i="10"/>
  <c r="G682" i="10"/>
  <c r="G674" i="10"/>
  <c r="G701" i="10"/>
  <c r="G695" i="10"/>
  <c r="G687" i="10"/>
  <c r="G679" i="10"/>
  <c r="G671" i="10"/>
  <c r="G712" i="10"/>
  <c r="G692" i="10"/>
  <c r="G684" i="10"/>
  <c r="G676" i="10"/>
  <c r="G668" i="10"/>
  <c r="G628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9" i="10"/>
  <c r="G699" i="10"/>
  <c r="G681" i="10"/>
  <c r="G697" i="10"/>
  <c r="G694" i="10"/>
  <c r="G678" i="10"/>
  <c r="G646" i="10"/>
  <c r="G688" i="10"/>
  <c r="G672" i="10"/>
  <c r="G629" i="10"/>
  <c r="G627" i="10"/>
  <c r="G698" i="10"/>
  <c r="G689" i="10"/>
  <c r="G673" i="10"/>
  <c r="G669" i="10"/>
  <c r="G686" i="10"/>
  <c r="G645" i="10"/>
  <c r="G680" i="10"/>
  <c r="G626" i="10"/>
  <c r="G677" i="10"/>
  <c r="G685" i="10"/>
  <c r="G670" i="10"/>
  <c r="G647" i="10"/>
  <c r="G696" i="10"/>
  <c r="G693" i="10"/>
  <c r="G700" i="10"/>
  <c r="G715" i="10" l="1"/>
  <c r="H628" i="10"/>
  <c r="H708" i="10" l="1"/>
  <c r="H700" i="10"/>
  <c r="H713" i="10"/>
  <c r="H705" i="10"/>
  <c r="H710" i="10"/>
  <c r="H702" i="10"/>
  <c r="H716" i="10"/>
  <c r="H707" i="10"/>
  <c r="H699" i="10"/>
  <c r="H712" i="10"/>
  <c r="H704" i="10"/>
  <c r="H711" i="10"/>
  <c r="H703" i="10"/>
  <c r="H701" i="10"/>
  <c r="H695" i="10"/>
  <c r="H687" i="10"/>
  <c r="H679" i="10"/>
  <c r="H671" i="10"/>
  <c r="H692" i="10"/>
  <c r="H684" i="10"/>
  <c r="H676" i="10"/>
  <c r="H668" i="10"/>
  <c r="H709" i="10"/>
  <c r="H698" i="10"/>
  <c r="H689" i="10"/>
  <c r="H681" i="10"/>
  <c r="H673" i="10"/>
  <c r="H696" i="10"/>
  <c r="H688" i="10"/>
  <c r="H680" i="10"/>
  <c r="H672" i="10"/>
  <c r="H697" i="10"/>
  <c r="H694" i="10"/>
  <c r="H678" i="10"/>
  <c r="H646" i="10"/>
  <c r="H639" i="10"/>
  <c r="H636" i="10"/>
  <c r="H632" i="10"/>
  <c r="H691" i="10"/>
  <c r="H675" i="10"/>
  <c r="H644" i="10"/>
  <c r="H642" i="10"/>
  <c r="H629" i="10"/>
  <c r="H685" i="10"/>
  <c r="H669" i="10"/>
  <c r="H637" i="10"/>
  <c r="H633" i="10"/>
  <c r="H706" i="10"/>
  <c r="H686" i="10"/>
  <c r="H670" i="10"/>
  <c r="H647" i="10"/>
  <c r="H645" i="10"/>
  <c r="H634" i="10"/>
  <c r="H630" i="10"/>
  <c r="H683" i="10"/>
  <c r="H638" i="10"/>
  <c r="H677" i="10"/>
  <c r="H641" i="10"/>
  <c r="H635" i="10"/>
  <c r="H674" i="10"/>
  <c r="H682" i="10"/>
  <c r="H640" i="10"/>
  <c r="H643" i="10"/>
  <c r="H693" i="10"/>
  <c r="H631" i="10"/>
  <c r="H690" i="10"/>
  <c r="H715" i="10" l="1"/>
  <c r="I629" i="10"/>
  <c r="I713" i="10" l="1"/>
  <c r="I705" i="10"/>
  <c r="I710" i="10"/>
  <c r="I702" i="10"/>
  <c r="I716" i="10"/>
  <c r="I707" i="10"/>
  <c r="I699" i="10"/>
  <c r="I712" i="10"/>
  <c r="I704" i="10"/>
  <c r="I709" i="10"/>
  <c r="I701" i="10"/>
  <c r="I708" i="10"/>
  <c r="I692" i="10"/>
  <c r="I684" i="10"/>
  <c r="I676" i="10"/>
  <c r="I668" i="10"/>
  <c r="I698" i="10"/>
  <c r="I689" i="10"/>
  <c r="I681" i="10"/>
  <c r="I673" i="10"/>
  <c r="I706" i="10"/>
  <c r="I697" i="10"/>
  <c r="I694" i="10"/>
  <c r="I686" i="10"/>
  <c r="I678" i="10"/>
  <c r="I670" i="10"/>
  <c r="I647" i="10"/>
  <c r="I646" i="10"/>
  <c r="I645" i="10"/>
  <c r="I711" i="10"/>
  <c r="I700" i="10"/>
  <c r="I693" i="10"/>
  <c r="I685" i="10"/>
  <c r="I677" i="10"/>
  <c r="I669" i="10"/>
  <c r="I703" i="10"/>
  <c r="I691" i="10"/>
  <c r="I675" i="10"/>
  <c r="I644" i="10"/>
  <c r="I642" i="10"/>
  <c r="I688" i="10"/>
  <c r="I672" i="10"/>
  <c r="I637" i="10"/>
  <c r="I633" i="10"/>
  <c r="I682" i="10"/>
  <c r="I640" i="10"/>
  <c r="I683" i="10"/>
  <c r="I643" i="10"/>
  <c r="I638" i="10"/>
  <c r="I695" i="10"/>
  <c r="I630" i="10"/>
  <c r="I680" i="10"/>
  <c r="I641" i="10"/>
  <c r="I635" i="10"/>
  <c r="I674" i="10"/>
  <c r="I671" i="10"/>
  <c r="I632" i="10"/>
  <c r="I679" i="10"/>
  <c r="I634" i="10"/>
  <c r="I696" i="10"/>
  <c r="I631" i="10"/>
  <c r="I687" i="10"/>
  <c r="I639" i="10"/>
  <c r="I690" i="10"/>
  <c r="I636" i="10"/>
  <c r="I715" i="10" l="1"/>
  <c r="J630" i="10"/>
  <c r="J710" i="10" l="1"/>
  <c r="J702" i="10"/>
  <c r="J716" i="10"/>
  <c r="J707" i="10"/>
  <c r="J712" i="10"/>
  <c r="J704" i="10"/>
  <c r="J709" i="10"/>
  <c r="J701" i="10"/>
  <c r="J706" i="10"/>
  <c r="J713" i="10"/>
  <c r="J705" i="10"/>
  <c r="J698" i="10"/>
  <c r="J689" i="10"/>
  <c r="J681" i="10"/>
  <c r="J673" i="10"/>
  <c r="J697" i="10"/>
  <c r="J694" i="10"/>
  <c r="J686" i="10"/>
  <c r="J678" i="10"/>
  <c r="J670" i="10"/>
  <c r="J647" i="10"/>
  <c r="J646" i="10"/>
  <c r="J645" i="10"/>
  <c r="J703" i="10"/>
  <c r="J699" i="10"/>
  <c r="J691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8" i="10"/>
  <c r="J690" i="10"/>
  <c r="J682" i="10"/>
  <c r="J674" i="10"/>
  <c r="J688" i="10"/>
  <c r="J672" i="10"/>
  <c r="J685" i="10"/>
  <c r="J669" i="10"/>
  <c r="J695" i="10"/>
  <c r="J679" i="10"/>
  <c r="J696" i="10"/>
  <c r="J680" i="10"/>
  <c r="J692" i="10"/>
  <c r="J677" i="10"/>
  <c r="J671" i="10"/>
  <c r="J668" i="10"/>
  <c r="J676" i="10"/>
  <c r="J711" i="10"/>
  <c r="J700" i="10"/>
  <c r="J693" i="10"/>
  <c r="J684" i="10"/>
  <c r="J687" i="10"/>
  <c r="K644" i="10" l="1"/>
  <c r="L647" i="10"/>
  <c r="J715" i="10"/>
  <c r="L712" i="10" l="1"/>
  <c r="L704" i="10"/>
  <c r="L709" i="10"/>
  <c r="L701" i="10"/>
  <c r="L706" i="10"/>
  <c r="L698" i="10"/>
  <c r="L711" i="10"/>
  <c r="L703" i="10"/>
  <c r="M703" i="10" s="1"/>
  <c r="Y769" i="10" s="1"/>
  <c r="L708" i="10"/>
  <c r="L700" i="10"/>
  <c r="L716" i="10"/>
  <c r="L707" i="10"/>
  <c r="L691" i="10"/>
  <c r="L683" i="10"/>
  <c r="L675" i="10"/>
  <c r="L699" i="10"/>
  <c r="M699" i="10" s="1"/>
  <c r="Y765" i="10" s="1"/>
  <c r="L696" i="10"/>
  <c r="L688" i="10"/>
  <c r="L680" i="10"/>
  <c r="L672" i="10"/>
  <c r="L693" i="10"/>
  <c r="L685" i="10"/>
  <c r="L677" i="10"/>
  <c r="L669" i="10"/>
  <c r="M669" i="10" s="1"/>
  <c r="Y735" i="10" s="1"/>
  <c r="L702" i="10"/>
  <c r="L692" i="10"/>
  <c r="L684" i="10"/>
  <c r="L676" i="10"/>
  <c r="L668" i="10"/>
  <c r="L682" i="10"/>
  <c r="M682" i="10" s="1"/>
  <c r="Y748" i="10" s="1"/>
  <c r="L695" i="10"/>
  <c r="M695" i="10" s="1"/>
  <c r="Y761" i="10" s="1"/>
  <c r="L679" i="10"/>
  <c r="M679" i="10" s="1"/>
  <c r="Y745" i="10" s="1"/>
  <c r="L713" i="10"/>
  <c r="L689" i="10"/>
  <c r="L673" i="10"/>
  <c r="L690" i="10"/>
  <c r="L674" i="10"/>
  <c r="L686" i="10"/>
  <c r="L705" i="10"/>
  <c r="M705" i="10" s="1"/>
  <c r="Y771" i="10" s="1"/>
  <c r="L671" i="10"/>
  <c r="M671" i="10" s="1"/>
  <c r="Y737" i="10" s="1"/>
  <c r="L697" i="10"/>
  <c r="L694" i="10"/>
  <c r="L670" i="10"/>
  <c r="L687" i="10"/>
  <c r="L681" i="10"/>
  <c r="L710" i="10"/>
  <c r="M710" i="10" s="1"/>
  <c r="Y776" i="10" s="1"/>
  <c r="L678" i="10"/>
  <c r="K716" i="10"/>
  <c r="K707" i="10"/>
  <c r="K699" i="10"/>
  <c r="K712" i="10"/>
  <c r="K704" i="10"/>
  <c r="K709" i="10"/>
  <c r="K701" i="10"/>
  <c r="K706" i="10"/>
  <c r="K698" i="10"/>
  <c r="K711" i="10"/>
  <c r="K703" i="10"/>
  <c r="K710" i="10"/>
  <c r="K702" i="10"/>
  <c r="K697" i="10"/>
  <c r="K694" i="10"/>
  <c r="K686" i="10"/>
  <c r="K678" i="10"/>
  <c r="K670" i="10"/>
  <c r="K691" i="10"/>
  <c r="K683" i="10"/>
  <c r="K675" i="10"/>
  <c r="K696" i="10"/>
  <c r="K688" i="10"/>
  <c r="K680" i="10"/>
  <c r="K672" i="10"/>
  <c r="K705" i="10"/>
  <c r="K695" i="10"/>
  <c r="K687" i="10"/>
  <c r="K679" i="10"/>
  <c r="K671" i="10"/>
  <c r="K685" i="10"/>
  <c r="K669" i="10"/>
  <c r="K708" i="10"/>
  <c r="K682" i="10"/>
  <c r="K692" i="10"/>
  <c r="K676" i="10"/>
  <c r="K700" i="10"/>
  <c r="K693" i="10"/>
  <c r="K677" i="10"/>
  <c r="K689" i="10"/>
  <c r="K674" i="10"/>
  <c r="K668" i="10"/>
  <c r="K713" i="10"/>
  <c r="K673" i="10"/>
  <c r="K690" i="10"/>
  <c r="K684" i="10"/>
  <c r="K681" i="10"/>
  <c r="M678" i="10" l="1"/>
  <c r="Y744" i="10" s="1"/>
  <c r="M677" i="10"/>
  <c r="Y743" i="10" s="1"/>
  <c r="M675" i="10"/>
  <c r="Y741" i="10" s="1"/>
  <c r="M711" i="10"/>
  <c r="Y777" i="10" s="1"/>
  <c r="M685" i="10"/>
  <c r="Y751" i="10" s="1"/>
  <c r="M683" i="10"/>
  <c r="Y749" i="10" s="1"/>
  <c r="M698" i="10"/>
  <c r="Y764" i="10" s="1"/>
  <c r="M681" i="10"/>
  <c r="Y747" i="10" s="1"/>
  <c r="M674" i="10"/>
  <c r="Y740" i="10" s="1"/>
  <c r="L715" i="10"/>
  <c r="M668" i="10"/>
  <c r="M693" i="10"/>
  <c r="Y759" i="10" s="1"/>
  <c r="M691" i="10"/>
  <c r="Y757" i="10" s="1"/>
  <c r="M706" i="10"/>
  <c r="Y772" i="10" s="1"/>
  <c r="M687" i="10"/>
  <c r="Y753" i="10" s="1"/>
  <c r="M690" i="10"/>
  <c r="Y756" i="10" s="1"/>
  <c r="M676" i="10"/>
  <c r="Y742" i="10" s="1"/>
  <c r="M672" i="10"/>
  <c r="Y738" i="10" s="1"/>
  <c r="M707" i="10"/>
  <c r="Y773" i="10" s="1"/>
  <c r="M701" i="10"/>
  <c r="Y767" i="10" s="1"/>
  <c r="M686" i="10"/>
  <c r="Y752" i="10" s="1"/>
  <c r="M670" i="10"/>
  <c r="Y736" i="10" s="1"/>
  <c r="M673" i="10"/>
  <c r="Y739" i="10" s="1"/>
  <c r="M684" i="10"/>
  <c r="Y750" i="10" s="1"/>
  <c r="M680" i="10"/>
  <c r="Y746" i="10" s="1"/>
  <c r="M709" i="10"/>
  <c r="Y775" i="10" s="1"/>
  <c r="M694" i="10"/>
  <c r="Y760" i="10" s="1"/>
  <c r="M689" i="10"/>
  <c r="Y755" i="10" s="1"/>
  <c r="M692" i="10"/>
  <c r="Y758" i="10" s="1"/>
  <c r="M688" i="10"/>
  <c r="Y754" i="10" s="1"/>
  <c r="M700" i="10"/>
  <c r="Y766" i="10" s="1"/>
  <c r="M704" i="10"/>
  <c r="Y770" i="10" s="1"/>
  <c r="K715" i="10"/>
  <c r="M697" i="10"/>
  <c r="Y763" i="10" s="1"/>
  <c r="M713" i="10"/>
  <c r="Y779" i="10" s="1"/>
  <c r="M702" i="10"/>
  <c r="Y768" i="10" s="1"/>
  <c r="M696" i="10"/>
  <c r="Y762" i="10" s="1"/>
  <c r="M708" i="10"/>
  <c r="Y774" i="10" s="1"/>
  <c r="M712" i="10"/>
  <c r="Y778" i="10" s="1"/>
  <c r="M715" i="10" l="1"/>
  <c r="Y734" i="10"/>
  <c r="Y815" i="10" s="1"/>
  <c r="BY78" i="1" l="1"/>
  <c r="BL78" i="1"/>
  <c r="BI78" i="1"/>
  <c r="BH78" i="1"/>
  <c r="BA78" i="1"/>
  <c r="AV78" i="1"/>
  <c r="AO78" i="1"/>
  <c r="AL78" i="1"/>
  <c r="AK78" i="1"/>
  <c r="AJ78" i="1"/>
  <c r="AG78" i="1"/>
  <c r="AE78" i="1"/>
  <c r="AD78" i="1"/>
  <c r="AC78" i="1"/>
  <c r="AB78" i="1"/>
  <c r="AA78" i="1"/>
  <c r="Z78" i="1"/>
  <c r="Y78" i="1"/>
  <c r="X78" i="1"/>
  <c r="W78" i="1"/>
  <c r="U78" i="1"/>
  <c r="T78" i="1"/>
  <c r="S78" i="1"/>
  <c r="R78" i="1"/>
  <c r="Q78" i="1"/>
  <c r="P78" i="1"/>
  <c r="O78" i="1"/>
  <c r="J78" i="1"/>
  <c r="H78" i="1"/>
  <c r="F78" i="1"/>
  <c r="E78" i="1"/>
  <c r="C78" i="1"/>
  <c r="H77" i="1"/>
  <c r="F77" i="1"/>
  <c r="E77" i="1"/>
  <c r="C77" i="1"/>
  <c r="AJ61" i="1" l="1"/>
  <c r="CC61" i="1"/>
  <c r="AV61" i="1"/>
  <c r="BV61" i="1"/>
  <c r="CC64" i="1"/>
  <c r="CC63" i="1"/>
  <c r="AP73" i="1"/>
  <c r="U74" i="1"/>
  <c r="U73" i="1"/>
  <c r="AP74" i="1"/>
  <c r="AV74" i="1"/>
  <c r="AV73" i="1"/>
  <c r="AJ74" i="1"/>
  <c r="AJ73" i="1"/>
  <c r="Y74" i="1"/>
  <c r="Y73" i="1"/>
  <c r="BK66" i="1"/>
  <c r="CC66" i="1"/>
  <c r="BX66" i="1"/>
  <c r="BN66" i="1"/>
  <c r="BA66" i="1"/>
  <c r="AV66" i="1"/>
  <c r="AJ66" i="1"/>
  <c r="CC69" i="1"/>
  <c r="BX69" i="1"/>
  <c r="BW69" i="1"/>
  <c r="BV69" i="1"/>
  <c r="BN69" i="1"/>
  <c r="AV69" i="1"/>
  <c r="AJ69" i="1"/>
  <c r="BR64" i="1"/>
  <c r="BW64" i="1"/>
  <c r="BI68" i="1"/>
  <c r="AJ68" i="1"/>
  <c r="AP64" i="1" l="1"/>
  <c r="BX64" i="1"/>
  <c r="BV64" i="1"/>
  <c r="BN64" i="1"/>
  <c r="BL64" i="1"/>
  <c r="BK64" i="1"/>
  <c r="AX64" i="1"/>
  <c r="AV64" i="1"/>
  <c r="BI64" i="1"/>
  <c r="AJ64" i="1"/>
  <c r="BI61" i="1"/>
  <c r="BL61" i="1" l="1"/>
  <c r="BN61" i="1" l="1"/>
  <c r="BX61" i="1"/>
  <c r="BZ61" i="1"/>
  <c r="C171" i="1" l="1"/>
  <c r="C167" i="1"/>
  <c r="C387" i="1"/>
  <c r="B196" i="1" l="1"/>
  <c r="C214" i="1" l="1"/>
  <c r="F493" i="1" l="1"/>
  <c r="D493" i="1"/>
  <c r="B493" i="1"/>
  <c r="A493" i="1" l="1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E63" i="1"/>
  <c r="CE66" i="1"/>
  <c r="CE68" i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P75" i="1"/>
  <c r="I58" i="9" s="1"/>
  <c r="O75" i="1"/>
  <c r="H58" i="9" s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CE73" i="1"/>
  <c r="CE74" i="1"/>
  <c r="C75" i="1"/>
  <c r="C26" i="9" s="1"/>
  <c r="CE80" i="1"/>
  <c r="CE78" i="1"/>
  <c r="CE69" i="1"/>
  <c r="D361" i="1"/>
  <c r="D372" i="1"/>
  <c r="C125" i="8" s="1"/>
  <c r="D260" i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F8" i="6" s="1"/>
  <c r="E197" i="1"/>
  <c r="E198" i="1"/>
  <c r="E199" i="1"/>
  <c r="C472" i="1" s="1"/>
  <c r="E200" i="1"/>
  <c r="B473" i="1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E153" i="1"/>
  <c r="E28" i="4" s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5" i="1"/>
  <c r="B474" i="1"/>
  <c r="B472" i="1"/>
  <c r="B471" i="1"/>
  <c r="B469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C439" i="1"/>
  <c r="C438" i="1"/>
  <c r="B437" i="1"/>
  <c r="B436" i="1"/>
  <c r="B435" i="1"/>
  <c r="B434" i="1"/>
  <c r="B433" i="1"/>
  <c r="B431" i="1"/>
  <c r="B429" i="1"/>
  <c r="D424" i="1"/>
  <c r="B424" i="1"/>
  <c r="B423" i="1"/>
  <c r="D421" i="1"/>
  <c r="C421" i="1"/>
  <c r="B421" i="1"/>
  <c r="B420" i="1"/>
  <c r="D418" i="1"/>
  <c r="B418" i="1"/>
  <c r="B417" i="1"/>
  <c r="D415" i="1"/>
  <c r="C415" i="1"/>
  <c r="B415" i="1"/>
  <c r="B414" i="1"/>
  <c r="C3" i="8"/>
  <c r="A3" i="8"/>
  <c r="C148" i="8"/>
  <c r="C144" i="8"/>
  <c r="C139" i="8"/>
  <c r="C138" i="8"/>
  <c r="C137" i="8"/>
  <c r="C136" i="8"/>
  <c r="C135" i="8"/>
  <c r="C133" i="8"/>
  <c r="C131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2" i="8"/>
  <c r="C31" i="8"/>
  <c r="C30" i="8"/>
  <c r="C29" i="8"/>
  <c r="C28" i="8"/>
  <c r="C26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C34" i="5"/>
  <c r="F90" i="9"/>
  <c r="D366" i="9"/>
  <c r="CE64" i="1"/>
  <c r="I349" i="9" s="1"/>
  <c r="D368" i="9"/>
  <c r="C276" i="9"/>
  <c r="CE70" i="1"/>
  <c r="C458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B468" i="1" s="1"/>
  <c r="C28" i="6"/>
  <c r="B217" i="1"/>
  <c r="C32" i="6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CD71" i="1"/>
  <c r="E373" i="9" s="1"/>
  <c r="C615" i="1"/>
  <c r="E372" i="9"/>
  <c r="F499" i="1"/>
  <c r="F511" i="1"/>
  <c r="F517" i="1"/>
  <c r="H505" i="1"/>
  <c r="F505" i="1"/>
  <c r="F501" i="1"/>
  <c r="F497" i="1"/>
  <c r="H497" i="1"/>
  <c r="I370" i="9" l="1"/>
  <c r="C380" i="9"/>
  <c r="C431" i="1"/>
  <c r="C429" i="1"/>
  <c r="F12" i="6"/>
  <c r="B445" i="1"/>
  <c r="C469" i="1"/>
  <c r="C27" i="5"/>
  <c r="C473" i="1"/>
  <c r="C25" i="8"/>
  <c r="C470" i="1"/>
  <c r="D428" i="1"/>
  <c r="C434" i="1"/>
  <c r="I90" i="9"/>
  <c r="I365" i="9"/>
  <c r="E58" i="9"/>
  <c r="E26" i="9"/>
  <c r="C464" i="1"/>
  <c r="G122" i="9"/>
  <c r="E154" i="9"/>
  <c r="C575" i="1"/>
  <c r="I612" i="1"/>
  <c r="I382" i="9"/>
  <c r="C448" i="1"/>
  <c r="I368" i="9"/>
  <c r="I371" i="9"/>
  <c r="F612" i="1"/>
  <c r="W48" i="1"/>
  <c r="W62" i="1" s="1"/>
  <c r="I76" i="9" s="1"/>
  <c r="BG48" i="1"/>
  <c r="BG62" i="1" s="1"/>
  <c r="C268" i="9" s="1"/>
  <c r="AD48" i="1"/>
  <c r="AD62" i="1" s="1"/>
  <c r="I108" i="9" s="1"/>
  <c r="AT48" i="1"/>
  <c r="AT62" i="1" s="1"/>
  <c r="BK48" i="1"/>
  <c r="BK62" i="1" s="1"/>
  <c r="G268" i="9" s="1"/>
  <c r="G10" i="4"/>
  <c r="D5" i="7"/>
  <c r="B465" i="1"/>
  <c r="D368" i="1"/>
  <c r="C120" i="8" s="1"/>
  <c r="C16" i="8"/>
  <c r="D32" i="6"/>
  <c r="F9" i="6"/>
  <c r="C48" i="1"/>
  <c r="C62" i="1" s="1"/>
  <c r="N48" i="1"/>
  <c r="N62" i="1" s="1"/>
  <c r="G44" i="9" s="1"/>
  <c r="BD48" i="1"/>
  <c r="BD62" i="1" s="1"/>
  <c r="AA48" i="1"/>
  <c r="AA62" i="1" s="1"/>
  <c r="F108" i="9" s="1"/>
  <c r="AM48" i="1"/>
  <c r="AM62" i="1" s="1"/>
  <c r="D172" i="9" s="1"/>
  <c r="AY48" i="1"/>
  <c r="AY62" i="1" s="1"/>
  <c r="O48" i="1"/>
  <c r="O62" i="1" s="1"/>
  <c r="H44" i="9" s="1"/>
  <c r="BO48" i="1"/>
  <c r="BO62" i="1" s="1"/>
  <c r="D300" i="9" s="1"/>
  <c r="BM48" i="1"/>
  <c r="BM62" i="1" s="1"/>
  <c r="I268" i="9" s="1"/>
  <c r="D186" i="9"/>
  <c r="C218" i="9"/>
  <c r="C430" i="1"/>
  <c r="I366" i="9"/>
  <c r="BF48" i="1"/>
  <c r="BF62" i="1" s="1"/>
  <c r="I236" i="9" s="1"/>
  <c r="BU48" i="1"/>
  <c r="BU62" i="1" s="1"/>
  <c r="C332" i="9" s="1"/>
  <c r="BS48" i="1"/>
  <c r="BS62" i="1" s="1"/>
  <c r="I362" i="9"/>
  <c r="BA48" i="1"/>
  <c r="BA62" i="1" s="1"/>
  <c r="D236" i="9" s="1"/>
  <c r="D48" i="1"/>
  <c r="D62" i="1" s="1"/>
  <c r="D12" i="9" s="1"/>
  <c r="J48" i="1"/>
  <c r="J62" i="1" s="1"/>
  <c r="CA48" i="1"/>
  <c r="CA62" i="1" s="1"/>
  <c r="BQ48" i="1"/>
  <c r="BQ62" i="1" s="1"/>
  <c r="X48" i="1"/>
  <c r="X62" i="1" s="1"/>
  <c r="C432" i="1"/>
  <c r="F48" i="1"/>
  <c r="F62" i="1" s="1"/>
  <c r="AR48" i="1"/>
  <c r="AR62" i="1" s="1"/>
  <c r="I172" i="9" s="1"/>
  <c r="BT48" i="1"/>
  <c r="BT62" i="1" s="1"/>
  <c r="CB48" i="1"/>
  <c r="CB62" i="1" s="1"/>
  <c r="C364" i="9" s="1"/>
  <c r="S48" i="1"/>
  <c r="S62" i="1" s="1"/>
  <c r="AF48" i="1"/>
  <c r="AF62" i="1" s="1"/>
  <c r="D140" i="9" s="1"/>
  <c r="BN48" i="1"/>
  <c r="BN62" i="1" s="1"/>
  <c r="AU48" i="1"/>
  <c r="AU62" i="1" s="1"/>
  <c r="AB48" i="1"/>
  <c r="AB62" i="1" s="1"/>
  <c r="AH48" i="1"/>
  <c r="AH62" i="1" s="1"/>
  <c r="F140" i="9" s="1"/>
  <c r="BP48" i="1"/>
  <c r="BP62" i="1" s="1"/>
  <c r="E300" i="9" s="1"/>
  <c r="K48" i="1"/>
  <c r="K62" i="1" s="1"/>
  <c r="Q48" i="1"/>
  <c r="Q62" i="1" s="1"/>
  <c r="AC48" i="1"/>
  <c r="AC62" i="1" s="1"/>
  <c r="H108" i="9" s="1"/>
  <c r="I363" i="9"/>
  <c r="BR48" i="1"/>
  <c r="BR62" i="1" s="1"/>
  <c r="Y48" i="1"/>
  <c r="Y62" i="1" s="1"/>
  <c r="I377" i="9"/>
  <c r="C90" i="9"/>
  <c r="C440" i="1"/>
  <c r="I372" i="9"/>
  <c r="AV48" i="1"/>
  <c r="AV62" i="1" s="1"/>
  <c r="F204" i="9" s="1"/>
  <c r="AG48" i="1"/>
  <c r="AG62" i="1" s="1"/>
  <c r="BC48" i="1"/>
  <c r="BC62" i="1" s="1"/>
  <c r="Z48" i="1"/>
  <c r="Z62" i="1" s="1"/>
  <c r="AP48" i="1"/>
  <c r="AP62" i="1" s="1"/>
  <c r="BB48" i="1"/>
  <c r="BB62" i="1" s="1"/>
  <c r="BL48" i="1"/>
  <c r="BL62" i="1" s="1"/>
  <c r="H268" i="9" s="1"/>
  <c r="BY48" i="1"/>
  <c r="BY62" i="1" s="1"/>
  <c r="I48" i="1"/>
  <c r="I62" i="1" s="1"/>
  <c r="BE48" i="1"/>
  <c r="BE62" i="1" s="1"/>
  <c r="AK48" i="1"/>
  <c r="AK62" i="1" s="1"/>
  <c r="BI48" i="1"/>
  <c r="BI62" i="1" s="1"/>
  <c r="E268" i="9" s="1"/>
  <c r="M48" i="1"/>
  <c r="M62" i="1" s="1"/>
  <c r="F44" i="9" s="1"/>
  <c r="T48" i="1"/>
  <c r="T62" i="1" s="1"/>
  <c r="F76" i="9" s="1"/>
  <c r="R48" i="1"/>
  <c r="R62" i="1" s="1"/>
  <c r="D76" i="9" s="1"/>
  <c r="AJ48" i="1"/>
  <c r="AJ62" i="1" s="1"/>
  <c r="BH48" i="1"/>
  <c r="BH62" i="1" s="1"/>
  <c r="BV48" i="1"/>
  <c r="BV62" i="1" s="1"/>
  <c r="D332" i="9" s="1"/>
  <c r="BW48" i="1"/>
  <c r="BW62" i="1" s="1"/>
  <c r="E48" i="1"/>
  <c r="G48" i="1"/>
  <c r="G62" i="1" s="1"/>
  <c r="G12" i="9" s="1"/>
  <c r="H48" i="1"/>
  <c r="H62" i="1" s="1"/>
  <c r="V48" i="1"/>
  <c r="V62" i="1" s="1"/>
  <c r="AL48" i="1"/>
  <c r="AL62" i="1" s="1"/>
  <c r="C172" i="9" s="1"/>
  <c r="AX48" i="1"/>
  <c r="AX62" i="1" s="1"/>
  <c r="BJ48" i="1"/>
  <c r="BJ62" i="1" s="1"/>
  <c r="F268" i="9" s="1"/>
  <c r="AI48" i="1"/>
  <c r="AI62" i="1" s="1"/>
  <c r="CC48" i="1"/>
  <c r="CC62" i="1" s="1"/>
  <c r="AO48" i="1"/>
  <c r="AO62" i="1" s="1"/>
  <c r="U48" i="1"/>
  <c r="U62" i="1" s="1"/>
  <c r="L48" i="1"/>
  <c r="L62" i="1" s="1"/>
  <c r="AN48" i="1"/>
  <c r="AN62" i="1" s="1"/>
  <c r="E172" i="9" s="1"/>
  <c r="AZ48" i="1"/>
  <c r="AZ62" i="1" s="1"/>
  <c r="BX48" i="1"/>
  <c r="BX62" i="1" s="1"/>
  <c r="AQ48" i="1"/>
  <c r="AQ62" i="1" s="1"/>
  <c r="AW48" i="1"/>
  <c r="AW62" i="1" s="1"/>
  <c r="C427" i="1"/>
  <c r="AE48" i="1"/>
  <c r="AE62" i="1" s="1"/>
  <c r="C140" i="9" s="1"/>
  <c r="BZ48" i="1"/>
  <c r="BZ62" i="1" s="1"/>
  <c r="H332" i="9" s="1"/>
  <c r="P48" i="1"/>
  <c r="P62" i="1" s="1"/>
  <c r="AS48" i="1"/>
  <c r="AS62" i="1" s="1"/>
  <c r="B10" i="4"/>
  <c r="G28" i="4"/>
  <c r="D463" i="1"/>
  <c r="F28" i="4"/>
  <c r="F15" i="6"/>
  <c r="C112" i="8"/>
  <c r="D330" i="1"/>
  <c r="C86" i="8" s="1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C58" i="9"/>
  <c r="C381" i="9" l="1"/>
  <c r="CE77" i="1"/>
  <c r="D373" i="1"/>
  <c r="C126" i="8" s="1"/>
  <c r="B478" i="1"/>
  <c r="C34" i="8"/>
  <c r="C27" i="8"/>
  <c r="D275" i="1"/>
  <c r="B470" i="1"/>
  <c r="D380" i="9"/>
  <c r="I348" i="9"/>
  <c r="CE76" i="1"/>
  <c r="B432" i="1"/>
  <c r="C134" i="8"/>
  <c r="C140" i="8"/>
  <c r="B439" i="1"/>
  <c r="B440" i="1" s="1"/>
  <c r="B430" i="1"/>
  <c r="C132" i="8"/>
  <c r="D204" i="9"/>
  <c r="C12" i="9"/>
  <c r="C129" i="8"/>
  <c r="B427" i="1"/>
  <c r="I204" i="9"/>
  <c r="C44" i="9"/>
  <c r="G236" i="9"/>
  <c r="D339" i="1"/>
  <c r="C21" i="8"/>
  <c r="D265" i="1"/>
  <c r="C300" i="9"/>
  <c r="E140" i="9"/>
  <c r="G300" i="9"/>
  <c r="G76" i="9"/>
  <c r="F172" i="9"/>
  <c r="E204" i="9"/>
  <c r="F12" i="9"/>
  <c r="C236" i="9"/>
  <c r="I332" i="9"/>
  <c r="C76" i="9"/>
  <c r="G140" i="9"/>
  <c r="G172" i="9"/>
  <c r="E332" i="9"/>
  <c r="E76" i="9"/>
  <c r="G332" i="9"/>
  <c r="F300" i="9"/>
  <c r="C108" i="9"/>
  <c r="H300" i="9"/>
  <c r="H76" i="9"/>
  <c r="I300" i="9"/>
  <c r="H140" i="9"/>
  <c r="E236" i="9"/>
  <c r="D44" i="9"/>
  <c r="G108" i="9"/>
  <c r="D108" i="9"/>
  <c r="I44" i="9"/>
  <c r="D268" i="9"/>
  <c r="G204" i="9"/>
  <c r="H236" i="9"/>
  <c r="F332" i="9"/>
  <c r="E44" i="9"/>
  <c r="C204" i="9"/>
  <c r="I140" i="9"/>
  <c r="H12" i="9"/>
  <c r="E108" i="9"/>
  <c r="H204" i="9"/>
  <c r="I12" i="9"/>
  <c r="H172" i="9"/>
  <c r="CE48" i="1"/>
  <c r="E62" i="1"/>
  <c r="F236" i="9"/>
  <c r="D364" i="9"/>
  <c r="D465" i="1"/>
  <c r="D27" i="7"/>
  <c r="B448" i="1"/>
  <c r="F544" i="1"/>
  <c r="H536" i="1"/>
  <c r="F536" i="1"/>
  <c r="F528" i="1"/>
  <c r="H528" i="1"/>
  <c r="F520" i="1"/>
  <c r="I378" i="9"/>
  <c r="K612" i="1"/>
  <c r="C465" i="1"/>
  <c r="F32" i="6"/>
  <c r="C478" i="1"/>
  <c r="F498" i="1"/>
  <c r="C476" i="1"/>
  <c r="F16" i="6"/>
  <c r="F516" i="1"/>
  <c r="F540" i="1"/>
  <c r="H540" i="1"/>
  <c r="F532" i="1"/>
  <c r="H532" i="1"/>
  <c r="F524" i="1"/>
  <c r="F550" i="1"/>
  <c r="CF77" i="1" l="1"/>
  <c r="I381" i="9"/>
  <c r="G612" i="1"/>
  <c r="D277" i="1"/>
  <c r="C35" i="8" s="1"/>
  <c r="C33" i="8"/>
  <c r="B476" i="1"/>
  <c r="D612" i="1"/>
  <c r="CF76" i="1"/>
  <c r="AR52" i="1" s="1"/>
  <c r="AR67" i="1" s="1"/>
  <c r="I380" i="9"/>
  <c r="C102" i="8"/>
  <c r="C482" i="1"/>
  <c r="C22" i="8"/>
  <c r="CE62" i="1"/>
  <c r="E12" i="9"/>
  <c r="F522" i="1"/>
  <c r="F510" i="1"/>
  <c r="F513" i="1"/>
  <c r="F538" i="1"/>
  <c r="H538" i="1"/>
  <c r="F496" i="1"/>
  <c r="F534" i="1"/>
  <c r="H502" i="1"/>
  <c r="F502" i="1"/>
  <c r="H504" i="1"/>
  <c r="F504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Z52" i="1" l="1"/>
  <c r="Z67" i="1" s="1"/>
  <c r="D292" i="1"/>
  <c r="D341" i="1" s="1"/>
  <c r="C481" i="1" s="1"/>
  <c r="AF52" i="1"/>
  <c r="AF67" i="1" s="1"/>
  <c r="AF71" i="1" s="1"/>
  <c r="C525" i="1" s="1"/>
  <c r="G525" i="1" s="1"/>
  <c r="D52" i="1"/>
  <c r="D67" i="1" s="1"/>
  <c r="D17" i="9" s="1"/>
  <c r="E52" i="1"/>
  <c r="E67" i="1" s="1"/>
  <c r="AL52" i="1"/>
  <c r="AL67" i="1" s="1"/>
  <c r="AL71" i="1" s="1"/>
  <c r="C703" i="1" s="1"/>
  <c r="AW52" i="1"/>
  <c r="AW67" i="1" s="1"/>
  <c r="G209" i="9" s="1"/>
  <c r="AT52" i="1"/>
  <c r="AT67" i="1" s="1"/>
  <c r="AT71" i="1" s="1"/>
  <c r="C539" i="1" s="1"/>
  <c r="G539" i="1" s="1"/>
  <c r="AB52" i="1"/>
  <c r="AB67" i="1" s="1"/>
  <c r="G113" i="9" s="1"/>
  <c r="AQ52" i="1"/>
  <c r="AQ67" i="1" s="1"/>
  <c r="AQ71" i="1" s="1"/>
  <c r="AR71" i="1"/>
  <c r="I177" i="9"/>
  <c r="AX52" i="1"/>
  <c r="AX67" i="1" s="1"/>
  <c r="H209" i="9" s="1"/>
  <c r="G52" i="1"/>
  <c r="G67" i="1" s="1"/>
  <c r="G71" i="1" s="1"/>
  <c r="C500" i="1" s="1"/>
  <c r="G500" i="1" s="1"/>
  <c r="Y52" i="1"/>
  <c r="Y67" i="1" s="1"/>
  <c r="D113" i="9" s="1"/>
  <c r="BI52" i="1"/>
  <c r="BI67" i="1" s="1"/>
  <c r="BX52" i="1"/>
  <c r="BX67" i="1" s="1"/>
  <c r="F337" i="9" s="1"/>
  <c r="BN52" i="1"/>
  <c r="BN67" i="1" s="1"/>
  <c r="BN71" i="1" s="1"/>
  <c r="C559" i="1" s="1"/>
  <c r="CC52" i="1"/>
  <c r="CC67" i="1" s="1"/>
  <c r="Z71" i="1"/>
  <c r="E117" i="9" s="1"/>
  <c r="BP52" i="1"/>
  <c r="BP67" i="1" s="1"/>
  <c r="AP52" i="1"/>
  <c r="AP67" i="1" s="1"/>
  <c r="CB52" i="1"/>
  <c r="CB67" i="1" s="1"/>
  <c r="BJ52" i="1"/>
  <c r="BJ67" i="1" s="1"/>
  <c r="H52" i="1"/>
  <c r="H67" i="1" s="1"/>
  <c r="AV52" i="1"/>
  <c r="AV67" i="1" s="1"/>
  <c r="BR52" i="1"/>
  <c r="BR67" i="1" s="1"/>
  <c r="BV52" i="1"/>
  <c r="BV67" i="1" s="1"/>
  <c r="AJ52" i="1"/>
  <c r="AJ67" i="1" s="1"/>
  <c r="U52" i="1"/>
  <c r="U67" i="1" s="1"/>
  <c r="BH52" i="1"/>
  <c r="BH67" i="1" s="1"/>
  <c r="BQ52" i="1"/>
  <c r="BQ67" i="1" s="1"/>
  <c r="AY52" i="1"/>
  <c r="AY67" i="1" s="1"/>
  <c r="T52" i="1"/>
  <c r="T67" i="1" s="1"/>
  <c r="BY52" i="1"/>
  <c r="BY67" i="1" s="1"/>
  <c r="BG52" i="1"/>
  <c r="BG67" i="1" s="1"/>
  <c r="BB52" i="1"/>
  <c r="BB67" i="1" s="1"/>
  <c r="AN52" i="1"/>
  <c r="AN67" i="1" s="1"/>
  <c r="F52" i="1"/>
  <c r="F67" i="1" s="1"/>
  <c r="I52" i="1"/>
  <c r="I67" i="1" s="1"/>
  <c r="AI52" i="1"/>
  <c r="AI67" i="1" s="1"/>
  <c r="AE52" i="1"/>
  <c r="AE67" i="1" s="1"/>
  <c r="BF52" i="1"/>
  <c r="BF67" i="1" s="1"/>
  <c r="AA52" i="1"/>
  <c r="AA67" i="1" s="1"/>
  <c r="AU52" i="1"/>
  <c r="AU67" i="1" s="1"/>
  <c r="K52" i="1"/>
  <c r="K67" i="1" s="1"/>
  <c r="BT52" i="1"/>
  <c r="BT67" i="1" s="1"/>
  <c r="AM52" i="1"/>
  <c r="AM67" i="1" s="1"/>
  <c r="AD52" i="1"/>
  <c r="AD67" i="1" s="1"/>
  <c r="C52" i="1"/>
  <c r="AG52" i="1"/>
  <c r="AG67" i="1" s="1"/>
  <c r="L52" i="1"/>
  <c r="L67" i="1" s="1"/>
  <c r="W52" i="1"/>
  <c r="W67" i="1" s="1"/>
  <c r="X52" i="1"/>
  <c r="X67" i="1" s="1"/>
  <c r="BU52" i="1"/>
  <c r="BU67" i="1" s="1"/>
  <c r="CA52" i="1"/>
  <c r="CA67" i="1" s="1"/>
  <c r="AK52" i="1"/>
  <c r="AK67" i="1" s="1"/>
  <c r="M52" i="1"/>
  <c r="M67" i="1" s="1"/>
  <c r="BE52" i="1"/>
  <c r="BE67" i="1" s="1"/>
  <c r="AH52" i="1"/>
  <c r="AH67" i="1" s="1"/>
  <c r="P52" i="1"/>
  <c r="P67" i="1" s="1"/>
  <c r="BD52" i="1"/>
  <c r="BD67" i="1" s="1"/>
  <c r="BZ52" i="1"/>
  <c r="BZ67" i="1" s="1"/>
  <c r="BA52" i="1"/>
  <c r="BA67" i="1" s="1"/>
  <c r="AO52" i="1"/>
  <c r="AO67" i="1" s="1"/>
  <c r="J52" i="1"/>
  <c r="J67" i="1" s="1"/>
  <c r="BO52" i="1"/>
  <c r="BO67" i="1" s="1"/>
  <c r="BM52" i="1"/>
  <c r="BM67" i="1" s="1"/>
  <c r="BW52" i="1"/>
  <c r="BW67" i="1" s="1"/>
  <c r="Q52" i="1"/>
  <c r="Q67" i="1" s="1"/>
  <c r="V52" i="1"/>
  <c r="V67" i="1" s="1"/>
  <c r="BS52" i="1"/>
  <c r="BS67" i="1" s="1"/>
  <c r="BK52" i="1"/>
  <c r="BK67" i="1" s="1"/>
  <c r="R52" i="1"/>
  <c r="R67" i="1" s="1"/>
  <c r="O52" i="1"/>
  <c r="O67" i="1" s="1"/>
  <c r="BC52" i="1"/>
  <c r="BC67" i="1" s="1"/>
  <c r="AZ52" i="1"/>
  <c r="AZ67" i="1" s="1"/>
  <c r="BL52" i="1"/>
  <c r="BL67" i="1" s="1"/>
  <c r="AC52" i="1"/>
  <c r="AC67" i="1" s="1"/>
  <c r="N52" i="1"/>
  <c r="N67" i="1" s="1"/>
  <c r="S52" i="1"/>
  <c r="S67" i="1" s="1"/>
  <c r="AS52" i="1"/>
  <c r="AS67" i="1" s="1"/>
  <c r="C130" i="8"/>
  <c r="B428" i="1"/>
  <c r="D390" i="1"/>
  <c r="C101" i="8"/>
  <c r="C100" i="8"/>
  <c r="C428" i="1"/>
  <c r="I364" i="9"/>
  <c r="H545" i="1"/>
  <c r="F545" i="1"/>
  <c r="H525" i="1"/>
  <c r="F525" i="1"/>
  <c r="F529" i="1"/>
  <c r="F521" i="1"/>
  <c r="F535" i="1"/>
  <c r="H533" i="1"/>
  <c r="F533" i="1"/>
  <c r="H527" i="1"/>
  <c r="F527" i="1"/>
  <c r="F539" i="1"/>
  <c r="H539" i="1"/>
  <c r="F519" i="1"/>
  <c r="F523" i="1"/>
  <c r="F537" i="1"/>
  <c r="H537" i="1"/>
  <c r="F531" i="1"/>
  <c r="D145" i="9" l="1"/>
  <c r="E113" i="9"/>
  <c r="C50" i="8"/>
  <c r="C697" i="1"/>
  <c r="D149" i="9"/>
  <c r="C181" i="9"/>
  <c r="C177" i="9"/>
  <c r="C531" i="1"/>
  <c r="AW71" i="1"/>
  <c r="C542" i="1" s="1"/>
  <c r="E17" i="9"/>
  <c r="H177" i="9"/>
  <c r="E71" i="1"/>
  <c r="D71" i="1"/>
  <c r="D209" i="9"/>
  <c r="AB71" i="1"/>
  <c r="BI71" i="1"/>
  <c r="E273" i="9"/>
  <c r="CC71" i="1"/>
  <c r="D369" i="9"/>
  <c r="C305" i="9"/>
  <c r="G17" i="9"/>
  <c r="AX71" i="1"/>
  <c r="C543" i="1" s="1"/>
  <c r="C711" i="1"/>
  <c r="C672" i="1"/>
  <c r="G21" i="9"/>
  <c r="D213" i="9"/>
  <c r="C619" i="1"/>
  <c r="Y71" i="1"/>
  <c r="C518" i="1" s="1"/>
  <c r="BX71" i="1"/>
  <c r="C537" i="1"/>
  <c r="G537" i="1" s="1"/>
  <c r="I181" i="9"/>
  <c r="C709" i="1"/>
  <c r="S71" i="1"/>
  <c r="E81" i="9"/>
  <c r="G273" i="9"/>
  <c r="BK71" i="1"/>
  <c r="AO71" i="1"/>
  <c r="F177" i="9"/>
  <c r="I145" i="9"/>
  <c r="AK71" i="1"/>
  <c r="I113" i="9"/>
  <c r="AD71" i="1"/>
  <c r="AI71" i="1"/>
  <c r="G145" i="9"/>
  <c r="AY71" i="1"/>
  <c r="I209" i="9"/>
  <c r="H71" i="1"/>
  <c r="H17" i="9"/>
  <c r="N71" i="1"/>
  <c r="G49" i="9"/>
  <c r="BS71" i="1"/>
  <c r="H305" i="9"/>
  <c r="BA71" i="1"/>
  <c r="D241" i="9"/>
  <c r="CA71" i="1"/>
  <c r="I337" i="9"/>
  <c r="AM71" i="1"/>
  <c r="D177" i="9"/>
  <c r="I17" i="9"/>
  <c r="I71" i="1"/>
  <c r="BQ71" i="1"/>
  <c r="F305" i="9"/>
  <c r="BJ71" i="1"/>
  <c r="F273" i="9"/>
  <c r="AC71" i="1"/>
  <c r="H113" i="9"/>
  <c r="BZ71" i="1"/>
  <c r="H337" i="9"/>
  <c r="F71" i="1"/>
  <c r="F17" i="9"/>
  <c r="BH71" i="1"/>
  <c r="D273" i="9"/>
  <c r="BL71" i="1"/>
  <c r="H273" i="9"/>
  <c r="BD71" i="1"/>
  <c r="G241" i="9"/>
  <c r="K71" i="1"/>
  <c r="D49" i="9"/>
  <c r="U71" i="1"/>
  <c r="G81" i="9"/>
  <c r="AZ71" i="1"/>
  <c r="C241" i="9"/>
  <c r="BW71" i="1"/>
  <c r="E337" i="9"/>
  <c r="P71" i="1"/>
  <c r="I49" i="9"/>
  <c r="W71" i="1"/>
  <c r="I81" i="9"/>
  <c r="BB71" i="1"/>
  <c r="E241" i="9"/>
  <c r="AJ71" i="1"/>
  <c r="H145" i="9"/>
  <c r="BP71" i="1"/>
  <c r="E305" i="9"/>
  <c r="V71" i="1"/>
  <c r="H81" i="9"/>
  <c r="BT71" i="1"/>
  <c r="I305" i="9"/>
  <c r="C369" i="9"/>
  <c r="CB71" i="1"/>
  <c r="Q71" i="1"/>
  <c r="C81" i="9"/>
  <c r="C519" i="1"/>
  <c r="C691" i="1"/>
  <c r="BU71" i="1"/>
  <c r="C337" i="9"/>
  <c r="X71" i="1"/>
  <c r="C113" i="9"/>
  <c r="AN71" i="1"/>
  <c r="E177" i="9"/>
  <c r="G177" i="9"/>
  <c r="AP71" i="1"/>
  <c r="E209" i="9"/>
  <c r="AU71" i="1"/>
  <c r="O71" i="1"/>
  <c r="H49" i="9"/>
  <c r="BY71" i="1"/>
  <c r="G337" i="9"/>
  <c r="C309" i="9"/>
  <c r="AS71" i="1"/>
  <c r="C209" i="9"/>
  <c r="D81" i="9"/>
  <c r="R71" i="1"/>
  <c r="J71" i="1"/>
  <c r="C49" i="9"/>
  <c r="M71" i="1"/>
  <c r="F49" i="9"/>
  <c r="C67" i="1"/>
  <c r="CE52" i="1"/>
  <c r="AE71" i="1"/>
  <c r="C145" i="9"/>
  <c r="F81" i="9"/>
  <c r="T71" i="1"/>
  <c r="AV71" i="1"/>
  <c r="F209" i="9"/>
  <c r="BC71" i="1"/>
  <c r="F241" i="9"/>
  <c r="BM71" i="1"/>
  <c r="I273" i="9"/>
  <c r="AH71" i="1"/>
  <c r="F145" i="9"/>
  <c r="L71" i="1"/>
  <c r="E49" i="9"/>
  <c r="F113" i="9"/>
  <c r="AA71" i="1"/>
  <c r="BG71" i="1"/>
  <c r="C273" i="9"/>
  <c r="BV71" i="1"/>
  <c r="D337" i="9"/>
  <c r="BO71" i="1"/>
  <c r="D305" i="9"/>
  <c r="BE71" i="1"/>
  <c r="H241" i="9"/>
  <c r="E145" i="9"/>
  <c r="AG71" i="1"/>
  <c r="I241" i="9"/>
  <c r="BF71" i="1"/>
  <c r="BR71" i="1"/>
  <c r="G305" i="9"/>
  <c r="C708" i="1"/>
  <c r="C536" i="1"/>
  <c r="G536" i="1" s="1"/>
  <c r="H181" i="9"/>
  <c r="B441" i="1"/>
  <c r="C141" i="8"/>
  <c r="D391" i="1"/>
  <c r="G519" i="1" l="1"/>
  <c r="H519" i="1"/>
  <c r="G518" i="1"/>
  <c r="H518" i="1"/>
  <c r="G531" i="1"/>
  <c r="H531" i="1"/>
  <c r="C631" i="1"/>
  <c r="G213" i="9"/>
  <c r="H213" i="9"/>
  <c r="C616" i="1"/>
  <c r="E21" i="9"/>
  <c r="C670" i="1"/>
  <c r="C498" i="1"/>
  <c r="C497" i="1"/>
  <c r="G497" i="1" s="1"/>
  <c r="C669" i="1"/>
  <c r="D21" i="9"/>
  <c r="C521" i="1"/>
  <c r="C693" i="1"/>
  <c r="G117" i="9"/>
  <c r="F341" i="9"/>
  <c r="C569" i="1"/>
  <c r="C644" i="1"/>
  <c r="C620" i="1"/>
  <c r="C574" i="1"/>
  <c r="D373" i="9"/>
  <c r="D117" i="9"/>
  <c r="C690" i="1"/>
  <c r="E277" i="9"/>
  <c r="C634" i="1"/>
  <c r="C554" i="1"/>
  <c r="E53" i="9"/>
  <c r="C505" i="1"/>
  <c r="G505" i="1" s="1"/>
  <c r="C677" i="1"/>
  <c r="C213" i="9"/>
  <c r="C538" i="1"/>
  <c r="G538" i="1" s="1"/>
  <c r="C710" i="1"/>
  <c r="C546" i="1"/>
  <c r="C630" i="1"/>
  <c r="D245" i="9"/>
  <c r="H245" i="9"/>
  <c r="C550" i="1"/>
  <c r="C614" i="1"/>
  <c r="F21" i="9"/>
  <c r="C671" i="1"/>
  <c r="C499" i="1"/>
  <c r="F181" i="9"/>
  <c r="C534" i="1"/>
  <c r="C706" i="1"/>
  <c r="C643" i="1"/>
  <c r="E341" i="9"/>
  <c r="C568" i="1"/>
  <c r="C555" i="1"/>
  <c r="C617" i="1"/>
  <c r="F277" i="9"/>
  <c r="C520" i="1"/>
  <c r="C692" i="1"/>
  <c r="F117" i="9"/>
  <c r="C699" i="1"/>
  <c r="F149" i="9"/>
  <c r="C527" i="1"/>
  <c r="G527" i="1" s="1"/>
  <c r="C541" i="1"/>
  <c r="C713" i="1"/>
  <c r="F213" i="9"/>
  <c r="C511" i="1"/>
  <c r="C683" i="1"/>
  <c r="D85" i="9"/>
  <c r="G181" i="9"/>
  <c r="C707" i="1"/>
  <c r="C535" i="1"/>
  <c r="C117" i="9"/>
  <c r="C517" i="1"/>
  <c r="C689" i="1"/>
  <c r="C565" i="1"/>
  <c r="C640" i="1"/>
  <c r="I309" i="9"/>
  <c r="I85" i="9"/>
  <c r="C516" i="1"/>
  <c r="C688" i="1"/>
  <c r="C557" i="1"/>
  <c r="H277" i="9"/>
  <c r="C637" i="1"/>
  <c r="C532" i="1"/>
  <c r="G532" i="1" s="1"/>
  <c r="C704" i="1"/>
  <c r="D181" i="9"/>
  <c r="E149" i="9"/>
  <c r="C526" i="1"/>
  <c r="C698" i="1"/>
  <c r="C627" i="1"/>
  <c r="D309" i="9"/>
  <c r="C560" i="1"/>
  <c r="C71" i="1"/>
  <c r="C17" i="9"/>
  <c r="CE67" i="1"/>
  <c r="G341" i="9"/>
  <c r="C570" i="1"/>
  <c r="C645" i="1"/>
  <c r="C571" i="1"/>
  <c r="H341" i="9"/>
  <c r="C646" i="1"/>
  <c r="C639" i="1"/>
  <c r="H309" i="9"/>
  <c r="C564" i="1"/>
  <c r="C702" i="1"/>
  <c r="C530" i="1"/>
  <c r="I149" i="9"/>
  <c r="G309" i="9"/>
  <c r="C563" i="1"/>
  <c r="C626" i="1"/>
  <c r="C705" i="1"/>
  <c r="C533" i="1"/>
  <c r="G533" i="1" s="1"/>
  <c r="E181" i="9"/>
  <c r="G149" i="9"/>
  <c r="C700" i="1"/>
  <c r="C528" i="1"/>
  <c r="G528" i="1" s="1"/>
  <c r="C53" i="9"/>
  <c r="C675" i="1"/>
  <c r="C503" i="1"/>
  <c r="G85" i="9"/>
  <c r="C686" i="1"/>
  <c r="C514" i="1"/>
  <c r="C501" i="1"/>
  <c r="H21" i="9"/>
  <c r="C673" i="1"/>
  <c r="C682" i="1"/>
  <c r="C85" i="9"/>
  <c r="C510" i="1"/>
  <c r="C701" i="1"/>
  <c r="H149" i="9"/>
  <c r="C529" i="1"/>
  <c r="C245" i="9"/>
  <c r="C545" i="1"/>
  <c r="G545" i="1" s="1"/>
  <c r="C628" i="1"/>
  <c r="D53" i="9"/>
  <c r="C676" i="1"/>
  <c r="C504" i="1"/>
  <c r="G504" i="1" s="1"/>
  <c r="F309" i="9"/>
  <c r="C562" i="1"/>
  <c r="C623" i="1"/>
  <c r="I213" i="9"/>
  <c r="C544" i="1"/>
  <c r="C625" i="1"/>
  <c r="C641" i="1"/>
  <c r="C341" i="9"/>
  <c r="C566" i="1"/>
  <c r="C633" i="1"/>
  <c r="C548" i="1"/>
  <c r="F245" i="9"/>
  <c r="E213" i="9"/>
  <c r="C540" i="1"/>
  <c r="G540" i="1" s="1"/>
  <c r="C712" i="1"/>
  <c r="E245" i="9"/>
  <c r="C632" i="1"/>
  <c r="C547" i="1"/>
  <c r="C552" i="1"/>
  <c r="C618" i="1"/>
  <c r="C277" i="9"/>
  <c r="C556" i="1"/>
  <c r="C635" i="1"/>
  <c r="G277" i="9"/>
  <c r="C638" i="1"/>
  <c r="C558" i="1"/>
  <c r="I277" i="9"/>
  <c r="C513" i="1"/>
  <c r="F85" i="9"/>
  <c r="C685" i="1"/>
  <c r="C680" i="1"/>
  <c r="H53" i="9"/>
  <c r="C508" i="1"/>
  <c r="C687" i="1"/>
  <c r="H85" i="9"/>
  <c r="C515" i="1"/>
  <c r="C553" i="1"/>
  <c r="C636" i="1"/>
  <c r="D277" i="9"/>
  <c r="I21" i="9"/>
  <c r="C674" i="1"/>
  <c r="C502" i="1"/>
  <c r="G502" i="1" s="1"/>
  <c r="I341" i="9"/>
  <c r="C572" i="1"/>
  <c r="C647" i="1"/>
  <c r="I245" i="9"/>
  <c r="C551" i="1"/>
  <c r="C629" i="1"/>
  <c r="I117" i="9"/>
  <c r="C695" i="1"/>
  <c r="C523" i="1"/>
  <c r="C524" i="1"/>
  <c r="C696" i="1"/>
  <c r="C149" i="9"/>
  <c r="C621" i="1"/>
  <c r="E309" i="9"/>
  <c r="C561" i="1"/>
  <c r="C642" i="1"/>
  <c r="C567" i="1"/>
  <c r="D341" i="9"/>
  <c r="F53" i="9"/>
  <c r="C678" i="1"/>
  <c r="C506" i="1"/>
  <c r="G506" i="1" s="1"/>
  <c r="C622" i="1"/>
  <c r="C373" i="9"/>
  <c r="C573" i="1"/>
  <c r="I53" i="9"/>
  <c r="C509" i="1"/>
  <c r="C681" i="1"/>
  <c r="C624" i="1"/>
  <c r="G245" i="9"/>
  <c r="C549" i="1"/>
  <c r="C694" i="1"/>
  <c r="C522" i="1"/>
  <c r="H117" i="9"/>
  <c r="G53" i="9"/>
  <c r="C507" i="1"/>
  <c r="G507" i="1" s="1"/>
  <c r="C679" i="1"/>
  <c r="E85" i="9"/>
  <c r="C512" i="1"/>
  <c r="C684" i="1"/>
  <c r="D393" i="1"/>
  <c r="C142" i="8"/>
  <c r="G508" i="1" l="1"/>
  <c r="H508" i="1"/>
  <c r="G514" i="1"/>
  <c r="H514" i="1"/>
  <c r="G530" i="1"/>
  <c r="H530" i="1"/>
  <c r="G511" i="1"/>
  <c r="H511" i="1"/>
  <c r="G512" i="1"/>
  <c r="H512" i="1"/>
  <c r="G517" i="1"/>
  <c r="H517" i="1"/>
  <c r="G520" i="1"/>
  <c r="H520" i="1"/>
  <c r="G534" i="1"/>
  <c r="H534" i="1"/>
  <c r="G510" i="1"/>
  <c r="H510" i="1"/>
  <c r="G526" i="1"/>
  <c r="H526" i="1"/>
  <c r="G503" i="1"/>
  <c r="H503" i="1"/>
  <c r="G516" i="1"/>
  <c r="H516" i="1"/>
  <c r="G535" i="1"/>
  <c r="H535" i="1"/>
  <c r="G499" i="1"/>
  <c r="H499" i="1"/>
  <c r="G546" i="1"/>
  <c r="H546" i="1"/>
  <c r="G498" i="1"/>
  <c r="H498" i="1"/>
  <c r="G544" i="1"/>
  <c r="H544" i="1"/>
  <c r="G509" i="1"/>
  <c r="H509" i="1"/>
  <c r="G524" i="1"/>
  <c r="H524" i="1"/>
  <c r="G515" i="1"/>
  <c r="H515" i="1"/>
  <c r="G513" i="1"/>
  <c r="H513" i="1"/>
  <c r="G523" i="1"/>
  <c r="H523" i="1"/>
  <c r="G522" i="1"/>
  <c r="H522" i="1"/>
  <c r="G529" i="1"/>
  <c r="H529" i="1"/>
  <c r="G501" i="1"/>
  <c r="H501" i="1"/>
  <c r="G550" i="1"/>
  <c r="H550" i="1"/>
  <c r="G521" i="1"/>
  <c r="H521" i="1"/>
  <c r="D615" i="1"/>
  <c r="C648" i="1"/>
  <c r="M716" i="1" s="1"/>
  <c r="C21" i="9"/>
  <c r="C668" i="1"/>
  <c r="C715" i="1" s="1"/>
  <c r="C496" i="1"/>
  <c r="I369" i="9"/>
  <c r="C433" i="1"/>
  <c r="C441" i="1" s="1"/>
  <c r="CE71" i="1"/>
  <c r="C146" i="8"/>
  <c r="G496" i="1" l="1"/>
  <c r="H496" i="1"/>
  <c r="I373" i="9"/>
  <c r="C716" i="1"/>
  <c r="D622" i="1"/>
  <c r="D684" i="1"/>
  <c r="D698" i="1"/>
  <c r="D640" i="1"/>
  <c r="D619" i="1"/>
  <c r="D704" i="1"/>
  <c r="D632" i="1"/>
  <c r="D647" i="1"/>
  <c r="D621" i="1"/>
  <c r="D708" i="1"/>
  <c r="D687" i="1"/>
  <c r="D630" i="1"/>
  <c r="D702" i="1"/>
  <c r="D673" i="1"/>
  <c r="D680" i="1"/>
  <c r="D644" i="1"/>
  <c r="D706" i="1"/>
  <c r="D637" i="1"/>
  <c r="D670" i="1"/>
  <c r="D633" i="1"/>
  <c r="D713" i="1"/>
  <c r="D671" i="1"/>
  <c r="D616" i="1"/>
  <c r="D682" i="1"/>
  <c r="D645" i="1"/>
  <c r="D625" i="1"/>
  <c r="D696" i="1"/>
  <c r="D634" i="1"/>
  <c r="D710" i="1"/>
  <c r="D700" i="1"/>
  <c r="D716" i="1"/>
  <c r="D691" i="1"/>
  <c r="D695" i="1"/>
  <c r="D705" i="1"/>
  <c r="D707" i="1"/>
  <c r="D712" i="1"/>
  <c r="D693" i="1"/>
  <c r="D623" i="1"/>
  <c r="D709" i="1"/>
  <c r="D677" i="1"/>
  <c r="D683" i="1"/>
  <c r="D711" i="1"/>
  <c r="D694" i="1"/>
  <c r="D678" i="1"/>
  <c r="D618" i="1"/>
  <c r="D686" i="1"/>
  <c r="D636" i="1"/>
  <c r="D689" i="1"/>
  <c r="D624" i="1"/>
  <c r="D631" i="1"/>
  <c r="D635" i="1"/>
  <c r="D672" i="1"/>
  <c r="D699" i="1"/>
  <c r="D701" i="1"/>
  <c r="D676" i="1"/>
  <c r="D626" i="1"/>
  <c r="D675" i="1"/>
  <c r="D681" i="1"/>
  <c r="D617" i="1"/>
  <c r="D641" i="1"/>
  <c r="D629" i="1"/>
  <c r="D674" i="1"/>
  <c r="D685" i="1"/>
  <c r="D690" i="1"/>
  <c r="D620" i="1"/>
  <c r="D669" i="1"/>
  <c r="D668" i="1"/>
  <c r="D703" i="1"/>
  <c r="D643" i="1"/>
  <c r="D627" i="1"/>
  <c r="D639" i="1"/>
  <c r="D646" i="1"/>
  <c r="D692" i="1"/>
  <c r="D628" i="1"/>
  <c r="D688" i="1"/>
  <c r="D642" i="1"/>
  <c r="D697" i="1"/>
  <c r="D679" i="1"/>
  <c r="D638" i="1"/>
  <c r="E612" i="1" l="1"/>
  <c r="E623" i="1"/>
  <c r="D715" i="1"/>
  <c r="E716" i="1" l="1"/>
  <c r="E639" i="1"/>
  <c r="E704" i="1"/>
  <c r="E692" i="1"/>
  <c r="E693" i="1"/>
  <c r="E705" i="1"/>
  <c r="E670" i="1"/>
  <c r="E668" i="1"/>
  <c r="E672" i="1"/>
  <c r="E713" i="1"/>
  <c r="E701" i="1"/>
  <c r="E640" i="1"/>
  <c r="E686" i="1"/>
  <c r="E671" i="1"/>
  <c r="E678" i="1"/>
  <c r="E685" i="1"/>
  <c r="E690" i="1"/>
  <c r="E636" i="1"/>
  <c r="E673" i="1"/>
  <c r="E700" i="1"/>
  <c r="E635" i="1"/>
  <c r="E695" i="1"/>
  <c r="E710" i="1"/>
  <c r="E699" i="1"/>
  <c r="E702" i="1"/>
  <c r="E687" i="1"/>
  <c r="E642" i="1"/>
  <c r="E641" i="1"/>
  <c r="E669" i="1"/>
  <c r="E689" i="1"/>
  <c r="E684" i="1"/>
  <c r="E644" i="1"/>
  <c r="E625" i="1"/>
  <c r="E628" i="1"/>
  <c r="E629" i="1"/>
  <c r="E688" i="1"/>
  <c r="E694" i="1"/>
  <c r="E696" i="1"/>
  <c r="E682" i="1"/>
  <c r="E707" i="1"/>
  <c r="E706" i="1"/>
  <c r="E630" i="1"/>
  <c r="E626" i="1"/>
  <c r="E691" i="1"/>
  <c r="E631" i="1"/>
  <c r="E627" i="1"/>
  <c r="E638" i="1"/>
  <c r="E634" i="1"/>
  <c r="E674" i="1"/>
  <c r="E677" i="1"/>
  <c r="E676" i="1"/>
  <c r="E633" i="1"/>
  <c r="E643" i="1"/>
  <c r="E637" i="1"/>
  <c r="E697" i="1"/>
  <c r="E698" i="1"/>
  <c r="E645" i="1"/>
  <c r="E711" i="1"/>
  <c r="E624" i="1"/>
  <c r="E647" i="1"/>
  <c r="E712" i="1"/>
  <c r="E632" i="1"/>
  <c r="E675" i="1"/>
  <c r="E703" i="1"/>
  <c r="E680" i="1"/>
  <c r="E679" i="1"/>
  <c r="E683" i="1"/>
  <c r="E646" i="1"/>
  <c r="E709" i="1"/>
  <c r="E681" i="1"/>
  <c r="E708" i="1"/>
  <c r="E715" i="1" l="1"/>
  <c r="F624" i="1"/>
  <c r="F634" i="1" l="1"/>
  <c r="F691" i="1"/>
  <c r="F703" i="1"/>
  <c r="F711" i="1"/>
  <c r="F705" i="1"/>
  <c r="F682" i="1"/>
  <c r="F680" i="1"/>
  <c r="F698" i="1"/>
  <c r="F694" i="1"/>
  <c r="F709" i="1"/>
  <c r="F713" i="1"/>
  <c r="F672" i="1"/>
  <c r="F628" i="1"/>
  <c r="F674" i="1"/>
  <c r="F636" i="1"/>
  <c r="F685" i="1"/>
  <c r="F707" i="1"/>
  <c r="F647" i="1"/>
  <c r="F690" i="1"/>
  <c r="F688" i="1"/>
  <c r="F708" i="1"/>
  <c r="F702" i="1"/>
  <c r="F637" i="1"/>
  <c r="F635" i="1"/>
  <c r="F631" i="1"/>
  <c r="F640" i="1"/>
  <c r="F676" i="1"/>
  <c r="F633" i="1"/>
  <c r="F673" i="1"/>
  <c r="F644" i="1"/>
  <c r="F710" i="1"/>
  <c r="F716" i="1"/>
  <c r="F681" i="1"/>
  <c r="F695" i="1"/>
  <c r="F683" i="1"/>
  <c r="F701" i="1"/>
  <c r="F678" i="1"/>
  <c r="F641" i="1"/>
  <c r="F629" i="1"/>
  <c r="F643" i="1"/>
  <c r="F670" i="1"/>
  <c r="F638" i="1"/>
  <c r="F693" i="1"/>
  <c r="F696" i="1"/>
  <c r="F700" i="1"/>
  <c r="F645" i="1"/>
  <c r="F669" i="1"/>
  <c r="F668" i="1"/>
  <c r="F686" i="1"/>
  <c r="F646" i="1"/>
  <c r="F706" i="1"/>
  <c r="F626" i="1"/>
  <c r="F632" i="1"/>
  <c r="F687" i="1"/>
  <c r="F627" i="1"/>
  <c r="F630" i="1"/>
  <c r="F699" i="1"/>
  <c r="F642" i="1"/>
  <c r="F712" i="1"/>
  <c r="F692" i="1"/>
  <c r="F697" i="1"/>
  <c r="F684" i="1"/>
  <c r="F704" i="1"/>
  <c r="F689" i="1"/>
  <c r="F639" i="1"/>
  <c r="F625" i="1"/>
  <c r="F671" i="1"/>
  <c r="F679" i="1"/>
  <c r="F677" i="1"/>
  <c r="F675" i="1"/>
  <c r="F715" i="1" l="1"/>
  <c r="G625" i="1"/>
  <c r="G710" i="1" l="1"/>
  <c r="G629" i="1"/>
  <c r="G696" i="1"/>
  <c r="G704" i="1"/>
  <c r="G709" i="1"/>
  <c r="G643" i="1"/>
  <c r="G634" i="1"/>
  <c r="G676" i="1"/>
  <c r="G691" i="1"/>
  <c r="G644" i="1"/>
  <c r="G630" i="1"/>
  <c r="G706" i="1"/>
  <c r="G702" i="1"/>
  <c r="G700" i="1"/>
  <c r="G688" i="1"/>
  <c r="G639" i="1"/>
  <c r="G670" i="1"/>
  <c r="G668" i="1"/>
  <c r="G687" i="1"/>
  <c r="G641" i="1"/>
  <c r="G686" i="1"/>
  <c r="G635" i="1"/>
  <c r="G712" i="1"/>
  <c r="G637" i="1"/>
  <c r="G693" i="1"/>
  <c r="G685" i="1"/>
  <c r="G690" i="1"/>
  <c r="G681" i="1"/>
  <c r="G640" i="1"/>
  <c r="G679" i="1"/>
  <c r="G647" i="1"/>
  <c r="G692" i="1"/>
  <c r="G626" i="1"/>
  <c r="G628" i="1"/>
  <c r="G699" i="1"/>
  <c r="G672" i="1"/>
  <c r="G705" i="1"/>
  <c r="G642" i="1"/>
  <c r="G716" i="1"/>
  <c r="G707" i="1"/>
  <c r="G631" i="1"/>
  <c r="G678" i="1"/>
  <c r="G697" i="1"/>
  <c r="G683" i="1"/>
  <c r="G673" i="1"/>
  <c r="G674" i="1"/>
  <c r="G638" i="1"/>
  <c r="G680" i="1"/>
  <c r="G713" i="1"/>
  <c r="G675" i="1"/>
  <c r="G636" i="1"/>
  <c r="G627" i="1"/>
  <c r="G684" i="1"/>
  <c r="G633" i="1"/>
  <c r="G711" i="1"/>
  <c r="G701" i="1"/>
  <c r="G671" i="1"/>
  <c r="G689" i="1"/>
  <c r="G632" i="1"/>
  <c r="G677" i="1"/>
  <c r="G703" i="1"/>
  <c r="G708" i="1"/>
  <c r="G669" i="1"/>
  <c r="G682" i="1"/>
  <c r="G694" i="1"/>
  <c r="G646" i="1"/>
  <c r="G645" i="1"/>
  <c r="G698" i="1"/>
  <c r="G695" i="1"/>
  <c r="H628" i="1" l="1"/>
  <c r="G715" i="1"/>
  <c r="H678" i="1" l="1"/>
  <c r="H697" i="1"/>
  <c r="H682" i="1"/>
  <c r="H645" i="1"/>
  <c r="H696" i="1"/>
  <c r="H639" i="1"/>
  <c r="H694" i="1"/>
  <c r="H700" i="1"/>
  <c r="H687" i="1"/>
  <c r="H684" i="1"/>
  <c r="H712" i="1"/>
  <c r="H647" i="1"/>
  <c r="H672" i="1"/>
  <c r="H632" i="1"/>
  <c r="H679" i="1"/>
  <c r="H673" i="1"/>
  <c r="H699" i="1"/>
  <c r="H676" i="1"/>
  <c r="H637" i="1"/>
  <c r="H688" i="1"/>
  <c r="H705" i="1"/>
  <c r="H668" i="1"/>
  <c r="H630" i="1"/>
  <c r="H641" i="1"/>
  <c r="H635" i="1"/>
  <c r="H646" i="1"/>
  <c r="H669" i="1"/>
  <c r="H677" i="1"/>
  <c r="H690" i="1"/>
  <c r="H710" i="1"/>
  <c r="H680" i="1"/>
  <c r="H685" i="1"/>
  <c r="H691" i="1"/>
  <c r="H693" i="1"/>
  <c r="H708" i="1"/>
  <c r="H640" i="1"/>
  <c r="H642" i="1"/>
  <c r="H711" i="1"/>
  <c r="H695" i="1"/>
  <c r="H702" i="1"/>
  <c r="H629" i="1"/>
  <c r="H643" i="1"/>
  <c r="H633" i="1"/>
  <c r="H703" i="1"/>
  <c r="H681" i="1"/>
  <c r="H674" i="1"/>
  <c r="H638" i="1"/>
  <c r="H634" i="1"/>
  <c r="H636" i="1"/>
  <c r="H701" i="1"/>
  <c r="H698" i="1"/>
  <c r="H670" i="1"/>
  <c r="H716" i="1"/>
  <c r="H692" i="1"/>
  <c r="H709" i="1"/>
  <c r="H683" i="1"/>
  <c r="H706" i="1"/>
  <c r="H671" i="1"/>
  <c r="H686" i="1"/>
  <c r="H631" i="1"/>
  <c r="H713" i="1"/>
  <c r="H707" i="1"/>
  <c r="H689" i="1"/>
  <c r="H704" i="1"/>
  <c r="H644" i="1"/>
  <c r="H675" i="1"/>
  <c r="H715" i="1" l="1"/>
  <c r="I629" i="1"/>
  <c r="I676" i="1" l="1"/>
  <c r="I706" i="1"/>
  <c r="I701" i="1"/>
  <c r="I641" i="1"/>
  <c r="I691" i="1"/>
  <c r="I647" i="1"/>
  <c r="I702" i="1"/>
  <c r="I712" i="1"/>
  <c r="I674" i="1"/>
  <c r="I707" i="1"/>
  <c r="I688" i="1"/>
  <c r="I668" i="1"/>
  <c r="I635" i="1"/>
  <c r="I716" i="1"/>
  <c r="I705" i="1"/>
  <c r="I634" i="1"/>
  <c r="I631" i="1"/>
  <c r="I682" i="1"/>
  <c r="I645" i="1"/>
  <c r="I640" i="1"/>
  <c r="I683" i="1"/>
  <c r="I672" i="1"/>
  <c r="I696" i="1"/>
  <c r="I689" i="1"/>
  <c r="I685" i="1"/>
  <c r="I700" i="1"/>
  <c r="I681" i="1"/>
  <c r="I693" i="1"/>
  <c r="I680" i="1"/>
  <c r="I709" i="1"/>
  <c r="I713" i="1"/>
  <c r="I632" i="1"/>
  <c r="I675" i="1"/>
  <c r="I642" i="1"/>
  <c r="I630" i="1"/>
  <c r="I695" i="1"/>
  <c r="I699" i="1"/>
  <c r="I673" i="1"/>
  <c r="I677" i="1"/>
  <c r="I698" i="1"/>
  <c r="I669" i="1"/>
  <c r="I643" i="1"/>
  <c r="I679" i="1"/>
  <c r="I678" i="1"/>
  <c r="I686" i="1"/>
  <c r="I711" i="1"/>
  <c r="I704" i="1"/>
  <c r="I646" i="1"/>
  <c r="I670" i="1"/>
  <c r="I697" i="1"/>
  <c r="I638" i="1"/>
  <c r="I637" i="1"/>
  <c r="I633" i="1"/>
  <c r="I703" i="1"/>
  <c r="I671" i="1"/>
  <c r="I644" i="1"/>
  <c r="I684" i="1"/>
  <c r="I687" i="1"/>
  <c r="I694" i="1"/>
  <c r="I692" i="1"/>
  <c r="I636" i="1"/>
  <c r="I708" i="1"/>
  <c r="I710" i="1"/>
  <c r="I690" i="1"/>
  <c r="I639" i="1"/>
  <c r="I715" i="1" l="1"/>
  <c r="J630" i="1"/>
  <c r="J682" i="1" l="1"/>
  <c r="J678" i="1"/>
  <c r="J691" i="1"/>
  <c r="J692" i="1"/>
  <c r="J712" i="1"/>
  <c r="J675" i="1"/>
  <c r="J644" i="1"/>
  <c r="J640" i="1"/>
  <c r="J639" i="1"/>
  <c r="J669" i="1"/>
  <c r="J710" i="1"/>
  <c r="J696" i="1"/>
  <c r="J687" i="1"/>
  <c r="J688" i="1"/>
  <c r="J699" i="1"/>
  <c r="J672" i="1"/>
  <c r="J698" i="1"/>
  <c r="J708" i="1"/>
  <c r="J637" i="1"/>
  <c r="J681" i="1"/>
  <c r="J635" i="1"/>
  <c r="J686" i="1"/>
  <c r="J684" i="1"/>
  <c r="J690" i="1"/>
  <c r="J689" i="1"/>
  <c r="J702" i="1"/>
  <c r="J676" i="1"/>
  <c r="J670" i="1"/>
  <c r="J647" i="1"/>
  <c r="J694" i="1"/>
  <c r="J706" i="1"/>
  <c r="J695" i="1"/>
  <c r="J632" i="1"/>
  <c r="J683" i="1"/>
  <c r="J700" i="1"/>
  <c r="J711" i="1"/>
  <c r="J673" i="1"/>
  <c r="J693" i="1"/>
  <c r="J645" i="1"/>
  <c r="J642" i="1"/>
  <c r="J705" i="1"/>
  <c r="J633" i="1"/>
  <c r="J713" i="1"/>
  <c r="J638" i="1"/>
  <c r="J674" i="1"/>
  <c r="J703" i="1"/>
  <c r="J685" i="1"/>
  <c r="J634" i="1"/>
  <c r="J671" i="1"/>
  <c r="J636" i="1"/>
  <c r="J641" i="1"/>
  <c r="J646" i="1"/>
  <c r="J716" i="1"/>
  <c r="J643" i="1"/>
  <c r="J677" i="1"/>
  <c r="J631" i="1"/>
  <c r="J707" i="1"/>
  <c r="J679" i="1"/>
  <c r="J697" i="1"/>
  <c r="J704" i="1"/>
  <c r="J709" i="1"/>
  <c r="J668" i="1"/>
  <c r="J701" i="1"/>
  <c r="J680" i="1"/>
  <c r="J715" i="1" l="1"/>
  <c r="L647" i="1"/>
  <c r="L687" i="1" s="1"/>
  <c r="K644" i="1"/>
  <c r="K694" i="1" s="1"/>
  <c r="C149" i="8"/>
  <c r="D396" i="1"/>
  <c r="C151" i="8" s="1"/>
  <c r="K671" i="1" l="1"/>
  <c r="L670" i="1"/>
  <c r="K703" i="1"/>
  <c r="K696" i="1"/>
  <c r="K684" i="1"/>
  <c r="K683" i="1"/>
  <c r="K711" i="1"/>
  <c r="K685" i="1"/>
  <c r="K668" i="1"/>
  <c r="K686" i="1"/>
  <c r="K701" i="1"/>
  <c r="K689" i="1"/>
  <c r="K704" i="1"/>
  <c r="K705" i="1"/>
  <c r="K673" i="1"/>
  <c r="K693" i="1"/>
  <c r="K674" i="1"/>
  <c r="K676" i="1"/>
  <c r="K680" i="1"/>
  <c r="K702" i="1"/>
  <c r="K713" i="1"/>
  <c r="K699" i="1"/>
  <c r="K695" i="1"/>
  <c r="K700" i="1"/>
  <c r="K672" i="1"/>
  <c r="K675" i="1"/>
  <c r="K708" i="1"/>
  <c r="K709" i="1"/>
  <c r="K691" i="1"/>
  <c r="K692" i="1"/>
  <c r="K698" i="1"/>
  <c r="K677" i="1"/>
  <c r="K687" i="1"/>
  <c r="M687" i="1" s="1"/>
  <c r="K679" i="1"/>
  <c r="K707" i="1"/>
  <c r="K682" i="1"/>
  <c r="K681" i="1"/>
  <c r="K697" i="1"/>
  <c r="K712" i="1"/>
  <c r="K690" i="1"/>
  <c r="K706" i="1"/>
  <c r="K678" i="1"/>
  <c r="K670" i="1"/>
  <c r="K688" i="1"/>
  <c r="K710" i="1"/>
  <c r="K716" i="1"/>
  <c r="K669" i="1"/>
  <c r="L704" i="1"/>
  <c r="L713" i="1"/>
  <c r="L680" i="1"/>
  <c r="L709" i="1"/>
  <c r="L672" i="1"/>
  <c r="L696" i="1"/>
  <c r="L700" i="1"/>
  <c r="L669" i="1"/>
  <c r="L684" i="1"/>
  <c r="L682" i="1"/>
  <c r="L678" i="1"/>
  <c r="L689" i="1"/>
  <c r="L710" i="1"/>
  <c r="L673" i="1"/>
  <c r="L716" i="1"/>
  <c r="L694" i="1"/>
  <c r="M694" i="1" s="1"/>
  <c r="L706" i="1"/>
  <c r="L692" i="1"/>
  <c r="L690" i="1"/>
  <c r="L674" i="1"/>
  <c r="L693" i="1"/>
  <c r="L707" i="1"/>
  <c r="L671" i="1"/>
  <c r="L681" i="1"/>
  <c r="L697" i="1"/>
  <c r="L686" i="1"/>
  <c r="L691" i="1"/>
  <c r="L699" i="1"/>
  <c r="L701" i="1"/>
  <c r="L705" i="1"/>
  <c r="L685" i="1"/>
  <c r="L708" i="1"/>
  <c r="L683" i="1"/>
  <c r="L676" i="1"/>
  <c r="L688" i="1"/>
  <c r="L712" i="1"/>
  <c r="L702" i="1"/>
  <c r="L677" i="1"/>
  <c r="L695" i="1"/>
  <c r="L668" i="1"/>
  <c r="L679" i="1"/>
  <c r="L675" i="1"/>
  <c r="L698" i="1"/>
  <c r="L703" i="1"/>
  <c r="L711" i="1"/>
  <c r="M702" i="1" l="1"/>
  <c r="M703" i="1"/>
  <c r="C183" i="9" s="1"/>
  <c r="M678" i="1"/>
  <c r="F55" i="9" s="1"/>
  <c r="M671" i="1"/>
  <c r="M670" i="1"/>
  <c r="M696" i="1"/>
  <c r="M683" i="1"/>
  <c r="M684" i="1"/>
  <c r="M704" i="1"/>
  <c r="D183" i="9" s="1"/>
  <c r="M681" i="1"/>
  <c r="M674" i="1"/>
  <c r="M686" i="1"/>
  <c r="M668" i="1"/>
  <c r="C23" i="9" s="1"/>
  <c r="M685" i="1"/>
  <c r="M680" i="1"/>
  <c r="M676" i="1"/>
  <c r="D55" i="9" s="1"/>
  <c r="M711" i="1"/>
  <c r="D215" i="9" s="1"/>
  <c r="M701" i="1"/>
  <c r="H151" i="9" s="1"/>
  <c r="M682" i="1"/>
  <c r="C87" i="9" s="1"/>
  <c r="M695" i="1"/>
  <c r="I119" i="9" s="1"/>
  <c r="M697" i="1"/>
  <c r="D151" i="9" s="1"/>
  <c r="M700" i="1"/>
  <c r="M689" i="1"/>
  <c r="M673" i="1"/>
  <c r="H23" i="9" s="1"/>
  <c r="M691" i="1"/>
  <c r="M705" i="1"/>
  <c r="M693" i="1"/>
  <c r="G119" i="9" s="1"/>
  <c r="M699" i="1"/>
  <c r="F151" i="9" s="1"/>
  <c r="M713" i="1"/>
  <c r="F215" i="9" s="1"/>
  <c r="M672" i="1"/>
  <c r="M709" i="1"/>
  <c r="M688" i="1"/>
  <c r="I87" i="9" s="1"/>
  <c r="M706" i="1"/>
  <c r="F183" i="9" s="1"/>
  <c r="M690" i="1"/>
  <c r="M708" i="1"/>
  <c r="H183" i="9" s="1"/>
  <c r="M669" i="1"/>
  <c r="M710" i="1"/>
  <c r="M712" i="1"/>
  <c r="E215" i="9" s="1"/>
  <c r="M698" i="1"/>
  <c r="M675" i="1"/>
  <c r="C55" i="9" s="1"/>
  <c r="M692" i="1"/>
  <c r="H87" i="9"/>
  <c r="K715" i="1"/>
  <c r="M679" i="1"/>
  <c r="H119" i="9"/>
  <c r="M677" i="1"/>
  <c r="E55" i="9" s="1"/>
  <c r="M707" i="1"/>
  <c r="L715" i="1"/>
  <c r="I151" i="9" l="1"/>
  <c r="E87" i="9"/>
  <c r="F23" i="9"/>
  <c r="E23" i="9"/>
  <c r="C151" i="9"/>
  <c r="I55" i="9"/>
  <c r="D119" i="9"/>
  <c r="I23" i="9"/>
  <c r="D87" i="9"/>
  <c r="G87" i="9"/>
  <c r="F87" i="9"/>
  <c r="I183" i="9"/>
  <c r="G23" i="9"/>
  <c r="G151" i="9"/>
  <c r="H55" i="9"/>
  <c r="C119" i="9"/>
  <c r="E119" i="9"/>
  <c r="F119" i="9"/>
  <c r="E183" i="9"/>
  <c r="D23" i="9"/>
  <c r="M715" i="1"/>
  <c r="C215" i="9"/>
  <c r="E151" i="9"/>
  <c r="G183" i="9"/>
  <c r="G55" i="9"/>
</calcChain>
</file>

<file path=xl/sharedStrings.xml><?xml version="1.0" encoding="utf-8"?>
<sst xmlns="http://schemas.openxmlformats.org/spreadsheetml/2006/main" count="4672" uniqueCount="1281">
  <si>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</si>
  <si>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</si>
  <si>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</si>
  <si>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</si>
  <si>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</si>
  <si>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</si>
  <si>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</si>
  <si>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</si>
  <si>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</si>
  <si>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</si>
  <si>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</si>
  <si>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</si>
  <si>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</si>
  <si>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</si>
  <si>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</si>
  <si>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</si>
  <si>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</si>
  <si>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</si>
  <si>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</si>
  <si>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</si>
  <si>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</si>
  <si>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</si>
  <si>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</si>
  <si>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</si>
  <si>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</si>
  <si>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</si>
  <si>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</si>
  <si>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</si>
  <si>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</si>
  <si>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</si>
  <si>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</si>
  <si>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</si>
  <si>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</si>
  <si>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</si>
  <si>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</si>
  <si>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</si>
  <si>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</si>
  <si>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</si>
  <si>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</si>
  <si>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</si>
  <si>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</si>
  <si>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</si>
  <si>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</si>
  <si>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</si>
  <si>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</si>
  <si>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</si>
  <si>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</si>
  <si>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</si>
  <si>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</si>
  <si>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</si>
  <si>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</si>
  <si>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</si>
  <si>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</si>
  <si>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</si>
  <si>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</si>
  <si>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</si>
  <si>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</si>
  <si>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</si>
  <si>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</si>
  <si>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</si>
  <si>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</si>
  <si>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</si>
  <si>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</si>
  <si>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</si>
  <si>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</si>
  <si>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</si>
  <si>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</si>
  <si>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</si>
  <si>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</si>
  <si>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</si>
  <si>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</si>
  <si>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</si>
  <si>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</si>
  <si>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</si>
  <si>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</si>
  <si>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</si>
  <si>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</si>
  <si>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</si>
  <si>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</si>
  <si>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</si>
  <si>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</si>
  <si>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</si>
  <si>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</si>
  <si>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</si>
  <si>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</si>
  <si>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</si>
  <si>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</si>
  <si>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</si>
  <si>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</si>
  <si>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</si>
  <si>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</si>
  <si>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</si>
  <si>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</si>
  <si>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</si>
  <si>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</si>
  <si>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</si>
  <si>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</si>
  <si>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</si>
  <si>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</si>
  <si>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</si>
  <si>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</si>
  <si>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</si>
  <si>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</si>
  <si>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</si>
  <si>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</si>
  <si>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</si>
  <si>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</si>
  <si>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</si>
  <si>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</si>
  <si>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</si>
  <si>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</si>
  <si>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</si>
  <si>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</si>
  <si>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</si>
  <si>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</si>
  <si>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</si>
  <si>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</si>
  <si>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</si>
  <si>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</si>
  <si>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</si>
  <si>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</si>
  <si>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</si>
  <si>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</si>
  <si>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</si>
  <si>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</si>
  <si>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</si>
  <si>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</si>
  <si>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</si>
  <si>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</si>
  <si>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</si>
  <si>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</si>
  <si>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</si>
  <si>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</si>
  <si>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</si>
  <si>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</si>
  <si>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</si>
  <si>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</si>
  <si>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</si>
  <si>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</si>
  <si>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</si>
  <si>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</si>
  <si>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</si>
  <si>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</si>
  <si>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</si>
  <si>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</si>
  <si>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</si>
  <si>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</si>
  <si>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</si>
  <si>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</si>
  <si>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</si>
  <si>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</si>
  <si>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</si>
  <si>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</si>
  <si>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</si>
  <si>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</si>
  <si>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</si>
  <si>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</si>
  <si>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</si>
  <si>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</si>
  <si>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</si>
  <si>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</si>
  <si>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</si>
  <si>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</si>
  <si>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</si>
  <si>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</si>
  <si>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</si>
  <si>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</si>
  <si>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</si>
  <si>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</si>
  <si>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</si>
  <si>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</si>
  <si>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</si>
  <si>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</si>
  <si>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</si>
  <si>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</si>
  <si>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</si>
  <si>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</si>
  <si>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</si>
  <si>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</si>
  <si>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</si>
  <si>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</si>
  <si>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</si>
  <si>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</si>
  <si>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</si>
  <si>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</si>
  <si>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</si>
  <si>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</si>
  <si>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</si>
  <si>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</si>
  <si>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</si>
  <si>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</si>
  <si>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</si>
  <si>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</si>
  <si>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</si>
  <si>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</si>
  <si>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</si>
  <si>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</si>
  <si>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</si>
  <si>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</si>
  <si>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</si>
  <si>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</si>
  <si>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</si>
  <si>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</si>
  <si>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</si>
  <si>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</si>
  <si>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</si>
  <si>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</si>
  <si>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</si>
  <si>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</si>
  <si>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</si>
  <si>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</si>
  <si>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</si>
  <si>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</si>
  <si>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</si>
  <si>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</si>
  <si>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</si>
  <si>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</si>
  <si>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</si>
  <si>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</si>
  <si>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</si>
  <si>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</si>
  <si>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</si>
  <si>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</si>
  <si>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</si>
  <si>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</si>
  <si>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</si>
  <si>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</si>
  <si>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</si>
  <si>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</si>
  <si>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</si>
  <si>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</si>
  <si>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</si>
  <si>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</si>
  <si>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</si>
  <si>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</si>
  <si>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</si>
  <si>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</si>
  <si>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</si>
  <si>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</si>
  <si>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</si>
  <si>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</si>
  <si>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</si>
  <si>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</si>
  <si>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</si>
  <si>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</si>
  <si>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</si>
  <si>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</si>
  <si>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</si>
  <si>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</si>
  <si>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</si>
  <si>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</si>
  <si>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</si>
  <si>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</si>
  <si>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</si>
  <si>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</si>
  <si>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</si>
  <si>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</si>
  <si>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</si>
  <si>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</si>
  <si>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</si>
  <si>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</si>
  <si>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</si>
  <si>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</si>
  <si>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</si>
  <si>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</si>
  <si>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</si>
  <si>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</si>
  <si>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</si>
  <si>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</si>
  <si>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</si>
  <si>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</si>
  <si>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</si>
  <si>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</si>
  <si>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</si>
  <si>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</si>
  <si>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</si>
  <si>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</si>
  <si>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</si>
  <si>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</si>
  <si>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</si>
  <si>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</si>
  <si>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</si>
  <si>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</si>
  <si>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</si>
  <si>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</si>
  <si>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</si>
  <si>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</si>
  <si>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</si>
  <si>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</si>
  <si>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</si>
  <si>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</si>
  <si>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</si>
  <si>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</si>
  <si>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</si>
  <si>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</si>
  <si>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</si>
  <si>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</si>
  <si>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</si>
  <si>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</si>
  <si>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</si>
  <si>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</si>
  <si>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</si>
  <si>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</si>
  <si>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</si>
  <si>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</si>
  <si>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</si>
  <si>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</si>
  <si>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</si>
  <si>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</si>
  <si>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</si>
  <si>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</si>
  <si>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</si>
  <si>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</si>
  <si>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</si>
  <si>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</si>
  <si>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</si>
  <si>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</si>
  <si>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</si>
  <si>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</si>
  <si>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</si>
  <si>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</si>
  <si>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</si>
  <si>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</si>
  <si>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</si>
  <si>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</si>
  <si>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</si>
  <si>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</si>
  <si>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</si>
  <si>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</si>
  <si>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</si>
  <si>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</si>
  <si>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</si>
  <si>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</si>
  <si>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</si>
  <si>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</si>
  <si>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</si>
  <si>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</si>
  <si>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</si>
  <si>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</si>
  <si>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</si>
  <si>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</si>
  <si>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</si>
  <si>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</si>
  <si>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</si>
  <si>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</si>
  <si>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</si>
  <si>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</si>
  <si>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</si>
  <si>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</si>
  <si>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</si>
  <si>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</si>
  <si>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</si>
  <si>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</si>
  <si>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</si>
  <si>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</si>
  <si>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</si>
  <si>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</si>
  <si>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</si>
  <si>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</si>
  <si>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</si>
  <si>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</si>
  <si>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</si>
  <si>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</si>
  <si>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</si>
  <si>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</si>
  <si>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</si>
  <si>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</si>
  <si>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</si>
  <si>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</si>
  <si>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</si>
  <si>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</si>
  <si>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</si>
  <si>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</si>
  <si>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</si>
  <si>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</si>
  <si>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</si>
  <si>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</si>
  <si>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</si>
  <si>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</si>
  <si>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</si>
  <si>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</si>
  <si>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</si>
  <si>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</si>
  <si>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</si>
  <si>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</si>
  <si>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</si>
  <si>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</si>
  <si>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</si>
  <si>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</si>
  <si>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</si>
  <si>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</si>
  <si>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</si>
  <si>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</si>
  <si>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</si>
  <si>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</si>
  <si>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</si>
  <si>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</si>
  <si>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</si>
  <si>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</si>
  <si>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</si>
  <si>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</si>
  <si>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</si>
  <si>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</si>
  <si>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</si>
  <si>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</si>
  <si>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</si>
  <si>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</si>
  <si>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</si>
  <si>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</si>
  <si>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</si>
  <si>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</si>
  <si>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</si>
  <si>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</si>
  <si>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</si>
  <si>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</si>
  <si>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</si>
  <si>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</si>
  <si>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</si>
  <si>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</si>
  <si>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</si>
  <si>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</si>
  <si>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</si>
  <si>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</si>
  <si>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</si>
  <si>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</si>
  <si>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</si>
  <si>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</si>
  <si>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</si>
  <si>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</si>
  <si>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</si>
  <si>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</si>
  <si>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</si>
  <si>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</si>
  <si>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</si>
  <si>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</si>
  <si>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</si>
  <si>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</si>
  <si>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</si>
  <si>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</si>
  <si>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</si>
  <si>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</si>
  <si>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</si>
  <si>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</si>
  <si>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</si>
  <si>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</si>
  <si>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</si>
  <si>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</si>
  <si>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</si>
  <si>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</si>
  <si>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</si>
  <si>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</si>
  <si>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</si>
  <si>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</si>
  <si>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</si>
  <si>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</si>
  <si>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</si>
  <si>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</si>
  <si>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</si>
  <si>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</si>
  <si>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</si>
  <si>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</si>
  <si>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</si>
  <si>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</si>
  <si>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</si>
  <si>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</si>
  <si>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</si>
  <si>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</si>
  <si>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</si>
  <si>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</si>
  <si>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</si>
  <si>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</si>
  <si>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</si>
  <si>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</si>
  <si>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</si>
  <si>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</si>
  <si>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</si>
  <si>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</si>
  <si>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</si>
  <si>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</si>
  <si>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</si>
  <si>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</si>
  <si>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</si>
  <si>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</si>
  <si>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</si>
  <si>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</si>
  <si>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</si>
  <si>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</si>
  <si>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</si>
  <si>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</si>
  <si>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</si>
  <si>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</si>
  <si>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</si>
  <si>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</si>
  <si>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</si>
  <si>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</si>
  <si>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</si>
  <si>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</si>
  <si>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</si>
  <si>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</si>
  <si>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</si>
  <si>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</si>
  <si>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</si>
  <si>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</si>
  <si>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</si>
  <si>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</si>
  <si>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</si>
  <si>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</si>
  <si>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</si>
  <si>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</si>
  <si>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</si>
  <si>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</si>
  <si>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</si>
  <si>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</si>
  <si>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</si>
  <si>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</si>
  <si>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</si>
  <si>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</si>
  <si>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</si>
  <si>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</si>
  <si>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</si>
  <si>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</si>
  <si>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</si>
  <si>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</si>
  <si>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</si>
  <si>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</si>
  <si>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</si>
  <si>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</si>
  <si>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</si>
  <si>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</si>
  <si>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</si>
  <si>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</si>
  <si>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</si>
  <si>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</si>
  <si>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</si>
  <si>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</si>
  <si>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</si>
  <si>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</si>
  <si>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</si>
  <si>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</si>
  <si>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</si>
  <si>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</si>
  <si>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</si>
  <si>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</si>
  <si>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</si>
  <si>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</si>
  <si>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</si>
  <si>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</si>
  <si>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</si>
  <si>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</si>
  <si>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</si>
  <si>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</si>
  <si>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</si>
  <si>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</si>
  <si>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</si>
  <si>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</si>
  <si>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</si>
  <si>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</si>
  <si>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</si>
  <si>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</si>
  <si>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</si>
  <si>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</si>
  <si>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</si>
  <si>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</si>
  <si>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</si>
  <si>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</si>
  <si>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</si>
  <si>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</si>
  <si>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</si>
  <si>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</si>
  <si>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</si>
  <si>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</si>
  <si>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</si>
  <si>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</si>
  <si>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</si>
  <si>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</si>
  <si>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</si>
  <si>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</si>
  <si>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</si>
  <si>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</si>
  <si>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</si>
  <si>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</si>
  <si>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</si>
  <si>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</si>
  <si>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</si>
  <si>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</si>
  <si>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</si>
  <si>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</si>
  <si>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</si>
  <si>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</si>
  <si>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</si>
  <si>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</si>
  <si>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</si>
  <si>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</si>
  <si>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</si>
  <si>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</si>
  <si>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</si>
  <si>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</si>
  <si>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</si>
  <si>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</si>
  <si>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</si>
  <si>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</si>
  <si>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</si>
  <si>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</si>
  <si>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</si>
  <si>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</si>
  <si>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</si>
  <si>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</si>
  <si>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</si>
  <si>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</si>
  <si>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</si>
  <si>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</si>
  <si>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</si>
  <si>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</si>
  <si>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</si>
  <si>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</si>
  <si>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</si>
  <si>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</si>
  <si>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</si>
  <si>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</si>
  <si>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</si>
  <si>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</si>
  <si>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</si>
  <si>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</si>
  <si>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</si>
  <si>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</si>
  <si>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</si>
  <si>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</si>
  <si>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</si>
  <si>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</si>
  <si>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</si>
  <si>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</si>
  <si>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</si>
  <si>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</si>
  <si>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</si>
  <si>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</si>
  <si>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</si>
  <si>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</si>
  <si>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</si>
  <si>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</si>
  <si>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</si>
  <si>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</si>
  <si>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</si>
  <si>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</si>
  <si>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</si>
  <si>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</si>
  <si>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</si>
  <si>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</si>
  <si>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</si>
  <si>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</si>
  <si>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</si>
  <si>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</si>
  <si>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</si>
  <si>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</si>
  <si>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</si>
  <si>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</si>
  <si>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</si>
  <si>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</si>
  <si>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</si>
  <si>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</si>
  <si>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</si>
  <si>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</si>
  <si>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</si>
  <si>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</si>
  <si>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</si>
  <si>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</si>
  <si>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</si>
  <si>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</si>
  <si>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</si>
  <si>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</si>
  <si>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</si>
  <si>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</si>
  <si>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</si>
  <si>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</si>
  <si>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</si>
  <si>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</si>
  <si>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</si>
  <si>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</si>
  <si>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</si>
  <si>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</si>
  <si>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</si>
  <si>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</si>
  <si>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</si>
  <si>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</si>
  <si>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</si>
  <si>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</si>
  <si>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</si>
  <si>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</si>
  <si>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</si>
  <si>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</si>
  <si>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</si>
  <si>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</si>
  <si>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</si>
  <si>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</si>
  <si>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</si>
  <si>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</si>
  <si>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</si>
  <si>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</si>
  <si>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</si>
  <si>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</si>
  <si>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</si>
  <si>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</si>
  <si>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</si>
  <si>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</si>
  <si>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</si>
  <si>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</si>
  <si>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</si>
  <si>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</si>
  <si>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</si>
  <si>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</si>
  <si>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</si>
  <si>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</si>
  <si>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</si>
  <si>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</si>
  <si>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</si>
  <si>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</si>
  <si>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</si>
  <si>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</si>
  <si>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</si>
  <si>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</si>
  <si>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</si>
  <si>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</si>
  <si>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</si>
  <si>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</si>
  <si>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</si>
  <si>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</si>
  <si>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</si>
  <si>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</si>
  <si>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</si>
  <si>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</si>
  <si>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</si>
  <si>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</si>
  <si>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</si>
  <si>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</si>
  <si>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</si>
  <si>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</si>
  <si>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</si>
  <si>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</si>
  <si>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</si>
  <si>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</si>
  <si>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</si>
  <si>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</si>
  <si>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</si>
  <si>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</si>
  <si>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</si>
  <si>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</si>
  <si>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</si>
  <si>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</si>
  <si>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</si>
  <si>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</si>
  <si>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</si>
  <si>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</si>
  <si>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</si>
  <si>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</si>
  <si>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</si>
  <si>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</si>
  <si>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</si>
  <si>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</si>
  <si>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</si>
  <si>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</si>
  <si>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</si>
  <si>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</si>
  <si>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</si>
  <si>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</si>
  <si>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</si>
  <si>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</si>
  <si>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</si>
  <si>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</si>
  <si>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</si>
  <si>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</si>
  <si>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</si>
  <si>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</si>
  <si>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</si>
  <si>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</si>
  <si>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</si>
  <si>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</si>
  <si>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</si>
  <si>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</si>
  <si>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</si>
  <si>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</si>
  <si>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</si>
  <si>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</si>
  <si>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</si>
  <si>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</si>
  <si>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</si>
  <si>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</si>
  <si>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</si>
  <si>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</si>
  <si>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</si>
  <si>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</si>
  <si>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</si>
  <si>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</si>
  <si>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</si>
  <si>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</si>
  <si>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</si>
  <si>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</si>
  <si>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</si>
  <si>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</si>
  <si>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</si>
  <si>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</si>
  <si>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</si>
  <si>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</si>
  <si>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</si>
  <si>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</si>
  <si>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</si>
  <si>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</si>
  <si>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</si>
  <si>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</si>
  <si>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</si>
  <si>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</si>
  <si>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</si>
  <si>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</si>
  <si>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</si>
  <si>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</si>
  <si>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</si>
  <si>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</si>
  <si>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</si>
  <si>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</si>
  <si>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</si>
  <si>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</si>
  <si>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</si>
  <si>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</si>
  <si>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</si>
  <si>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</si>
  <si>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</si>
  <si>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</si>
  <si>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</si>
  <si>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</si>
  <si>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</si>
  <si>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</si>
  <si>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</si>
  <si>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</si>
  <si>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</si>
  <si>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</si>
  <si>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</si>
  <si>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</si>
  <si>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</si>
  <si>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</si>
  <si>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</si>
  <si>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</si>
  <si>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</si>
  <si>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</si>
  <si>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</si>
  <si>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</si>
  <si>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</si>
  <si>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</si>
  <si>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</si>
  <si>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</si>
  <si>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</si>
  <si>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</si>
  <si>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</si>
  <si>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</si>
  <si>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</si>
  <si>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</si>
  <si>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</si>
  <si>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</si>
  <si>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</si>
  <si>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</si>
  <si>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</si>
  <si>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</si>
  <si>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</si>
  <si>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</si>
  <si>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</si>
  <si>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</si>
  <si>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</si>
  <si>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</si>
  <si>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</si>
  <si>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</si>
  <si>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</si>
  <si>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</si>
  <si>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</si>
  <si>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</si>
  <si>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</si>
  <si>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</si>
  <si>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</si>
  <si>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</si>
  <si>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</si>
  <si>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</si>
  <si>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</si>
  <si>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</si>
  <si>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</si>
  <si>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</si>
  <si>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</si>
  <si>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</si>
  <si>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</si>
  <si>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</si>
  <si>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</si>
  <si>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</si>
  <si>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</si>
  <si>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</si>
  <si>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</si>
  <si>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</si>
  <si>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</si>
  <si>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</si>
  <si>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</si>
  <si>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</si>
  <si>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</si>
  <si>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</si>
  <si>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</si>
  <si>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</si>
  <si>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</si>
  <si>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</si>
  <si>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</si>
  <si>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</si>
  <si>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</si>
  <si>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</si>
  <si>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</si>
  <si>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</si>
  <si>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</si>
  <si>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</si>
  <si>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</si>
  <si>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</si>
  <si>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</si>
  <si>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</si>
  <si>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</si>
  <si>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</si>
  <si>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</si>
  <si>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</si>
  <si>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</si>
  <si>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</si>
  <si>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</si>
  <si>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</si>
  <si>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</si>
  <si>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</si>
  <si>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</si>
  <si>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</si>
  <si>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</si>
  <si>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</si>
  <si>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</si>
  <si>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</si>
  <si>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</si>
  <si>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</si>
  <si>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</si>
  <si>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</si>
  <si>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</si>
  <si>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</si>
  <si>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</si>
  <si>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</si>
  <si>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</si>
  <si>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</si>
  <si>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</si>
  <si>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</si>
  <si>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</si>
  <si>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</si>
  <si>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</si>
  <si>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</si>
  <si>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</si>
  <si>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</si>
  <si>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</si>
  <si>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</si>
  <si>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</si>
  <si>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</si>
  <si>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</si>
  <si>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</si>
  <si>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</si>
  <si>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</si>
  <si>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</si>
  <si>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</si>
  <si>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</si>
  <si>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</si>
  <si>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</si>
  <si>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</si>
  <si>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</si>
  <si>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</si>
  <si>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</si>
  <si>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</si>
  <si>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</si>
  <si>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</si>
  <si>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</si>
  <si>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</si>
  <si>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</si>
  <si>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</si>
  <si>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</si>
  <si>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</si>
  <si>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</si>
  <si>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</si>
  <si>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</si>
  <si>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</si>
  <si>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</si>
  <si>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</si>
  <si>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</si>
  <si>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</si>
  <si>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</si>
  <si>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</si>
  <si>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</si>
  <si>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</si>
  <si>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</si>
  <si>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</si>
  <si>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</si>
  <si>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</si>
  <si>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</si>
  <si>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</si>
  <si>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</si>
  <si>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</si>
  <si>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</si>
  <si>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</si>
  <si>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</si>
  <si>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</si>
  <si>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</si>
  <si>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</si>
  <si>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</si>
  <si>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</si>
  <si>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</si>
  <si>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</si>
  <si>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</si>
  <si>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</si>
  <si>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</si>
  <si>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</si>
  <si>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</si>
  <si>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</si>
  <si>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</si>
  <si>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</si>
  <si>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</si>
  <si>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</si>
  <si>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</si>
  <si>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</si>
  <si>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</si>
  <si>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</si>
  <si>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</si>
  <si>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</si>
  <si>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</si>
  <si>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</si>
  <si>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</si>
  <si>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</si>
  <si>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</si>
  <si>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</si>
  <si>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</si>
  <si>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</si>
  <si>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</si>
  <si>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</si>
  <si>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</si>
  <si>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</si>
  <si>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</si>
  <si>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</si>
  <si>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</si>
  <si>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</si>
  <si>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</si>
  <si>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</si>
  <si>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</si>
  <si>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</si>
  <si>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</si>
  <si>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</si>
  <si>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</si>
  <si>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</si>
  <si>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</si>
  <si>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</si>
  <si>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</si>
  <si>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</si>
  <si>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</si>
  <si>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</si>
  <si>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</si>
  <si>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</si>
  <si>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</si>
  <si>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</si>
  <si>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</si>
  <si>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</si>
  <si>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</si>
  <si>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</si>
  <si>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</si>
  <si>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</si>
  <si>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</si>
  <si>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</si>
  <si>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</si>
  <si>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</si>
  <si>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</si>
  <si>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</si>
  <si>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</si>
  <si>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</si>
  <si>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</si>
  <si>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</si>
  <si>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</si>
  <si>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</si>
  <si>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</si>
  <si>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</si>
  <si>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</si>
  <si>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</si>
  <si>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</si>
  <si>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</si>
  <si>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</si>
  <si>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</si>
  <si>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</si>
  <si>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</si>
  <si>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</si>
  <si>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</si>
  <si>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</si>
  <si>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</si>
  <si>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</si>
  <si>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</si>
  <si>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</si>
  <si>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</si>
  <si>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</si>
  <si>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</si>
  <si>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</si>
  <si>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</si>
  <si>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</si>
  <si>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</si>
  <si>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</si>
  <si>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</si>
  <si>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</si>
  <si>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</si>
  <si>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</si>
  <si>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</si>
  <si>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</si>
  <si>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</si>
  <si>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</si>
  <si>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</si>
  <si>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</si>
  <si>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</si>
  <si>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</si>
  <si>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</si>
  <si>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</si>
  <si>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</si>
  <si>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</si>
  <si>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</si>
  <si>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</si>
  <si>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</si>
  <si>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</si>
  <si>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</si>
  <si>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</si>
  <si>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</si>
  <si>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</si>
  <si>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</si>
  <si>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</si>
  <si>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</si>
  <si>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</si>
  <si>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</si>
  <si>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</si>
  <si>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</si>
  <si>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</si>
  <si>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</si>
  <si>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</si>
  <si>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</si>
  <si>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</si>
  <si>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</si>
  <si>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</si>
  <si>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</si>
  <si>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</si>
  <si>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</si>
  <si>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</si>
  <si>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</si>
  <si>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</si>
  <si>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</si>
  <si>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</si>
  <si>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</si>
  <si>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</si>
  <si>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</si>
  <si>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</si>
  <si>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</si>
  <si>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</si>
  <si>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</si>
  <si>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</si>
  <si>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</si>
  <si>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</si>
  <si>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</si>
  <si>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</si>
  <si>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</si>
  <si>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</si>
  <si>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</si>
  <si>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</si>
  <si>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</si>
  <si>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</si>
  <si>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</si>
  <si>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</si>
  <si>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</si>
  <si>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</si>
  <si>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</si>
  <si>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</si>
  <si>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</si>
  <si>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</si>
  <si>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</si>
  <si>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</si>
  <si>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</si>
  <si>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</si>
  <si>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</si>
  <si>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</si>
  <si>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</si>
  <si>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</si>
  <si>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</si>
  <si>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</si>
  <si>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</si>
  <si>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</si>
  <si>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</si>
  <si>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</si>
  <si>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</si>
  <si>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</si>
  <si>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</si>
  <si>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</si>
  <si>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</si>
  <si>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</si>
  <si>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</si>
  <si>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</si>
  <si>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</si>
  <si>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</si>
  <si>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</si>
  <si>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</si>
  <si>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</si>
  <si>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</si>
  <si>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</si>
  <si>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</si>
  <si>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</si>
  <si>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</si>
  <si>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</si>
  <si>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</si>
  <si>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</si>
  <si>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</si>
  <si>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</si>
  <si>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</si>
  <si>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</si>
  <si>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</si>
  <si>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</si>
  <si>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</si>
  <si>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</si>
  <si>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</si>
  <si>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</si>
  <si>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</si>
  <si>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</si>
  <si>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</si>
  <si>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</si>
  <si>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</si>
  <si>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</si>
  <si>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</si>
  <si>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</si>
  <si>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</si>
  <si>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</si>
  <si>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</si>
  <si>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</si>
  <si>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</si>
  <si>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</si>
  <si>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</si>
  <si>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</si>
  <si>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</si>
  <si>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</si>
  <si>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</si>
  <si>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</si>
  <si>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</si>
  <si>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</si>
  <si>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</si>
  <si>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</si>
  <si>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</si>
  <si>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</si>
  <si>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</si>
  <si>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</si>
  <si>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</si>
  <si>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</si>
  <si>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</si>
  <si>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</si>
  <si>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</si>
  <si>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</si>
  <si>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</si>
  <si>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</si>
  <si>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</si>
  <si>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</si>
  <si>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</si>
  <si>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</si>
  <si>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</si>
  <si>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</si>
  <si>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</si>
  <si>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</si>
  <si>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</si>
  <si>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</si>
  <si>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</si>
  <si>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</si>
  <si>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</si>
  <si>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</si>
  <si>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</si>
  <si>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</si>
  <si>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207</t>
  </si>
  <si>
    <t>SKAGIT REGIONAL HEALTH</t>
  </si>
  <si>
    <t>MT. VERNON, WA 98273</t>
  </si>
  <si>
    <t>Brian Ivie</t>
  </si>
  <si>
    <t>Paul Ishizuka</t>
  </si>
  <si>
    <t>Bruce Lisser</t>
  </si>
  <si>
    <t>(360)445-8514</t>
  </si>
  <si>
    <t>(360)445-8522</t>
  </si>
  <si>
    <t xml:space="preserve"> </t>
  </si>
  <si>
    <t>12/31/2019</t>
  </si>
  <si>
    <t>1415 E. KINCAID ST</t>
  </si>
  <si>
    <t>PO BOX 1376</t>
  </si>
  <si>
    <t>SKAGIT</t>
  </si>
  <si>
    <t>12/31/2018</t>
  </si>
  <si>
    <t>1415 E. KINCAID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</si>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</sst>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40194863</v>
      </c>
      <c r="C48" s="245">
        <f>ROUND(((B48/CE61)*C61),0)</f>
        <v>630171</v>
      </c>
      <c r="D48" s="245">
        <f>ROUND(((B48/CE61)*D61),0)</f>
        <v>0</v>
      </c>
      <c r="E48" s="195">
        <f>ROUND(((B48/CE61)*E61),0)</f>
        <v>3449748</v>
      </c>
      <c r="F48" s="195">
        <f>ROUND(((B48/CE61)*F61),0)</f>
        <v>663958</v>
      </c>
      <c r="G48" s="195">
        <f>ROUND(((B48/CE61)*G61),0)</f>
        <v>0</v>
      </c>
      <c r="H48" s="195">
        <f>ROUND(((B48/CE61)*H61),0)</f>
        <v>552173</v>
      </c>
      <c r="I48" s="195">
        <f>ROUND(((B48/CE61)*I61),0)</f>
        <v>0</v>
      </c>
      <c r="J48" s="195">
        <f>ROUND(((B48/CE61)*J61),0)</f>
        <v>140314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390920</v>
      </c>
      <c r="P48" s="195">
        <f>ROUND(((B48/CE61)*P61),0)</f>
        <v>763541</v>
      </c>
      <c r="Q48" s="195">
        <f>ROUND(((B48/CE61)*Q61),0)</f>
        <v>434315</v>
      </c>
      <c r="R48" s="195">
        <f>ROUND(((B48/CE61)*R61),0)</f>
        <v>29365</v>
      </c>
      <c r="S48" s="195">
        <f>ROUND(((B48/CE61)*S61),0)</f>
        <v>245400</v>
      </c>
      <c r="T48" s="195">
        <f>ROUND(((B48/CE61)*T61),0)</f>
        <v>120533</v>
      </c>
      <c r="U48" s="195">
        <f>ROUND(((B48/CE61)*U61),0)</f>
        <v>600293</v>
      </c>
      <c r="V48" s="195">
        <f>ROUND(((B48/CE61)*V61),0)</f>
        <v>31334</v>
      </c>
      <c r="W48" s="195">
        <f>ROUND(((B48/CE61)*W61),0)</f>
        <v>26515</v>
      </c>
      <c r="X48" s="195">
        <f>ROUND(((B48/CE61)*X61),0)</f>
        <v>0</v>
      </c>
      <c r="Y48" s="195">
        <f>ROUND(((B48/CE61)*Y61),0)</f>
        <v>800576</v>
      </c>
      <c r="Z48" s="195">
        <f>ROUND(((B48/CE61)*Z61),0)</f>
        <v>299541</v>
      </c>
      <c r="AA48" s="195">
        <f>ROUND(((B48/CE61)*AA61),0)</f>
        <v>0</v>
      </c>
      <c r="AB48" s="195">
        <f>ROUND(((B48/CE61)*AB61),0)</f>
        <v>1130988</v>
      </c>
      <c r="AC48" s="195">
        <f>ROUND(((B48/CE61)*AC61),0)</f>
        <v>335099</v>
      </c>
      <c r="AD48" s="195">
        <f>ROUND(((B48/CE61)*AD61),0)</f>
        <v>130601</v>
      </c>
      <c r="AE48" s="195">
        <f>ROUND(((B48/CE61)*AE61),0)</f>
        <v>305140</v>
      </c>
      <c r="AF48" s="195">
        <f>ROUND(((B48/CE61)*AF61),0)</f>
        <v>0</v>
      </c>
      <c r="AG48" s="195">
        <f>ROUND(((B48/CE61)*AG61),0)</f>
        <v>1200579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679287</v>
      </c>
      <c r="AK48" s="195">
        <f>ROUND(((B48/CE61)*AK61),0)</f>
        <v>42634</v>
      </c>
      <c r="AL48" s="195">
        <f>ROUND(((B48/CE61)*AL61),0)</f>
        <v>67987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207719</v>
      </c>
      <c r="AP48" s="195">
        <f>ROUND(((B48/CE61)*AP61),0)</f>
        <v>14391746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968305</v>
      </c>
      <c r="AW48" s="195">
        <f>ROUND(((B48/CE61)*AW61),0)</f>
        <v>777735</v>
      </c>
      <c r="AX48" s="195">
        <f>ROUND(((B48/CE61)*AX61),0)</f>
        <v>0</v>
      </c>
      <c r="AY48" s="195">
        <f>ROUND(((B48/CE61)*AY61),0)</f>
        <v>296353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148616</v>
      </c>
      <c r="BE48" s="195">
        <f>ROUND(((B48/CE61)*BE61),0)</f>
        <v>501139</v>
      </c>
      <c r="BF48" s="195">
        <f>ROUND(((B48/CE61)*BF61),0)</f>
        <v>344169</v>
      </c>
      <c r="BG48" s="195">
        <f>ROUND(((B48/CE61)*BG61),0)</f>
        <v>315944</v>
      </c>
      <c r="BH48" s="195">
        <f>ROUND(((B48/CE61)*BH61),0)</f>
        <v>2368873</v>
      </c>
      <c r="BI48" s="195">
        <f>ROUND(((B48/CE61)*BI61),0)</f>
        <v>152203</v>
      </c>
      <c r="BJ48" s="195">
        <f>ROUND(((B48/CE61)*BJ61),0)</f>
        <v>399027</v>
      </c>
      <c r="BK48" s="195">
        <f>ROUND(((B48/CE61)*BK61),0)</f>
        <v>798338</v>
      </c>
      <c r="BL48" s="195">
        <f>ROUND(((B48/CE61)*BL61),0)</f>
        <v>658521</v>
      </c>
      <c r="BM48" s="195">
        <f>ROUND(((B48/CE61)*BM61),0)</f>
        <v>0</v>
      </c>
      <c r="BN48" s="195">
        <f>ROUND(((B48/CE61)*BN61),0)</f>
        <v>1092272</v>
      </c>
      <c r="BO48" s="195">
        <f>ROUND(((B48/CE61)*BO61),0)</f>
        <v>55087</v>
      </c>
      <c r="BP48" s="195">
        <f>ROUND(((B48/CE61)*BP61),0)</f>
        <v>105625</v>
      </c>
      <c r="BQ48" s="195">
        <f>ROUND(((B48/CE61)*BQ61),0)</f>
        <v>0</v>
      </c>
      <c r="BR48" s="195">
        <f>ROUND(((B48/CE61)*BR61),0)</f>
        <v>341896</v>
      </c>
      <c r="BS48" s="195">
        <f>ROUND(((B48/CE61)*BS61),0)</f>
        <v>80413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675853</v>
      </c>
      <c r="BW48" s="195">
        <f>ROUND(((B48/CE61)*BW61),0)</f>
        <v>82615</v>
      </c>
      <c r="BX48" s="195">
        <f>ROUND(((B48/CE61)*BX61),0)</f>
        <v>1054225</v>
      </c>
      <c r="BY48" s="195">
        <f>ROUND(((B48/CE61)*BY61),0)</f>
        <v>183002</v>
      </c>
      <c r="BZ48" s="195">
        <f>ROUND(((B48/CE61)*BZ61),0)</f>
        <v>106130</v>
      </c>
      <c r="CA48" s="195">
        <f>ROUND(((B48/CE61)*CA61),0)</f>
        <v>0</v>
      </c>
      <c r="CB48" s="195">
        <f>ROUND(((B48/CE61)*CB61),0)</f>
        <v>2258</v>
      </c>
      <c r="CC48" s="195">
        <f>ROUND(((B48/CE61)*CC61),0)</f>
        <v>1015784</v>
      </c>
      <c r="CD48" s="195"/>
      <c r="CE48" s="195">
        <f>SUM(C48:CD48)</f>
        <v>40194860</v>
      </c>
    </row>
    <row r="49" spans="1:84" ht="12.6" customHeight="1" x14ac:dyDescent="0.25">
      <c r="A49" s="175" t="s">
        <v>206</v>
      </c>
      <c r="B49" s="195">
        <f>B47+B48</f>
        <v>40194863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16899840</v>
      </c>
      <c r="C52" s="195">
        <f>ROUND((B52/(CE76+CF76)*C76),0)</f>
        <v>83381</v>
      </c>
      <c r="D52" s="195">
        <f>ROUND((B52/(CE76+CF76)*D76),0)</f>
        <v>0</v>
      </c>
      <c r="E52" s="195">
        <f>ROUND((B52/(CE76+CF76)*E76),0)</f>
        <v>804468</v>
      </c>
      <c r="F52" s="195">
        <f>ROUND((B52/(CE76+CF76)*F76),0)</f>
        <v>283014</v>
      </c>
      <c r="G52" s="195">
        <f>ROUND((B52/(CE76+CF76)*G76),0)</f>
        <v>0</v>
      </c>
      <c r="H52" s="195">
        <f>ROUND((B52/(CE76+CF76)*H76),0)</f>
        <v>148273</v>
      </c>
      <c r="I52" s="195">
        <f>ROUND((B52/(CE76+CF76)*I76),0)</f>
        <v>0</v>
      </c>
      <c r="J52" s="195">
        <f>ROUND((B52/(CE76+CF76)*J76),0)</f>
        <v>17191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31531</v>
      </c>
      <c r="P52" s="195">
        <f>ROUND((B52/(CE76+CF76)*P76),0)</f>
        <v>322651</v>
      </c>
      <c r="Q52" s="195">
        <f>ROUND((B52/(CE76+CF76)*Q76),0)</f>
        <v>122848</v>
      </c>
      <c r="R52" s="195">
        <f>ROUND((B52/(CE76+CF76)*R76),0)</f>
        <v>6617</v>
      </c>
      <c r="S52" s="195">
        <f>ROUND((B52/(CE76+CF76)*S76),0)</f>
        <v>122146</v>
      </c>
      <c r="T52" s="195">
        <f>ROUND((B52/(CE76+CF76)*T76),0)</f>
        <v>4000</v>
      </c>
      <c r="U52" s="195">
        <f>ROUND((B52/(CE76+CF76)*U76),0)</f>
        <v>151698</v>
      </c>
      <c r="V52" s="195">
        <f>ROUND((B52/(CE76+CF76)*V76),0)</f>
        <v>0</v>
      </c>
      <c r="W52" s="195">
        <f>ROUND((B52/(CE76+CF76)*W76),0)</f>
        <v>43467</v>
      </c>
      <c r="X52" s="195">
        <f>ROUND((B52/(CE76+CF76)*X76),0)</f>
        <v>35297</v>
      </c>
      <c r="Y52" s="195">
        <f>ROUND((B52/(CE76+CF76)*Y76),0)</f>
        <v>287099</v>
      </c>
      <c r="Z52" s="195">
        <f>ROUND((B52/(CE76+CF76)*Z76),0)</f>
        <v>139039</v>
      </c>
      <c r="AA52" s="195">
        <f>ROUND((B52/(CE76+CF76)*AA76),0)</f>
        <v>40020</v>
      </c>
      <c r="AB52" s="195">
        <f>ROUND((B52/(CE76+CF76)*AB76),0)</f>
        <v>167464</v>
      </c>
      <c r="AC52" s="195">
        <f>ROUND((B52/(CE76+CF76)*AC76),0)</f>
        <v>36084</v>
      </c>
      <c r="AD52" s="195">
        <f>ROUND((B52/(CE76+CF76)*AD76),0)</f>
        <v>134550</v>
      </c>
      <c r="AE52" s="195">
        <f>ROUND((B52/(CE76+CF76)*AE76),0)</f>
        <v>45339</v>
      </c>
      <c r="AF52" s="195">
        <f>ROUND((B52/(CE76+CF76)*AF76),0)</f>
        <v>0</v>
      </c>
      <c r="AG52" s="195">
        <f>ROUND((B52/(CE76+CF76)*AG76),0)</f>
        <v>202101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366586</v>
      </c>
      <c r="AK52" s="195">
        <f>ROUND((B52/(CE76+CF76)*AK76),0)</f>
        <v>5659</v>
      </c>
      <c r="AL52" s="195">
        <f>ROUND((B52/(CE76+CF76)*AL76),0)</f>
        <v>2681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51999</v>
      </c>
      <c r="AP52" s="195">
        <f>ROUND((B52/(CE76+CF76)*AP76),0)</f>
        <v>4333925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490348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189633</v>
      </c>
      <c r="AZ52" s="195">
        <f>ROUND((B52/(CE76+CF76)*AZ76),0)</f>
        <v>0</v>
      </c>
      <c r="BA52" s="195">
        <f>ROUND((B52/(CE76+CF76)*BA76),0)</f>
        <v>26701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129145</v>
      </c>
      <c r="BE52" s="195">
        <f>ROUND((B52/(CE76+CF76)*BE76),0)</f>
        <v>4767275</v>
      </c>
      <c r="BF52" s="195">
        <f>ROUND((B52/(CE76+CF76)*BF76),0)</f>
        <v>71913</v>
      </c>
      <c r="BG52" s="195">
        <f>ROUND((B52/(CE76+CF76)*BG76),0)</f>
        <v>0</v>
      </c>
      <c r="BH52" s="195">
        <f>ROUND((B52/(CE76+CF76)*BH76),0)</f>
        <v>189612</v>
      </c>
      <c r="BI52" s="195">
        <f>ROUND((B52/(CE76+CF76)*BI76),0)</f>
        <v>32233</v>
      </c>
      <c r="BJ52" s="195">
        <f>ROUND((B52/(CE76+CF76)*BJ76),0)</f>
        <v>208526</v>
      </c>
      <c r="BK52" s="195">
        <f>ROUND((B52/(CE76+CF76)*BK76),0)</f>
        <v>41467</v>
      </c>
      <c r="BL52" s="195">
        <f>ROUND((B52/(CE76+CF76)*BL76),0)</f>
        <v>58062</v>
      </c>
      <c r="BM52" s="195">
        <f>ROUND((B52/(CE76+CF76)*BM76),0)</f>
        <v>0</v>
      </c>
      <c r="BN52" s="195">
        <f>ROUND((B52/(CE76+CF76)*BN76),0)</f>
        <v>106635</v>
      </c>
      <c r="BO52" s="195">
        <f>ROUND((B52/(CE76+CF76)*BO76),0)</f>
        <v>0</v>
      </c>
      <c r="BP52" s="195">
        <f>ROUND((B52/(CE76+CF76)*BP76),0)</f>
        <v>9936</v>
      </c>
      <c r="BQ52" s="195">
        <f>ROUND((B52/(CE76+CF76)*BQ76),0)</f>
        <v>0</v>
      </c>
      <c r="BR52" s="195">
        <f>ROUND((B52/(CE76+CF76)*BR76),0)</f>
        <v>75828</v>
      </c>
      <c r="BS52" s="195">
        <f>ROUND((B52/(CE76+CF76)*BS76),0)</f>
        <v>80934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144039</v>
      </c>
      <c r="BW52" s="195">
        <f>ROUND((B52/(CE76+CF76)*BW76),0)</f>
        <v>21191</v>
      </c>
      <c r="BX52" s="195">
        <f>ROUND((B52/(CE76+CF76)*BX76),0)</f>
        <v>46509</v>
      </c>
      <c r="BY52" s="195">
        <f>ROUND((B52/(CE76+CF76)*BY76),0)</f>
        <v>37488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2183239</v>
      </c>
      <c r="CD52" s="195"/>
      <c r="CE52" s="195">
        <f>SUM(C52:CD52)</f>
        <v>16899842</v>
      </c>
    </row>
    <row r="53" spans="1:84" ht="12.6" customHeight="1" x14ac:dyDescent="0.25">
      <c r="A53" s="175" t="s">
        <v>206</v>
      </c>
      <c r="B53" s="195">
        <f>B51+B52</f>
        <v>16899840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2214</v>
      </c>
      <c r="D59" s="184"/>
      <c r="E59" s="184">
        <v>27309</v>
      </c>
      <c r="F59" s="184">
        <v>1671</v>
      </c>
      <c r="G59" s="184"/>
      <c r="H59" s="184">
        <v>3722</v>
      </c>
      <c r="I59" s="184"/>
      <c r="J59" s="184">
        <v>1978</v>
      </c>
      <c r="K59" s="184"/>
      <c r="L59" s="184"/>
      <c r="M59" s="184"/>
      <c r="N59" s="184"/>
      <c r="O59" s="184">
        <v>864</v>
      </c>
      <c r="P59" s="185">
        <v>606766</v>
      </c>
      <c r="Q59" s="185">
        <v>269392</v>
      </c>
      <c r="R59" s="185">
        <v>744722</v>
      </c>
      <c r="S59" s="248"/>
      <c r="T59" s="248"/>
      <c r="U59" s="224">
        <v>704001</v>
      </c>
      <c r="V59" s="185">
        <v>2132</v>
      </c>
      <c r="W59" s="185">
        <v>71220.75</v>
      </c>
      <c r="X59" s="185">
        <v>124843.44</v>
      </c>
      <c r="Y59" s="185">
        <v>161018.75</v>
      </c>
      <c r="Z59" s="185"/>
      <c r="AA59" s="185">
        <v>29172.309999999998</v>
      </c>
      <c r="AB59" s="248"/>
      <c r="AC59" s="185">
        <v>52189</v>
      </c>
      <c r="AD59" s="185"/>
      <c r="AE59" s="185">
        <v>31206</v>
      </c>
      <c r="AF59" s="185"/>
      <c r="AG59" s="185">
        <v>33900</v>
      </c>
      <c r="AH59" s="185"/>
      <c r="AI59" s="185"/>
      <c r="AJ59" s="185">
        <v>19058</v>
      </c>
      <c r="AK59" s="185">
        <v>6824</v>
      </c>
      <c r="AL59" s="185">
        <v>4470</v>
      </c>
      <c r="AM59" s="185"/>
      <c r="AN59" s="185"/>
      <c r="AO59" s="185"/>
      <c r="AP59" s="185">
        <v>312756</v>
      </c>
      <c r="AQ59" s="185"/>
      <c r="AR59" s="185"/>
      <c r="AS59" s="185"/>
      <c r="AT59" s="185"/>
      <c r="AU59" s="185"/>
      <c r="AV59" s="248"/>
      <c r="AW59" s="248"/>
      <c r="AX59" s="248"/>
      <c r="AY59" s="185">
        <v>437049</v>
      </c>
      <c r="AZ59" s="185"/>
      <c r="BA59" s="248"/>
      <c r="BB59" s="248"/>
      <c r="BC59" s="248"/>
      <c r="BD59" s="248"/>
      <c r="BE59" s="185">
        <v>794314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25.174991780821923</v>
      </c>
      <c r="D60" s="187"/>
      <c r="E60" s="187">
        <v>205.24600000000001</v>
      </c>
      <c r="F60" s="223">
        <v>29.57</v>
      </c>
      <c r="G60" s="187"/>
      <c r="H60" s="187">
        <v>22.909288356164385</v>
      </c>
      <c r="I60" s="187"/>
      <c r="J60" s="223">
        <v>5.2</v>
      </c>
      <c r="K60" s="187"/>
      <c r="L60" s="187"/>
      <c r="M60" s="187"/>
      <c r="N60" s="187"/>
      <c r="O60" s="187">
        <v>15.18</v>
      </c>
      <c r="P60" s="221">
        <v>34.895819863013692</v>
      </c>
      <c r="Q60" s="221">
        <v>17.455780136986302</v>
      </c>
      <c r="R60" s="221">
        <v>2.656413698630137</v>
      </c>
      <c r="S60" s="221">
        <v>22.716000000000001</v>
      </c>
      <c r="T60" s="221">
        <v>4.6585047945205478</v>
      </c>
      <c r="U60" s="221">
        <v>51.838466438356171</v>
      </c>
      <c r="V60" s="221">
        <v>2.173643835616438</v>
      </c>
      <c r="W60" s="221">
        <v>1.0153260273972602</v>
      </c>
      <c r="X60" s="221"/>
      <c r="Y60" s="221">
        <v>49.686</v>
      </c>
      <c r="Z60" s="221">
        <v>12.778888356164384</v>
      </c>
      <c r="AA60" s="221"/>
      <c r="AB60" s="221">
        <v>47.415999999999997</v>
      </c>
      <c r="AC60" s="221">
        <v>17.995048630136989</v>
      </c>
      <c r="AD60" s="221">
        <v>5.0841000000000003</v>
      </c>
      <c r="AE60" s="221">
        <v>15.533536986301369</v>
      </c>
      <c r="AF60" s="221"/>
      <c r="AG60" s="221">
        <v>56.736874657534244</v>
      </c>
      <c r="AH60" s="221"/>
      <c r="AI60" s="221"/>
      <c r="AJ60" s="221">
        <v>31.892340410958905</v>
      </c>
      <c r="AK60" s="221">
        <v>1.8719102739726023</v>
      </c>
      <c r="AL60" s="221">
        <v>3.0766054794520548</v>
      </c>
      <c r="AM60" s="221"/>
      <c r="AN60" s="221"/>
      <c r="AO60" s="221">
        <v>13.494039041095892</v>
      </c>
      <c r="AP60" s="221">
        <v>333.15519999999998</v>
      </c>
      <c r="AQ60" s="221"/>
      <c r="AR60" s="221"/>
      <c r="AS60" s="221"/>
      <c r="AT60" s="221"/>
      <c r="AU60" s="221"/>
      <c r="AV60" s="221">
        <v>43.7699</v>
      </c>
      <c r="AW60" s="221">
        <v>47.414659999999998</v>
      </c>
      <c r="AX60" s="221"/>
      <c r="AY60" s="221">
        <v>29.984221917808224</v>
      </c>
      <c r="AZ60" s="221"/>
      <c r="BA60" s="221"/>
      <c r="BB60" s="221"/>
      <c r="BC60" s="221"/>
      <c r="BD60" s="221">
        <v>8.7078561643835624</v>
      </c>
      <c r="BE60" s="221">
        <v>31.605599999999999</v>
      </c>
      <c r="BF60" s="221">
        <v>38.044707534246584</v>
      </c>
      <c r="BG60" s="221">
        <v>31.406986301369869</v>
      </c>
      <c r="BH60" s="221">
        <v>101.39234863013698</v>
      </c>
      <c r="BI60" s="221">
        <v>11.683999999999999</v>
      </c>
      <c r="BJ60" s="221">
        <v>19.300726027397261</v>
      </c>
      <c r="BK60" s="221">
        <v>64.900965068493164</v>
      </c>
      <c r="BL60" s="221">
        <v>54.732405479452055</v>
      </c>
      <c r="BM60" s="221"/>
      <c r="BN60" s="221">
        <v>24.986999999999998</v>
      </c>
      <c r="BO60" s="221"/>
      <c r="BP60" s="221">
        <v>6.8949999999999996</v>
      </c>
      <c r="BQ60" s="221"/>
      <c r="BR60" s="221">
        <v>19.16</v>
      </c>
      <c r="BS60" s="221">
        <v>4.24</v>
      </c>
      <c r="BT60" s="221"/>
      <c r="BU60" s="221"/>
      <c r="BV60" s="221">
        <v>55.621000000000002</v>
      </c>
      <c r="BW60" s="221">
        <v>3.9999821917808216</v>
      </c>
      <c r="BX60" s="221">
        <v>43.296826712328773</v>
      </c>
      <c r="BY60" s="221">
        <v>15.904</v>
      </c>
      <c r="BZ60" s="221">
        <v>4.8460000000000001</v>
      </c>
      <c r="CA60" s="221"/>
      <c r="CB60" s="221">
        <v>0.11</v>
      </c>
      <c r="CC60" s="221">
        <v>12.8065</v>
      </c>
      <c r="CD60" s="249" t="s">
        <v>221</v>
      </c>
      <c r="CE60" s="251">
        <f t="shared" ref="CE60:CE70" si="0">SUM(C60:CD60)</f>
        <v>1704.2214647945209</v>
      </c>
    </row>
    <row r="61" spans="1:84" ht="12.6" customHeight="1" x14ac:dyDescent="0.25">
      <c r="A61" s="171" t="s">
        <v>235</v>
      </c>
      <c r="B61" s="175"/>
      <c r="C61" s="184">
        <v>2617424</v>
      </c>
      <c r="D61" s="184"/>
      <c r="E61" s="184">
        <v>14328574</v>
      </c>
      <c r="F61" s="185">
        <v>2757759</v>
      </c>
      <c r="G61" s="184"/>
      <c r="H61" s="184">
        <v>2293459</v>
      </c>
      <c r="I61" s="185"/>
      <c r="J61" s="185">
        <v>582795</v>
      </c>
      <c r="K61" s="185"/>
      <c r="L61" s="185"/>
      <c r="M61" s="184"/>
      <c r="N61" s="184"/>
      <c r="O61" s="184">
        <v>1623693</v>
      </c>
      <c r="P61" s="185">
        <v>3171379</v>
      </c>
      <c r="Q61" s="185">
        <v>1803933</v>
      </c>
      <c r="R61" s="185">
        <v>121969</v>
      </c>
      <c r="S61" s="185">
        <v>1019273</v>
      </c>
      <c r="T61" s="185">
        <v>500636</v>
      </c>
      <c r="U61" s="185">
        <v>2493326</v>
      </c>
      <c r="V61" s="185">
        <v>130145</v>
      </c>
      <c r="W61" s="185">
        <v>110130</v>
      </c>
      <c r="X61" s="185"/>
      <c r="Y61" s="185">
        <v>3325202</v>
      </c>
      <c r="Z61" s="185">
        <v>1244148</v>
      </c>
      <c r="AA61" s="185"/>
      <c r="AB61" s="185">
        <v>4697573</v>
      </c>
      <c r="AC61" s="185">
        <v>1391838</v>
      </c>
      <c r="AD61" s="185">
        <v>542454</v>
      </c>
      <c r="AE61" s="185">
        <v>1267403</v>
      </c>
      <c r="AF61" s="185"/>
      <c r="AG61" s="185">
        <v>4986621</v>
      </c>
      <c r="AH61" s="185"/>
      <c r="AI61" s="185"/>
      <c r="AJ61" s="185">
        <f>634357+2297150-110080</f>
        <v>2821427</v>
      </c>
      <c r="AK61" s="185">
        <v>177080</v>
      </c>
      <c r="AL61" s="185">
        <v>282386</v>
      </c>
      <c r="AM61" s="185"/>
      <c r="AN61" s="185"/>
      <c r="AO61" s="185">
        <v>862763</v>
      </c>
      <c r="AP61" s="185">
        <v>59776301</v>
      </c>
      <c r="AQ61" s="185"/>
      <c r="AR61" s="185"/>
      <c r="AS61" s="185"/>
      <c r="AT61" s="185"/>
      <c r="AU61" s="185"/>
      <c r="AV61" s="185">
        <f>437135+1559599+449609+753883+470009+351633</f>
        <v>4021868</v>
      </c>
      <c r="AW61" s="185">
        <v>3230333</v>
      </c>
      <c r="AX61" s="185"/>
      <c r="AY61" s="185">
        <v>1230904</v>
      </c>
      <c r="AZ61" s="185"/>
      <c r="BA61" s="185"/>
      <c r="BB61" s="185"/>
      <c r="BC61" s="185"/>
      <c r="BD61" s="185">
        <v>617279</v>
      </c>
      <c r="BE61" s="185">
        <v>2081488</v>
      </c>
      <c r="BF61" s="185">
        <v>1429512</v>
      </c>
      <c r="BG61" s="185">
        <v>1312276</v>
      </c>
      <c r="BH61" s="185">
        <v>9839146</v>
      </c>
      <c r="BI61" s="185">
        <f>39939+592240</f>
        <v>632179</v>
      </c>
      <c r="BJ61" s="185">
        <v>1657362</v>
      </c>
      <c r="BK61" s="185">
        <v>3315908</v>
      </c>
      <c r="BL61" s="185">
        <f>39494+2695680</f>
        <v>2735174</v>
      </c>
      <c r="BM61" s="185"/>
      <c r="BN61" s="185">
        <f>1339397+3197368</f>
        <v>4536765</v>
      </c>
      <c r="BO61" s="185">
        <v>228805</v>
      </c>
      <c r="BP61" s="185">
        <v>438714</v>
      </c>
      <c r="BQ61" s="185"/>
      <c r="BR61" s="185">
        <v>1420068</v>
      </c>
      <c r="BS61" s="185">
        <v>333998</v>
      </c>
      <c r="BT61" s="185"/>
      <c r="BU61" s="185"/>
      <c r="BV61" s="185">
        <f>154898+2652266</f>
        <v>2807164</v>
      </c>
      <c r="BW61" s="185">
        <v>343143</v>
      </c>
      <c r="BX61" s="185">
        <f>617623+3761116</f>
        <v>4378739</v>
      </c>
      <c r="BY61" s="185">
        <v>760101</v>
      </c>
      <c r="BZ61" s="185">
        <f>13788+427023</f>
        <v>440811</v>
      </c>
      <c r="CA61" s="185"/>
      <c r="CB61" s="185">
        <v>9380</v>
      </c>
      <c r="CC61" s="185">
        <f>95976+3757777+6377+358941</f>
        <v>4219071</v>
      </c>
      <c r="CD61" s="249" t="s">
        <v>221</v>
      </c>
      <c r="CE61" s="195">
        <f t="shared" si="0"/>
        <v>166949879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630171</v>
      </c>
      <c r="D62" s="195">
        <f t="shared" si="1"/>
        <v>0</v>
      </c>
      <c r="E62" s="195">
        <f t="shared" si="1"/>
        <v>3449748</v>
      </c>
      <c r="F62" s="195">
        <f t="shared" si="1"/>
        <v>663958</v>
      </c>
      <c r="G62" s="195">
        <f t="shared" si="1"/>
        <v>0</v>
      </c>
      <c r="H62" s="195">
        <f t="shared" si="1"/>
        <v>552173</v>
      </c>
      <c r="I62" s="195">
        <f t="shared" si="1"/>
        <v>0</v>
      </c>
      <c r="J62" s="195">
        <f>ROUND(J47+J48,0)</f>
        <v>140314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390920</v>
      </c>
      <c r="P62" s="195">
        <f t="shared" si="1"/>
        <v>763541</v>
      </c>
      <c r="Q62" s="195">
        <f t="shared" si="1"/>
        <v>434315</v>
      </c>
      <c r="R62" s="195">
        <f t="shared" si="1"/>
        <v>29365</v>
      </c>
      <c r="S62" s="195">
        <f t="shared" si="1"/>
        <v>245400</v>
      </c>
      <c r="T62" s="195">
        <f t="shared" si="1"/>
        <v>120533</v>
      </c>
      <c r="U62" s="195">
        <f t="shared" si="1"/>
        <v>600293</v>
      </c>
      <c r="V62" s="195">
        <f t="shared" si="1"/>
        <v>31334</v>
      </c>
      <c r="W62" s="195">
        <f t="shared" si="1"/>
        <v>26515</v>
      </c>
      <c r="X62" s="195">
        <f t="shared" si="1"/>
        <v>0</v>
      </c>
      <c r="Y62" s="195">
        <f t="shared" si="1"/>
        <v>800576</v>
      </c>
      <c r="Z62" s="195">
        <f t="shared" si="1"/>
        <v>299541</v>
      </c>
      <c r="AA62" s="195">
        <f t="shared" si="1"/>
        <v>0</v>
      </c>
      <c r="AB62" s="195">
        <f t="shared" si="1"/>
        <v>1130988</v>
      </c>
      <c r="AC62" s="195">
        <f t="shared" si="1"/>
        <v>335099</v>
      </c>
      <c r="AD62" s="195">
        <f t="shared" si="1"/>
        <v>130601</v>
      </c>
      <c r="AE62" s="195">
        <f t="shared" si="1"/>
        <v>305140</v>
      </c>
      <c r="AF62" s="195">
        <f t="shared" si="1"/>
        <v>0</v>
      </c>
      <c r="AG62" s="195">
        <f t="shared" si="1"/>
        <v>1200579</v>
      </c>
      <c r="AH62" s="195">
        <f t="shared" si="1"/>
        <v>0</v>
      </c>
      <c r="AI62" s="195">
        <f t="shared" si="1"/>
        <v>0</v>
      </c>
      <c r="AJ62" s="195">
        <f t="shared" si="1"/>
        <v>679287</v>
      </c>
      <c r="AK62" s="195">
        <f t="shared" si="1"/>
        <v>42634</v>
      </c>
      <c r="AL62" s="195">
        <f t="shared" si="1"/>
        <v>67987</v>
      </c>
      <c r="AM62" s="195">
        <f t="shared" si="1"/>
        <v>0</v>
      </c>
      <c r="AN62" s="195">
        <f t="shared" si="1"/>
        <v>0</v>
      </c>
      <c r="AO62" s="195">
        <f t="shared" si="1"/>
        <v>207719</v>
      </c>
      <c r="AP62" s="195">
        <f t="shared" si="1"/>
        <v>14391746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968305</v>
      </c>
      <c r="AW62" s="195">
        <f t="shared" si="1"/>
        <v>777735</v>
      </c>
      <c r="AX62" s="195">
        <f t="shared" si="1"/>
        <v>0</v>
      </c>
      <c r="AY62" s="195">
        <f>ROUND(AY47+AY48,0)</f>
        <v>296353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148616</v>
      </c>
      <c r="BE62" s="195">
        <f t="shared" si="1"/>
        <v>501139</v>
      </c>
      <c r="BF62" s="195">
        <f t="shared" si="1"/>
        <v>344169</v>
      </c>
      <c r="BG62" s="195">
        <f t="shared" si="1"/>
        <v>315944</v>
      </c>
      <c r="BH62" s="195">
        <f t="shared" si="1"/>
        <v>2368873</v>
      </c>
      <c r="BI62" s="195">
        <f t="shared" si="1"/>
        <v>152203</v>
      </c>
      <c r="BJ62" s="195">
        <f t="shared" si="1"/>
        <v>399027</v>
      </c>
      <c r="BK62" s="195">
        <f t="shared" si="1"/>
        <v>798338</v>
      </c>
      <c r="BL62" s="195">
        <f t="shared" si="1"/>
        <v>658521</v>
      </c>
      <c r="BM62" s="195">
        <f t="shared" si="1"/>
        <v>0</v>
      </c>
      <c r="BN62" s="195">
        <f t="shared" si="1"/>
        <v>1092272</v>
      </c>
      <c r="BO62" s="195">
        <f t="shared" ref="BO62:CC62" si="2">ROUND(BO47+BO48,0)</f>
        <v>55087</v>
      </c>
      <c r="BP62" s="195">
        <f t="shared" si="2"/>
        <v>105625</v>
      </c>
      <c r="BQ62" s="195">
        <f t="shared" si="2"/>
        <v>0</v>
      </c>
      <c r="BR62" s="195">
        <f t="shared" si="2"/>
        <v>341896</v>
      </c>
      <c r="BS62" s="195">
        <f t="shared" si="2"/>
        <v>80413</v>
      </c>
      <c r="BT62" s="195">
        <f t="shared" si="2"/>
        <v>0</v>
      </c>
      <c r="BU62" s="195">
        <f t="shared" si="2"/>
        <v>0</v>
      </c>
      <c r="BV62" s="195">
        <f t="shared" si="2"/>
        <v>675853</v>
      </c>
      <c r="BW62" s="195">
        <f t="shared" si="2"/>
        <v>82615</v>
      </c>
      <c r="BX62" s="195">
        <f t="shared" si="2"/>
        <v>1054225</v>
      </c>
      <c r="BY62" s="195">
        <f t="shared" si="2"/>
        <v>183002</v>
      </c>
      <c r="BZ62" s="195">
        <f t="shared" si="2"/>
        <v>106130</v>
      </c>
      <c r="CA62" s="195">
        <f t="shared" si="2"/>
        <v>0</v>
      </c>
      <c r="CB62" s="195">
        <f t="shared" si="2"/>
        <v>2258</v>
      </c>
      <c r="CC62" s="195">
        <f t="shared" si="2"/>
        <v>1015784</v>
      </c>
      <c r="CD62" s="249" t="s">
        <v>221</v>
      </c>
      <c r="CE62" s="195">
        <f t="shared" si="0"/>
        <v>40194860</v>
      </c>
      <c r="CF62" s="252"/>
    </row>
    <row r="63" spans="1:84" ht="12.6" customHeight="1" x14ac:dyDescent="0.25">
      <c r="A63" s="171" t="s">
        <v>236</v>
      </c>
      <c r="B63" s="175"/>
      <c r="C63" s="184">
        <v>47315.02</v>
      </c>
      <c r="D63" s="184"/>
      <c r="E63" s="184">
        <v>568158</v>
      </c>
      <c r="F63" s="185">
        <v>78883</v>
      </c>
      <c r="G63" s="184"/>
      <c r="H63" s="184">
        <v>1800</v>
      </c>
      <c r="I63" s="185"/>
      <c r="J63" s="185">
        <v>743829</v>
      </c>
      <c r="K63" s="185"/>
      <c r="L63" s="185"/>
      <c r="M63" s="184"/>
      <c r="N63" s="184"/>
      <c r="O63" s="184">
        <v>386422</v>
      </c>
      <c r="P63" s="185">
        <v>361738</v>
      </c>
      <c r="Q63" s="185">
        <v>805</v>
      </c>
      <c r="R63" s="185">
        <v>602083</v>
      </c>
      <c r="S63" s="185">
        <v>70966</v>
      </c>
      <c r="T63" s="185"/>
      <c r="U63" s="185">
        <v>443673</v>
      </c>
      <c r="V63" s="185"/>
      <c r="W63" s="185">
        <v>12600</v>
      </c>
      <c r="X63" s="185">
        <v>12600</v>
      </c>
      <c r="Y63" s="185">
        <v>132559</v>
      </c>
      <c r="Z63" s="185">
        <v>58903</v>
      </c>
      <c r="AA63" s="185"/>
      <c r="AB63" s="185"/>
      <c r="AC63" s="185">
        <v>5075</v>
      </c>
      <c r="AD63" s="185">
        <v>34323</v>
      </c>
      <c r="AE63" s="185"/>
      <c r="AF63" s="185"/>
      <c r="AG63" s="185">
        <v>571640</v>
      </c>
      <c r="AH63" s="185"/>
      <c r="AI63" s="185"/>
      <c r="AJ63" s="185">
        <v>2404999</v>
      </c>
      <c r="AK63" s="185"/>
      <c r="AL63" s="185"/>
      <c r="AM63" s="185"/>
      <c r="AN63" s="185"/>
      <c r="AO63" s="185"/>
      <c r="AP63" s="185">
        <v>5690622</v>
      </c>
      <c r="AQ63" s="185"/>
      <c r="AR63" s="185"/>
      <c r="AS63" s="185"/>
      <c r="AT63" s="185"/>
      <c r="AU63" s="185"/>
      <c r="AV63" s="185"/>
      <c r="AW63" s="185">
        <v>114481</v>
      </c>
      <c r="AX63" s="185"/>
      <c r="AY63" s="185"/>
      <c r="AZ63" s="185"/>
      <c r="BA63" s="185"/>
      <c r="BB63" s="185"/>
      <c r="BC63" s="185"/>
      <c r="BD63" s="185"/>
      <c r="BE63" s="185">
        <v>140976</v>
      </c>
      <c r="BF63" s="185"/>
      <c r="BG63" s="185"/>
      <c r="BH63" s="185">
        <v>1637524.02</v>
      </c>
      <c r="BI63" s="185"/>
      <c r="BJ63" s="185">
        <v>23402.25</v>
      </c>
      <c r="BK63" s="185"/>
      <c r="BL63" s="185"/>
      <c r="BM63" s="185"/>
      <c r="BN63" s="185">
        <v>241718</v>
      </c>
      <c r="BO63" s="185"/>
      <c r="BP63" s="185"/>
      <c r="BQ63" s="185"/>
      <c r="BR63" s="185">
        <v>106293</v>
      </c>
      <c r="BS63" s="185"/>
      <c r="BT63" s="185"/>
      <c r="BU63" s="185"/>
      <c r="BV63" s="185">
        <v>206946</v>
      </c>
      <c r="BW63" s="185">
        <v>134425</v>
      </c>
      <c r="BX63" s="185">
        <v>193228</v>
      </c>
      <c r="BY63" s="185">
        <v>-6800</v>
      </c>
      <c r="BZ63" s="185">
        <v>84504</v>
      </c>
      <c r="CA63" s="185"/>
      <c r="CB63" s="185"/>
      <c r="CC63" s="185">
        <f>781138+301529</f>
        <v>1082667</v>
      </c>
      <c r="CD63" s="249" t="s">
        <v>221</v>
      </c>
      <c r="CE63" s="195">
        <f t="shared" si="0"/>
        <v>16188357.289999999</v>
      </c>
      <c r="CF63" s="252"/>
    </row>
    <row r="64" spans="1:84" ht="12.6" customHeight="1" x14ac:dyDescent="0.25">
      <c r="A64" s="171" t="s">
        <v>237</v>
      </c>
      <c r="B64" s="175"/>
      <c r="C64" s="184">
        <v>398901</v>
      </c>
      <c r="D64" s="184"/>
      <c r="E64" s="185">
        <v>1240443</v>
      </c>
      <c r="F64" s="185">
        <v>165325</v>
      </c>
      <c r="G64" s="184"/>
      <c r="H64" s="184">
        <v>32497</v>
      </c>
      <c r="I64" s="185"/>
      <c r="J64" s="185">
        <v>55885</v>
      </c>
      <c r="K64" s="185"/>
      <c r="L64" s="185"/>
      <c r="M64" s="184"/>
      <c r="N64" s="184"/>
      <c r="O64" s="184">
        <v>210648</v>
      </c>
      <c r="P64" s="185">
        <v>10347740</v>
      </c>
      <c r="Q64" s="185">
        <v>343196</v>
      </c>
      <c r="R64" s="185">
        <v>329999</v>
      </c>
      <c r="S64" s="185">
        <v>343729</v>
      </c>
      <c r="T64" s="185">
        <v>107328</v>
      </c>
      <c r="U64" s="185">
        <v>3897545</v>
      </c>
      <c r="V64" s="185">
        <v>64133</v>
      </c>
      <c r="W64" s="185">
        <v>55448</v>
      </c>
      <c r="X64" s="185">
        <v>69838</v>
      </c>
      <c r="Y64" s="185">
        <v>6577539</v>
      </c>
      <c r="Z64" s="185">
        <v>35584</v>
      </c>
      <c r="AA64" s="185">
        <v>160085</v>
      </c>
      <c r="AB64" s="185">
        <v>28686982</v>
      </c>
      <c r="AC64" s="185">
        <v>185509</v>
      </c>
      <c r="AD64" s="185">
        <v>83079</v>
      </c>
      <c r="AE64" s="185">
        <v>21300</v>
      </c>
      <c r="AF64" s="185"/>
      <c r="AG64" s="185">
        <v>738862</v>
      </c>
      <c r="AH64" s="185"/>
      <c r="AI64" s="185"/>
      <c r="AJ64" s="185">
        <f>252965+395306</f>
        <v>648271</v>
      </c>
      <c r="AK64" s="185">
        <v>2271</v>
      </c>
      <c r="AL64" s="185">
        <v>1928</v>
      </c>
      <c r="AM64" s="185"/>
      <c r="AN64" s="185"/>
      <c r="AO64" s="185">
        <v>128786</v>
      </c>
      <c r="AP64" s="185">
        <f>252049+3947698+36105</f>
        <v>4235852</v>
      </c>
      <c r="AQ64" s="185"/>
      <c r="AR64" s="185"/>
      <c r="AS64" s="185"/>
      <c r="AT64" s="185"/>
      <c r="AU64" s="185"/>
      <c r="AV64" s="185">
        <f>64746+963689+72138+47</f>
        <v>1100620</v>
      </c>
      <c r="AW64" s="185">
        <v>96057</v>
      </c>
      <c r="AX64" s="185">
        <f>49+20614</f>
        <v>20663</v>
      </c>
      <c r="AY64" s="185">
        <v>-478522</v>
      </c>
      <c r="AZ64" s="185"/>
      <c r="BA64" s="185">
        <v>961</v>
      </c>
      <c r="BB64" s="185"/>
      <c r="BC64" s="185"/>
      <c r="BD64" s="185">
        <v>45881</v>
      </c>
      <c r="BE64" s="185">
        <v>314885</v>
      </c>
      <c r="BF64" s="185">
        <v>192658</v>
      </c>
      <c r="BG64" s="185">
        <v>5238</v>
      </c>
      <c r="BH64" s="185">
        <v>410833</v>
      </c>
      <c r="BI64" s="185">
        <f>1668+181300</f>
        <v>182968</v>
      </c>
      <c r="BJ64" s="185">
        <v>10708</v>
      </c>
      <c r="BK64" s="185">
        <f>2590+18391</f>
        <v>20981</v>
      </c>
      <c r="BL64" s="185">
        <f>701+24467</f>
        <v>25168</v>
      </c>
      <c r="BM64" s="185"/>
      <c r="BN64" s="185">
        <f>15277+65340</f>
        <v>80617</v>
      </c>
      <c r="BO64" s="185">
        <v>10435</v>
      </c>
      <c r="BP64" s="185">
        <v>16478</v>
      </c>
      <c r="BQ64" s="185"/>
      <c r="BR64" s="185">
        <f>88376</f>
        <v>88376</v>
      </c>
      <c r="BS64" s="185">
        <v>22900</v>
      </c>
      <c r="BT64" s="185"/>
      <c r="BU64" s="185"/>
      <c r="BV64" s="185">
        <f>5428+20746</f>
        <v>26174</v>
      </c>
      <c r="BW64" s="185">
        <f>52+25182</f>
        <v>25234</v>
      </c>
      <c r="BX64" s="185">
        <f>16575+21818</f>
        <v>38393</v>
      </c>
      <c r="BY64" s="185">
        <v>23022</v>
      </c>
      <c r="BZ64" s="185">
        <v>148</v>
      </c>
      <c r="CA64" s="185"/>
      <c r="CB64" s="185">
        <v>115</v>
      </c>
      <c r="CC64" s="185">
        <f>316879+869-19865</f>
        <v>297883</v>
      </c>
      <c r="CD64" s="249" t="s">
        <v>221</v>
      </c>
      <c r="CE64" s="195">
        <f t="shared" si="0"/>
        <v>61747577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>
        <v>2830</v>
      </c>
      <c r="AE65" s="185"/>
      <c r="AF65" s="185"/>
      <c r="AG65" s="185"/>
      <c r="AH65" s="185"/>
      <c r="AI65" s="185"/>
      <c r="AJ65" s="185">
        <v>870</v>
      </c>
      <c r="AK65" s="185"/>
      <c r="AL65" s="185"/>
      <c r="AM65" s="185"/>
      <c r="AN65" s="185"/>
      <c r="AO65" s="185"/>
      <c r="AP65" s="185">
        <v>743922</v>
      </c>
      <c r="AQ65" s="185"/>
      <c r="AR65" s="185"/>
      <c r="AS65" s="185"/>
      <c r="AT65" s="185"/>
      <c r="AU65" s="185"/>
      <c r="AV65" s="185"/>
      <c r="AW65" s="185"/>
      <c r="AX65" s="185"/>
      <c r="AY65" s="185">
        <v>104</v>
      </c>
      <c r="AZ65" s="185"/>
      <c r="BA65" s="185"/>
      <c r="BB65" s="185"/>
      <c r="BC65" s="185"/>
      <c r="BD65" s="185">
        <v>38</v>
      </c>
      <c r="BE65" s="185"/>
      <c r="BF65" s="185"/>
      <c r="BG65" s="185"/>
      <c r="BH65" s="185">
        <v>10323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2287085</v>
      </c>
      <c r="CD65" s="249" t="s">
        <v>221</v>
      </c>
      <c r="CE65" s="195">
        <f t="shared" si="0"/>
        <v>3045172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3495</v>
      </c>
      <c r="F66" s="184">
        <v>22224</v>
      </c>
      <c r="G66" s="184"/>
      <c r="H66" s="184"/>
      <c r="I66" s="184"/>
      <c r="J66" s="184">
        <v>12277</v>
      </c>
      <c r="K66" s="185"/>
      <c r="L66" s="185"/>
      <c r="M66" s="184"/>
      <c r="N66" s="184"/>
      <c r="O66" s="185">
        <v>1211</v>
      </c>
      <c r="P66" s="185">
        <v>595152</v>
      </c>
      <c r="Q66" s="185"/>
      <c r="R66" s="185">
        <v>1974</v>
      </c>
      <c r="S66" s="184">
        <v>35150</v>
      </c>
      <c r="T66" s="184">
        <v>921</v>
      </c>
      <c r="U66" s="185">
        <v>2714335</v>
      </c>
      <c r="V66" s="185">
        <v>1253</v>
      </c>
      <c r="W66" s="185">
        <v>2123660</v>
      </c>
      <c r="X66" s="185">
        <v>4969071</v>
      </c>
      <c r="Y66" s="185">
        <v>2804473</v>
      </c>
      <c r="Z66" s="185">
        <v>1273665</v>
      </c>
      <c r="AA66" s="185">
        <v>1148739</v>
      </c>
      <c r="AB66" s="185">
        <v>240404</v>
      </c>
      <c r="AC66" s="185">
        <v>23943</v>
      </c>
      <c r="AD66" s="185">
        <v>15774</v>
      </c>
      <c r="AE66" s="185">
        <v>409</v>
      </c>
      <c r="AF66" s="185"/>
      <c r="AG66" s="185">
        <v>12604</v>
      </c>
      <c r="AH66" s="185"/>
      <c r="AI66" s="185"/>
      <c r="AJ66" s="185">
        <f>9147+27637</f>
        <v>36784</v>
      </c>
      <c r="AK66" s="185"/>
      <c r="AL66" s="185">
        <v>110</v>
      </c>
      <c r="AM66" s="185"/>
      <c r="AN66" s="185"/>
      <c r="AO66" s="185"/>
      <c r="AP66" s="185">
        <v>1596610</v>
      </c>
      <c r="AQ66" s="185"/>
      <c r="AR66" s="185"/>
      <c r="AS66" s="185"/>
      <c r="AT66" s="185"/>
      <c r="AU66" s="185"/>
      <c r="AV66" s="185">
        <f>75044+102429+2894827</f>
        <v>3072300</v>
      </c>
      <c r="AW66" s="185">
        <v>19460</v>
      </c>
      <c r="AX66" s="185">
        <v>64759</v>
      </c>
      <c r="AY66" s="185">
        <v>1085900</v>
      </c>
      <c r="AZ66" s="185"/>
      <c r="BA66" s="185">
        <f>39144+814330</f>
        <v>853474</v>
      </c>
      <c r="BB66" s="185"/>
      <c r="BC66" s="185">
        <v>31935</v>
      </c>
      <c r="BD66" s="185">
        <v>70741</v>
      </c>
      <c r="BE66" s="185">
        <v>2724037</v>
      </c>
      <c r="BF66" s="185">
        <v>415769</v>
      </c>
      <c r="BG66" s="185">
        <v>2728</v>
      </c>
      <c r="BH66" s="185">
        <v>9528488</v>
      </c>
      <c r="BI66" s="185">
        <v>1210</v>
      </c>
      <c r="BJ66" s="185">
        <v>10412</v>
      </c>
      <c r="BK66" s="185">
        <f>707+706277</f>
        <v>706984</v>
      </c>
      <c r="BL66" s="185">
        <v>150424</v>
      </c>
      <c r="BM66" s="185"/>
      <c r="BN66" s="185">
        <f>161224+192476</f>
        <v>353700</v>
      </c>
      <c r="BO66" s="185"/>
      <c r="BP66" s="185">
        <v>1342298</v>
      </c>
      <c r="BQ66" s="185"/>
      <c r="BR66" s="185">
        <v>527193</v>
      </c>
      <c r="BS66" s="185">
        <v>518</v>
      </c>
      <c r="BT66" s="185"/>
      <c r="BU66" s="185"/>
      <c r="BV66" s="185">
        <v>130459</v>
      </c>
      <c r="BW66" s="185">
        <v>74761</v>
      </c>
      <c r="BX66" s="185">
        <f>18000+697628</f>
        <v>715628</v>
      </c>
      <c r="BY66" s="185">
        <v>650</v>
      </c>
      <c r="BZ66" s="185"/>
      <c r="CA66" s="185"/>
      <c r="CB66" s="185"/>
      <c r="CC66" s="185">
        <f>625649+228225+136282</f>
        <v>990156</v>
      </c>
      <c r="CD66" s="249" t="s">
        <v>221</v>
      </c>
      <c r="CE66" s="195">
        <f t="shared" si="0"/>
        <v>40508222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83381</v>
      </c>
      <c r="D67" s="195">
        <f>ROUND(D51+D52,0)</f>
        <v>0</v>
      </c>
      <c r="E67" s="195">
        <f t="shared" ref="E67:BP67" si="3">ROUND(E51+E52,0)</f>
        <v>804468</v>
      </c>
      <c r="F67" s="195">
        <f t="shared" si="3"/>
        <v>283014</v>
      </c>
      <c r="G67" s="195">
        <f t="shared" si="3"/>
        <v>0</v>
      </c>
      <c r="H67" s="195">
        <f t="shared" si="3"/>
        <v>148273</v>
      </c>
      <c r="I67" s="195">
        <f t="shared" si="3"/>
        <v>0</v>
      </c>
      <c r="J67" s="195">
        <f>ROUND(J51+J52,0)</f>
        <v>17191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31531</v>
      </c>
      <c r="P67" s="195">
        <f t="shared" si="3"/>
        <v>322651</v>
      </c>
      <c r="Q67" s="195">
        <f t="shared" si="3"/>
        <v>122848</v>
      </c>
      <c r="R67" s="195">
        <f t="shared" si="3"/>
        <v>6617</v>
      </c>
      <c r="S67" s="195">
        <f t="shared" si="3"/>
        <v>122146</v>
      </c>
      <c r="T67" s="195">
        <f t="shared" si="3"/>
        <v>4000</v>
      </c>
      <c r="U67" s="195">
        <f t="shared" si="3"/>
        <v>151698</v>
      </c>
      <c r="V67" s="195">
        <f t="shared" si="3"/>
        <v>0</v>
      </c>
      <c r="W67" s="195">
        <f t="shared" si="3"/>
        <v>43467</v>
      </c>
      <c r="X67" s="195">
        <f t="shared" si="3"/>
        <v>35297</v>
      </c>
      <c r="Y67" s="195">
        <f t="shared" si="3"/>
        <v>287099</v>
      </c>
      <c r="Z67" s="195">
        <f t="shared" si="3"/>
        <v>139039</v>
      </c>
      <c r="AA67" s="195">
        <f t="shared" si="3"/>
        <v>40020</v>
      </c>
      <c r="AB67" s="195">
        <f t="shared" si="3"/>
        <v>167464</v>
      </c>
      <c r="AC67" s="195">
        <f t="shared" si="3"/>
        <v>36084</v>
      </c>
      <c r="AD67" s="195">
        <f t="shared" si="3"/>
        <v>134550</v>
      </c>
      <c r="AE67" s="195">
        <f t="shared" si="3"/>
        <v>45339</v>
      </c>
      <c r="AF67" s="195">
        <f t="shared" si="3"/>
        <v>0</v>
      </c>
      <c r="AG67" s="195">
        <f t="shared" si="3"/>
        <v>202101</v>
      </c>
      <c r="AH67" s="195">
        <f t="shared" si="3"/>
        <v>0</v>
      </c>
      <c r="AI67" s="195">
        <f t="shared" si="3"/>
        <v>0</v>
      </c>
      <c r="AJ67" s="195">
        <f t="shared" si="3"/>
        <v>366586</v>
      </c>
      <c r="AK67" s="195">
        <f t="shared" si="3"/>
        <v>5659</v>
      </c>
      <c r="AL67" s="195">
        <f t="shared" si="3"/>
        <v>2681</v>
      </c>
      <c r="AM67" s="195">
        <f t="shared" si="3"/>
        <v>0</v>
      </c>
      <c r="AN67" s="195">
        <f t="shared" si="3"/>
        <v>0</v>
      </c>
      <c r="AO67" s="195">
        <f t="shared" si="3"/>
        <v>51999</v>
      </c>
      <c r="AP67" s="195">
        <f t="shared" si="3"/>
        <v>4333925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490348</v>
      </c>
      <c r="AW67" s="195">
        <f t="shared" si="3"/>
        <v>0</v>
      </c>
      <c r="AX67" s="195">
        <f t="shared" si="3"/>
        <v>0</v>
      </c>
      <c r="AY67" s="195">
        <f t="shared" si="3"/>
        <v>189633</v>
      </c>
      <c r="AZ67" s="195">
        <f>ROUND(AZ51+AZ52,0)</f>
        <v>0</v>
      </c>
      <c r="BA67" s="195">
        <f>ROUND(BA51+BA52,0)</f>
        <v>26701</v>
      </c>
      <c r="BB67" s="195">
        <f t="shared" si="3"/>
        <v>0</v>
      </c>
      <c r="BC67" s="195">
        <f t="shared" si="3"/>
        <v>0</v>
      </c>
      <c r="BD67" s="195">
        <f t="shared" si="3"/>
        <v>129145</v>
      </c>
      <c r="BE67" s="195">
        <f t="shared" si="3"/>
        <v>4767275</v>
      </c>
      <c r="BF67" s="195">
        <f t="shared" si="3"/>
        <v>71913</v>
      </c>
      <c r="BG67" s="195">
        <f t="shared" si="3"/>
        <v>0</v>
      </c>
      <c r="BH67" s="195">
        <f t="shared" si="3"/>
        <v>189612</v>
      </c>
      <c r="BI67" s="195">
        <f t="shared" si="3"/>
        <v>32233</v>
      </c>
      <c r="BJ67" s="195">
        <f t="shared" si="3"/>
        <v>208526</v>
      </c>
      <c r="BK67" s="195">
        <f t="shared" si="3"/>
        <v>41467</v>
      </c>
      <c r="BL67" s="195">
        <f t="shared" si="3"/>
        <v>58062</v>
      </c>
      <c r="BM67" s="195">
        <f t="shared" si="3"/>
        <v>0</v>
      </c>
      <c r="BN67" s="195">
        <f t="shared" si="3"/>
        <v>106635</v>
      </c>
      <c r="BO67" s="195">
        <f t="shared" si="3"/>
        <v>0</v>
      </c>
      <c r="BP67" s="195">
        <f t="shared" si="3"/>
        <v>9936</v>
      </c>
      <c r="BQ67" s="195">
        <f t="shared" ref="BQ67:CC67" si="4">ROUND(BQ51+BQ52,0)</f>
        <v>0</v>
      </c>
      <c r="BR67" s="195">
        <f t="shared" si="4"/>
        <v>75828</v>
      </c>
      <c r="BS67" s="195">
        <f t="shared" si="4"/>
        <v>80934</v>
      </c>
      <c r="BT67" s="195">
        <f t="shared" si="4"/>
        <v>0</v>
      </c>
      <c r="BU67" s="195">
        <f t="shared" si="4"/>
        <v>0</v>
      </c>
      <c r="BV67" s="195">
        <f t="shared" si="4"/>
        <v>144039</v>
      </c>
      <c r="BW67" s="195">
        <f t="shared" si="4"/>
        <v>21191</v>
      </c>
      <c r="BX67" s="195">
        <f t="shared" si="4"/>
        <v>46509</v>
      </c>
      <c r="BY67" s="195">
        <f t="shared" si="4"/>
        <v>37488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2183239</v>
      </c>
      <c r="CD67" s="249" t="s">
        <v>221</v>
      </c>
      <c r="CE67" s="195">
        <f t="shared" si="0"/>
        <v>16899842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22205</v>
      </c>
      <c r="F68" s="184">
        <v>3273</v>
      </c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56763</v>
      </c>
      <c r="Q68" s="185"/>
      <c r="R68" s="185">
        <v>4504</v>
      </c>
      <c r="S68" s="185">
        <v>145461</v>
      </c>
      <c r="T68" s="185"/>
      <c r="U68" s="185"/>
      <c r="V68" s="185"/>
      <c r="W68" s="185"/>
      <c r="X68" s="185"/>
      <c r="Y68" s="185">
        <v>3352</v>
      </c>
      <c r="Z68" s="185">
        <v>362996</v>
      </c>
      <c r="AA68" s="185"/>
      <c r="AB68" s="185">
        <v>82868</v>
      </c>
      <c r="AC68" s="185">
        <v>92455</v>
      </c>
      <c r="AD68" s="185">
        <v>7315</v>
      </c>
      <c r="AE68" s="185"/>
      <c r="AF68" s="185"/>
      <c r="AG68" s="185">
        <v>3273</v>
      </c>
      <c r="AH68" s="185"/>
      <c r="AI68" s="185"/>
      <c r="AJ68" s="185">
        <f>8044+471384</f>
        <v>479428</v>
      </c>
      <c r="AK68" s="185"/>
      <c r="AL68" s="185"/>
      <c r="AM68" s="185"/>
      <c r="AN68" s="185"/>
      <c r="AO68" s="185"/>
      <c r="AP68" s="185">
        <v>5111147</v>
      </c>
      <c r="AQ68" s="185"/>
      <c r="AR68" s="185"/>
      <c r="AS68" s="185"/>
      <c r="AT68" s="185"/>
      <c r="AU68" s="185"/>
      <c r="AV68" s="185">
        <v>71283</v>
      </c>
      <c r="AW68" s="185">
        <v>4194</v>
      </c>
      <c r="AX68" s="185">
        <v>286685</v>
      </c>
      <c r="AY68" s="185">
        <v>813</v>
      </c>
      <c r="AZ68" s="185"/>
      <c r="BA68" s="185">
        <v>1331</v>
      </c>
      <c r="BB68" s="185"/>
      <c r="BC68" s="185"/>
      <c r="BD68" s="185"/>
      <c r="BE68" s="185">
        <v>37874</v>
      </c>
      <c r="BF68" s="185"/>
      <c r="BG68" s="185"/>
      <c r="BH68" s="185">
        <v>209370</v>
      </c>
      <c r="BI68" s="185">
        <f>8074</f>
        <v>8074</v>
      </c>
      <c r="BJ68" s="185"/>
      <c r="BK68" s="185"/>
      <c r="BL68" s="185"/>
      <c r="BM68" s="185"/>
      <c r="BN68" s="185">
        <v>2315</v>
      </c>
      <c r="BO68" s="185"/>
      <c r="BP68" s="185">
        <v>363</v>
      </c>
      <c r="BQ68" s="185"/>
      <c r="BR68" s="185">
        <v>14039</v>
      </c>
      <c r="BS68" s="185"/>
      <c r="BT68" s="185"/>
      <c r="BU68" s="185"/>
      <c r="BV68" s="185"/>
      <c r="BW68" s="185"/>
      <c r="BX68" s="185"/>
      <c r="BY68" s="185">
        <v>241</v>
      </c>
      <c r="BZ68" s="185"/>
      <c r="CA68" s="185"/>
      <c r="CB68" s="185"/>
      <c r="CC68" s="185">
        <v>1202354</v>
      </c>
      <c r="CD68" s="249" t="s">
        <v>221</v>
      </c>
      <c r="CE68" s="195">
        <f t="shared" si="0"/>
        <v>8213976</v>
      </c>
      <c r="CF68" s="252"/>
    </row>
    <row r="69" spans="1:84" ht="12.6" customHeight="1" x14ac:dyDescent="0.25">
      <c r="A69" s="171" t="s">
        <v>241</v>
      </c>
      <c r="B69" s="175"/>
      <c r="C69" s="184">
        <v>186</v>
      </c>
      <c r="D69" s="184"/>
      <c r="E69" s="185">
        <v>8469</v>
      </c>
      <c r="F69" s="185">
        <v>31904</v>
      </c>
      <c r="G69" s="184"/>
      <c r="H69" s="184">
        <v>193</v>
      </c>
      <c r="I69" s="185"/>
      <c r="J69" s="185">
        <v>4500</v>
      </c>
      <c r="K69" s="185"/>
      <c r="L69" s="185"/>
      <c r="M69" s="184"/>
      <c r="N69" s="184"/>
      <c r="O69" s="184"/>
      <c r="P69" s="185">
        <v>11993</v>
      </c>
      <c r="Q69" s="185">
        <v>2539</v>
      </c>
      <c r="R69" s="224">
        <v>43</v>
      </c>
      <c r="S69" s="185">
        <v>146</v>
      </c>
      <c r="T69" s="184"/>
      <c r="U69" s="185">
        <v>2014</v>
      </c>
      <c r="V69" s="185"/>
      <c r="W69" s="184"/>
      <c r="X69" s="185"/>
      <c r="Y69" s="185">
        <v>11207</v>
      </c>
      <c r="Z69" s="185">
        <v>86</v>
      </c>
      <c r="AA69" s="185"/>
      <c r="AB69" s="185">
        <v>32914</v>
      </c>
      <c r="AC69" s="185">
        <v>3905</v>
      </c>
      <c r="AD69" s="185">
        <v>3359</v>
      </c>
      <c r="AE69" s="185">
        <v>7644</v>
      </c>
      <c r="AF69" s="185"/>
      <c r="AG69" s="185">
        <v>38462</v>
      </c>
      <c r="AH69" s="185"/>
      <c r="AI69" s="185"/>
      <c r="AJ69" s="185">
        <f>125021+1110</f>
        <v>126131</v>
      </c>
      <c r="AK69" s="185">
        <v>854</v>
      </c>
      <c r="AL69" s="185">
        <v>4004</v>
      </c>
      <c r="AM69" s="185"/>
      <c r="AN69" s="185"/>
      <c r="AO69" s="184"/>
      <c r="AP69" s="185">
        <v>245350</v>
      </c>
      <c r="AQ69" s="184"/>
      <c r="AR69" s="184"/>
      <c r="AS69" s="184"/>
      <c r="AT69" s="184"/>
      <c r="AU69" s="185"/>
      <c r="AV69" s="185">
        <f>3465+4107</f>
        <v>7572</v>
      </c>
      <c r="AW69" s="185">
        <v>153162</v>
      </c>
      <c r="AX69" s="185"/>
      <c r="AY69" s="185">
        <v>272</v>
      </c>
      <c r="AZ69" s="185"/>
      <c r="BA69" s="185"/>
      <c r="BB69" s="185"/>
      <c r="BC69" s="185"/>
      <c r="BD69" s="185">
        <v>70910</v>
      </c>
      <c r="BE69" s="185">
        <v>8207</v>
      </c>
      <c r="BF69" s="185">
        <v>1064</v>
      </c>
      <c r="BG69" s="185"/>
      <c r="BH69" s="224">
        <v>984196</v>
      </c>
      <c r="BI69" s="185">
        <v>55194</v>
      </c>
      <c r="BJ69" s="185">
        <v>2969</v>
      </c>
      <c r="BK69" s="185">
        <v>14089</v>
      </c>
      <c r="BL69" s="185">
        <v>1442</v>
      </c>
      <c r="BM69" s="185"/>
      <c r="BN69" s="185">
        <f>414432+60262</f>
        <v>474694</v>
      </c>
      <c r="BO69" s="185">
        <v>19</v>
      </c>
      <c r="BP69" s="185">
        <v>3744</v>
      </c>
      <c r="BQ69" s="185"/>
      <c r="BR69" s="185">
        <v>236218</v>
      </c>
      <c r="BS69" s="185">
        <v>28</v>
      </c>
      <c r="BT69" s="185"/>
      <c r="BU69" s="185"/>
      <c r="BV69" s="185">
        <f>2697+23</f>
        <v>2720</v>
      </c>
      <c r="BW69" s="185">
        <f>1540+243551</f>
        <v>245091</v>
      </c>
      <c r="BX69" s="185">
        <f>11532+158999</f>
        <v>170531</v>
      </c>
      <c r="BY69" s="185">
        <v>50310</v>
      </c>
      <c r="BZ69" s="185"/>
      <c r="CA69" s="185"/>
      <c r="CB69" s="185"/>
      <c r="CC69" s="185">
        <f>16056+335860+18414</f>
        <v>370330</v>
      </c>
      <c r="CD69" s="188">
        <v>18955526</v>
      </c>
      <c r="CE69" s="195">
        <f t="shared" si="0"/>
        <v>22344191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 t="s">
        <v>1273</v>
      </c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25775700</v>
      </c>
      <c r="CE70" s="195">
        <f t="shared" si="0"/>
        <v>25775700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3777378.02</v>
      </c>
      <c r="D71" s="195">
        <f t="shared" ref="D71:AI71" si="5">SUM(D61:D69)-D70</f>
        <v>0</v>
      </c>
      <c r="E71" s="195">
        <f t="shared" si="5"/>
        <v>20425560</v>
      </c>
      <c r="F71" s="195">
        <f t="shared" si="5"/>
        <v>4006340</v>
      </c>
      <c r="G71" s="195">
        <f t="shared" si="5"/>
        <v>0</v>
      </c>
      <c r="H71" s="195">
        <f t="shared" si="5"/>
        <v>3028395</v>
      </c>
      <c r="I71" s="195">
        <f t="shared" si="5"/>
        <v>0</v>
      </c>
      <c r="J71" s="195">
        <f t="shared" si="5"/>
        <v>1556791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2644425</v>
      </c>
      <c r="P71" s="195">
        <f t="shared" si="5"/>
        <v>15630957</v>
      </c>
      <c r="Q71" s="195">
        <f t="shared" si="5"/>
        <v>2707636</v>
      </c>
      <c r="R71" s="195">
        <f t="shared" si="5"/>
        <v>1096554</v>
      </c>
      <c r="S71" s="195">
        <f t="shared" si="5"/>
        <v>1982271</v>
      </c>
      <c r="T71" s="195">
        <f t="shared" si="5"/>
        <v>733418</v>
      </c>
      <c r="U71" s="195">
        <f t="shared" si="5"/>
        <v>10302884</v>
      </c>
      <c r="V71" s="195">
        <f t="shared" si="5"/>
        <v>226865</v>
      </c>
      <c r="W71" s="195">
        <f t="shared" si="5"/>
        <v>2371820</v>
      </c>
      <c r="X71" s="195">
        <f t="shared" si="5"/>
        <v>5086806</v>
      </c>
      <c r="Y71" s="195">
        <f t="shared" si="5"/>
        <v>13942007</v>
      </c>
      <c r="Z71" s="195">
        <f t="shared" si="5"/>
        <v>3413962</v>
      </c>
      <c r="AA71" s="195">
        <f t="shared" si="5"/>
        <v>1348844</v>
      </c>
      <c r="AB71" s="195">
        <f t="shared" si="5"/>
        <v>35039193</v>
      </c>
      <c r="AC71" s="195">
        <f t="shared" si="5"/>
        <v>2073908</v>
      </c>
      <c r="AD71" s="195">
        <f t="shared" si="5"/>
        <v>954285</v>
      </c>
      <c r="AE71" s="195">
        <f t="shared" si="5"/>
        <v>1647235</v>
      </c>
      <c r="AF71" s="195">
        <f t="shared" si="5"/>
        <v>0</v>
      </c>
      <c r="AG71" s="195">
        <f t="shared" si="5"/>
        <v>7754142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7563783</v>
      </c>
      <c r="AK71" s="195">
        <f t="shared" si="6"/>
        <v>228498</v>
      </c>
      <c r="AL71" s="195">
        <f t="shared" si="6"/>
        <v>359096</v>
      </c>
      <c r="AM71" s="195">
        <f t="shared" si="6"/>
        <v>0</v>
      </c>
      <c r="AN71" s="195">
        <f t="shared" si="6"/>
        <v>0</v>
      </c>
      <c r="AO71" s="195">
        <f t="shared" si="6"/>
        <v>1251267</v>
      </c>
      <c r="AP71" s="195">
        <f t="shared" si="6"/>
        <v>96125475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9732296</v>
      </c>
      <c r="AW71" s="195">
        <f t="shared" si="6"/>
        <v>4395422</v>
      </c>
      <c r="AX71" s="195">
        <f t="shared" si="6"/>
        <v>372107</v>
      </c>
      <c r="AY71" s="195">
        <f t="shared" si="6"/>
        <v>2325457</v>
      </c>
      <c r="AZ71" s="195">
        <f t="shared" si="6"/>
        <v>0</v>
      </c>
      <c r="BA71" s="195">
        <f t="shared" si="6"/>
        <v>882467</v>
      </c>
      <c r="BB71" s="195">
        <f t="shared" si="6"/>
        <v>0</v>
      </c>
      <c r="BC71" s="195">
        <f t="shared" si="6"/>
        <v>31935</v>
      </c>
      <c r="BD71" s="195">
        <f t="shared" si="6"/>
        <v>1082610</v>
      </c>
      <c r="BE71" s="195">
        <f t="shared" si="6"/>
        <v>10575881</v>
      </c>
      <c r="BF71" s="195">
        <f t="shared" si="6"/>
        <v>2455085</v>
      </c>
      <c r="BG71" s="195">
        <f t="shared" si="6"/>
        <v>1636186</v>
      </c>
      <c r="BH71" s="195">
        <f t="shared" si="6"/>
        <v>25178365.02</v>
      </c>
      <c r="BI71" s="195">
        <f t="shared" si="6"/>
        <v>1064061</v>
      </c>
      <c r="BJ71" s="195">
        <f t="shared" si="6"/>
        <v>2312406.25</v>
      </c>
      <c r="BK71" s="195">
        <f t="shared" si="6"/>
        <v>4897767</v>
      </c>
      <c r="BL71" s="195">
        <f t="shared" si="6"/>
        <v>3628791</v>
      </c>
      <c r="BM71" s="195">
        <f t="shared" si="6"/>
        <v>0</v>
      </c>
      <c r="BN71" s="195">
        <f t="shared" si="6"/>
        <v>6888716</v>
      </c>
      <c r="BO71" s="195">
        <f t="shared" si="6"/>
        <v>294346</v>
      </c>
      <c r="BP71" s="195">
        <f t="shared" ref="BP71:CC71" si="7">SUM(BP61:BP69)-BP70</f>
        <v>1917158</v>
      </c>
      <c r="BQ71" s="195">
        <f t="shared" si="7"/>
        <v>0</v>
      </c>
      <c r="BR71" s="195">
        <f t="shared" si="7"/>
        <v>2809911</v>
      </c>
      <c r="BS71" s="195">
        <f t="shared" si="7"/>
        <v>518791</v>
      </c>
      <c r="BT71" s="195">
        <f t="shared" si="7"/>
        <v>0</v>
      </c>
      <c r="BU71" s="195">
        <f t="shared" si="7"/>
        <v>0</v>
      </c>
      <c r="BV71" s="195">
        <f t="shared" si="7"/>
        <v>3993355</v>
      </c>
      <c r="BW71" s="195">
        <f t="shared" si="7"/>
        <v>926460</v>
      </c>
      <c r="BX71" s="195">
        <f t="shared" si="7"/>
        <v>6597253</v>
      </c>
      <c r="BY71" s="195">
        <f t="shared" si="7"/>
        <v>1048014</v>
      </c>
      <c r="BZ71" s="195">
        <f t="shared" si="7"/>
        <v>631593</v>
      </c>
      <c r="CA71" s="195">
        <f t="shared" si="7"/>
        <v>0</v>
      </c>
      <c r="CB71" s="195">
        <f t="shared" si="7"/>
        <v>11753</v>
      </c>
      <c r="CC71" s="195">
        <f t="shared" si="7"/>
        <v>13648569</v>
      </c>
      <c r="CD71" s="245">
        <f>CD69-CD70</f>
        <v>-6820174</v>
      </c>
      <c r="CE71" s="195">
        <f>SUM(CE61:CE69)-CE70</f>
        <v>350316376.28999996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16746280</v>
      </c>
      <c r="D73" s="184"/>
      <c r="E73" s="185">
        <v>101392920</v>
      </c>
      <c r="F73" s="185">
        <v>6377016</v>
      </c>
      <c r="G73" s="184"/>
      <c r="H73" s="184">
        <v>13031942</v>
      </c>
      <c r="I73" s="185"/>
      <c r="J73" s="185">
        <v>4546933</v>
      </c>
      <c r="K73" s="185"/>
      <c r="L73" s="185"/>
      <c r="M73" s="184"/>
      <c r="N73" s="184"/>
      <c r="O73" s="184">
        <v>11495241</v>
      </c>
      <c r="P73" s="185">
        <v>49363719</v>
      </c>
      <c r="Q73" s="185">
        <v>5859383</v>
      </c>
      <c r="R73" s="185">
        <v>11116243</v>
      </c>
      <c r="S73" s="185">
        <v>11644432</v>
      </c>
      <c r="T73" s="185">
        <v>1508403</v>
      </c>
      <c r="U73" s="185">
        <f>35310132+1346066+849</f>
        <v>36657047</v>
      </c>
      <c r="V73" s="185">
        <v>238748</v>
      </c>
      <c r="W73" s="185">
        <v>4616186</v>
      </c>
      <c r="X73" s="185">
        <v>18001551</v>
      </c>
      <c r="Y73" s="185">
        <f>4728398+404+2665165+8233106+16258+26565188</f>
        <v>42208519</v>
      </c>
      <c r="Z73" s="185">
        <v>262429</v>
      </c>
      <c r="AA73" s="185">
        <v>1362027</v>
      </c>
      <c r="AB73" s="185">
        <v>24188343</v>
      </c>
      <c r="AC73" s="185">
        <v>17321377</v>
      </c>
      <c r="AD73" s="185">
        <v>3557977</v>
      </c>
      <c r="AE73" s="185">
        <v>2220159</v>
      </c>
      <c r="AF73" s="185"/>
      <c r="AG73" s="185">
        <v>32238088</v>
      </c>
      <c r="AH73" s="185"/>
      <c r="AI73" s="185"/>
      <c r="AJ73" s="185">
        <f>434734+153446+1187</f>
        <v>589367</v>
      </c>
      <c r="AK73" s="185">
        <v>505545</v>
      </c>
      <c r="AL73" s="185">
        <v>944401</v>
      </c>
      <c r="AM73" s="185"/>
      <c r="AN73" s="185"/>
      <c r="AO73" s="185">
        <v>113969</v>
      </c>
      <c r="AP73" s="185">
        <f>249189</f>
        <v>249189</v>
      </c>
      <c r="AQ73" s="185"/>
      <c r="AR73" s="185"/>
      <c r="AS73" s="185"/>
      <c r="AT73" s="185"/>
      <c r="AU73" s="185"/>
      <c r="AV73" s="185">
        <f>131847+3603765+23257</f>
        <v>3758869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422116303</v>
      </c>
      <c r="CF73" s="252"/>
    </row>
    <row r="74" spans="1:84" ht="12.6" customHeight="1" x14ac:dyDescent="0.25">
      <c r="A74" s="171" t="s">
        <v>246</v>
      </c>
      <c r="B74" s="175"/>
      <c r="C74" s="184">
        <v>265676</v>
      </c>
      <c r="D74" s="184"/>
      <c r="E74" s="185">
        <v>18420957</v>
      </c>
      <c r="F74" s="185">
        <v>951160</v>
      </c>
      <c r="G74" s="184"/>
      <c r="H74" s="184">
        <v>589412</v>
      </c>
      <c r="I74" s="184"/>
      <c r="J74" s="185">
        <v>10357</v>
      </c>
      <c r="K74" s="185"/>
      <c r="L74" s="185"/>
      <c r="M74" s="184"/>
      <c r="N74" s="184"/>
      <c r="O74" s="184">
        <v>790749</v>
      </c>
      <c r="P74" s="185">
        <v>80590887</v>
      </c>
      <c r="Q74" s="185">
        <v>9995138</v>
      </c>
      <c r="R74" s="185">
        <v>17379562</v>
      </c>
      <c r="S74" s="185">
        <v>16838216</v>
      </c>
      <c r="T74" s="185">
        <v>1288008</v>
      </c>
      <c r="U74" s="185">
        <f>42286875+10325953-849</f>
        <v>52611979</v>
      </c>
      <c r="V74" s="185">
        <v>2161416</v>
      </c>
      <c r="W74" s="185">
        <v>22665391</v>
      </c>
      <c r="X74" s="185">
        <v>52759481</v>
      </c>
      <c r="Y74" s="185">
        <f>8464663-404+5825851+15164394+3175935+44239148</f>
        <v>76869587</v>
      </c>
      <c r="Z74" s="185">
        <v>36788772</v>
      </c>
      <c r="AA74" s="185">
        <v>10409807</v>
      </c>
      <c r="AB74" s="185">
        <v>98029585</v>
      </c>
      <c r="AC74" s="185">
        <v>4239602</v>
      </c>
      <c r="AD74" s="185">
        <v>376491</v>
      </c>
      <c r="AE74" s="185">
        <v>3657006</v>
      </c>
      <c r="AF74" s="185"/>
      <c r="AG74" s="185">
        <v>76184266</v>
      </c>
      <c r="AH74" s="185"/>
      <c r="AI74" s="185"/>
      <c r="AJ74" s="185">
        <f>12399312+14923983+681002</f>
        <v>28004297</v>
      </c>
      <c r="AK74" s="185">
        <v>746119</v>
      </c>
      <c r="AL74" s="185">
        <v>830291</v>
      </c>
      <c r="AM74" s="185"/>
      <c r="AN74" s="185"/>
      <c r="AO74" s="185">
        <v>559342</v>
      </c>
      <c r="AP74" s="185">
        <f>26820304+166392889</f>
        <v>193213193</v>
      </c>
      <c r="AQ74" s="185"/>
      <c r="AR74" s="185"/>
      <c r="AS74" s="185"/>
      <c r="AT74" s="185"/>
      <c r="AU74" s="185"/>
      <c r="AV74" s="185">
        <f>7890414+34854557+3683402+4500</f>
        <v>46432873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853659620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17011956</v>
      </c>
      <c r="D75" s="195">
        <f t="shared" si="9"/>
        <v>0</v>
      </c>
      <c r="E75" s="195">
        <f t="shared" si="9"/>
        <v>119813877</v>
      </c>
      <c r="F75" s="195">
        <f t="shared" si="9"/>
        <v>7328176</v>
      </c>
      <c r="G75" s="195">
        <f t="shared" si="9"/>
        <v>0</v>
      </c>
      <c r="H75" s="195">
        <f t="shared" si="9"/>
        <v>13621354</v>
      </c>
      <c r="I75" s="195">
        <f t="shared" si="9"/>
        <v>0</v>
      </c>
      <c r="J75" s="195">
        <f t="shared" si="9"/>
        <v>4557290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12285990</v>
      </c>
      <c r="P75" s="195">
        <f t="shared" si="9"/>
        <v>129954606</v>
      </c>
      <c r="Q75" s="195">
        <f t="shared" si="9"/>
        <v>15854521</v>
      </c>
      <c r="R75" s="195">
        <f t="shared" si="9"/>
        <v>28495805</v>
      </c>
      <c r="S75" s="195">
        <f t="shared" si="9"/>
        <v>28482648</v>
      </c>
      <c r="T75" s="195">
        <f t="shared" si="9"/>
        <v>2796411</v>
      </c>
      <c r="U75" s="195">
        <f t="shared" si="9"/>
        <v>89269026</v>
      </c>
      <c r="V75" s="195">
        <f t="shared" si="9"/>
        <v>2400164</v>
      </c>
      <c r="W75" s="195">
        <f t="shared" si="9"/>
        <v>27281577</v>
      </c>
      <c r="X75" s="195">
        <f t="shared" si="9"/>
        <v>70761032</v>
      </c>
      <c r="Y75" s="195">
        <f t="shared" si="9"/>
        <v>119078106</v>
      </c>
      <c r="Z75" s="195">
        <f t="shared" si="9"/>
        <v>37051201</v>
      </c>
      <c r="AA75" s="195">
        <f t="shared" si="9"/>
        <v>11771834</v>
      </c>
      <c r="AB75" s="195">
        <f t="shared" si="9"/>
        <v>122217928</v>
      </c>
      <c r="AC75" s="195">
        <f t="shared" si="9"/>
        <v>21560979</v>
      </c>
      <c r="AD75" s="195">
        <f t="shared" si="9"/>
        <v>3934468</v>
      </c>
      <c r="AE75" s="195">
        <f t="shared" si="9"/>
        <v>5877165</v>
      </c>
      <c r="AF75" s="195">
        <f t="shared" si="9"/>
        <v>0</v>
      </c>
      <c r="AG75" s="195">
        <f t="shared" si="9"/>
        <v>108422354</v>
      </c>
      <c r="AH75" s="195">
        <f t="shared" si="9"/>
        <v>0</v>
      </c>
      <c r="AI75" s="195">
        <f t="shared" si="9"/>
        <v>0</v>
      </c>
      <c r="AJ75" s="195">
        <f t="shared" si="9"/>
        <v>28593664</v>
      </c>
      <c r="AK75" s="195">
        <f t="shared" si="9"/>
        <v>1251664</v>
      </c>
      <c r="AL75" s="195">
        <f t="shared" si="9"/>
        <v>1774692</v>
      </c>
      <c r="AM75" s="195">
        <f t="shared" si="9"/>
        <v>0</v>
      </c>
      <c r="AN75" s="195">
        <f t="shared" si="9"/>
        <v>0</v>
      </c>
      <c r="AO75" s="195">
        <f t="shared" si="9"/>
        <v>673311</v>
      </c>
      <c r="AP75" s="195">
        <f t="shared" si="9"/>
        <v>193462382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50191742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1275775923</v>
      </c>
      <c r="CF75" s="252"/>
    </row>
    <row r="76" spans="1:84" ht="12.6" customHeight="1" x14ac:dyDescent="0.25">
      <c r="A76" s="171" t="s">
        <v>248</v>
      </c>
      <c r="B76" s="175"/>
      <c r="C76" s="184">
        <v>3919</v>
      </c>
      <c r="D76" s="184"/>
      <c r="E76" s="185">
        <v>37811</v>
      </c>
      <c r="F76" s="185">
        <v>13302</v>
      </c>
      <c r="G76" s="184"/>
      <c r="H76" s="184">
        <v>6969</v>
      </c>
      <c r="I76" s="185"/>
      <c r="J76" s="185">
        <v>808</v>
      </c>
      <c r="K76" s="185"/>
      <c r="L76" s="185"/>
      <c r="M76" s="185"/>
      <c r="N76" s="185"/>
      <c r="O76" s="185">
        <v>1482</v>
      </c>
      <c r="P76" s="185">
        <v>15165</v>
      </c>
      <c r="Q76" s="185">
        <v>5774</v>
      </c>
      <c r="R76" s="185">
        <v>311</v>
      </c>
      <c r="S76" s="185">
        <v>5741</v>
      </c>
      <c r="T76" s="185">
        <v>188</v>
      </c>
      <c r="U76" s="185">
        <v>7130</v>
      </c>
      <c r="V76" s="185"/>
      <c r="W76" s="185">
        <v>2043</v>
      </c>
      <c r="X76" s="185">
        <v>1659</v>
      </c>
      <c r="Y76" s="185">
        <v>13494</v>
      </c>
      <c r="Z76" s="185">
        <v>6535</v>
      </c>
      <c r="AA76" s="185">
        <v>1881</v>
      </c>
      <c r="AB76" s="185">
        <v>7871</v>
      </c>
      <c r="AC76" s="185">
        <v>1696</v>
      </c>
      <c r="AD76" s="185">
        <v>6324</v>
      </c>
      <c r="AE76" s="185">
        <v>2131</v>
      </c>
      <c r="AF76" s="185"/>
      <c r="AG76" s="185">
        <v>9499</v>
      </c>
      <c r="AH76" s="185"/>
      <c r="AI76" s="185"/>
      <c r="AJ76" s="185">
        <v>17230</v>
      </c>
      <c r="AK76" s="185">
        <v>266</v>
      </c>
      <c r="AL76" s="185">
        <v>126</v>
      </c>
      <c r="AM76" s="185"/>
      <c r="AN76" s="185"/>
      <c r="AO76" s="185">
        <v>2444</v>
      </c>
      <c r="AP76" s="185">
        <v>203700</v>
      </c>
      <c r="AQ76" s="185"/>
      <c r="AR76" s="185"/>
      <c r="AS76" s="185"/>
      <c r="AT76" s="185"/>
      <c r="AU76" s="185"/>
      <c r="AV76" s="185">
        <v>23047</v>
      </c>
      <c r="AW76" s="185"/>
      <c r="AX76" s="185"/>
      <c r="AY76" s="185">
        <v>8913</v>
      </c>
      <c r="AZ76" s="185"/>
      <c r="BA76" s="185">
        <v>1255</v>
      </c>
      <c r="BB76" s="185"/>
      <c r="BC76" s="185"/>
      <c r="BD76" s="185">
        <v>6070</v>
      </c>
      <c r="BE76" s="185">
        <v>224068</v>
      </c>
      <c r="BF76" s="185">
        <v>3380</v>
      </c>
      <c r="BG76" s="185"/>
      <c r="BH76" s="185">
        <v>8912</v>
      </c>
      <c r="BI76" s="185">
        <v>1515</v>
      </c>
      <c r="BJ76" s="185">
        <v>9801</v>
      </c>
      <c r="BK76" s="185">
        <v>1949</v>
      </c>
      <c r="BL76" s="185">
        <v>2729</v>
      </c>
      <c r="BM76" s="185"/>
      <c r="BN76" s="185">
        <v>5012</v>
      </c>
      <c r="BO76" s="185"/>
      <c r="BP76" s="185">
        <v>467</v>
      </c>
      <c r="BQ76" s="185"/>
      <c r="BR76" s="185">
        <v>3564</v>
      </c>
      <c r="BS76" s="185">
        <v>3804</v>
      </c>
      <c r="BT76" s="185"/>
      <c r="BU76" s="185"/>
      <c r="BV76" s="185">
        <v>6770</v>
      </c>
      <c r="BW76" s="185">
        <v>996</v>
      </c>
      <c r="BX76" s="185">
        <v>2186</v>
      </c>
      <c r="BY76" s="185">
        <v>1762</v>
      </c>
      <c r="BZ76" s="185"/>
      <c r="CA76" s="185"/>
      <c r="CB76" s="185"/>
      <c r="CC76" s="185">
        <v>102615</v>
      </c>
      <c r="CD76" s="249" t="s">
        <v>221</v>
      </c>
      <c r="CE76" s="195">
        <f t="shared" si="8"/>
        <v>794314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f>C59*2.8</f>
        <v>6199.2</v>
      </c>
      <c r="D77" s="184"/>
      <c r="E77" s="184">
        <f>E59*2.8</f>
        <v>76465.2</v>
      </c>
      <c r="F77" s="184">
        <f>F59*2.8</f>
        <v>4678.7999999999993</v>
      </c>
      <c r="G77" s="184"/>
      <c r="H77" s="184">
        <f>H59*2.8</f>
        <v>10421.599999999999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97764.799999999988</v>
      </c>
      <c r="CF77" s="195">
        <f>AY59-CE77</f>
        <v>339284.2</v>
      </c>
    </row>
    <row r="78" spans="1:84" ht="12.6" customHeight="1" x14ac:dyDescent="0.25">
      <c r="A78" s="171" t="s">
        <v>250</v>
      </c>
      <c r="B78" s="175"/>
      <c r="C78" s="184">
        <f>78907.1*(C76/211019)</f>
        <v>1465.4458835460314</v>
      </c>
      <c r="D78" s="184"/>
      <c r="E78" s="184">
        <f>78907.1*(E76/211019)</f>
        <v>14138.804364062005</v>
      </c>
      <c r="F78" s="184">
        <f>78907.1*(F76/211019)</f>
        <v>4974.065104090153</v>
      </c>
      <c r="G78" s="184"/>
      <c r="H78" s="184">
        <f>78907.1*(H76/211019)</f>
        <v>2605.9434453769572</v>
      </c>
      <c r="I78" s="184"/>
      <c r="J78" s="184">
        <f>78907.1*(J76/211019)</f>
        <v>302.13837047848773</v>
      </c>
      <c r="K78" s="184"/>
      <c r="L78" s="184"/>
      <c r="M78" s="184"/>
      <c r="N78" s="184"/>
      <c r="O78" s="184">
        <f t="shared" ref="O78:U78" si="10">78907.1*(O76/211019)</f>
        <v>554.16963496178073</v>
      </c>
      <c r="P78" s="184">
        <f t="shared" si="10"/>
        <v>5670.7034508740926</v>
      </c>
      <c r="Q78" s="184">
        <f t="shared" si="10"/>
        <v>2159.0927613153322</v>
      </c>
      <c r="R78" s="184">
        <f t="shared" si="10"/>
        <v>116.29335794407139</v>
      </c>
      <c r="S78" s="184">
        <f t="shared" si="10"/>
        <v>2146.7529516299483</v>
      </c>
      <c r="T78" s="184">
        <f t="shared" si="10"/>
        <v>70.299521844004573</v>
      </c>
      <c r="U78" s="184">
        <f t="shared" si="10"/>
        <v>2666.1467592965564</v>
      </c>
      <c r="V78" s="184"/>
      <c r="W78" s="184">
        <f t="shared" ref="W78:AE78" si="11">78907.1*(W76/211019)</f>
        <v>763.94639961330506</v>
      </c>
      <c r="X78" s="184">
        <f t="shared" si="11"/>
        <v>620.35588691065732</v>
      </c>
      <c r="Y78" s="184">
        <f t="shared" si="11"/>
        <v>5045.8603604414775</v>
      </c>
      <c r="Z78" s="184">
        <f t="shared" si="11"/>
        <v>2443.6562513328186</v>
      </c>
      <c r="AA78" s="184">
        <f t="shared" si="11"/>
        <v>703.36915206687559</v>
      </c>
      <c r="AB78" s="184">
        <f t="shared" si="11"/>
        <v>2943.2315767774467</v>
      </c>
      <c r="AC78" s="184">
        <f t="shared" si="11"/>
        <v>634.1914311033604</v>
      </c>
      <c r="AD78" s="184">
        <f t="shared" si="11"/>
        <v>2364.7562560717283</v>
      </c>
      <c r="AE78" s="184">
        <f t="shared" si="11"/>
        <v>796.85255877432837</v>
      </c>
      <c r="AF78" s="184"/>
      <c r="AG78" s="184">
        <f>78907.1*(AG76/211019)</f>
        <v>3551.99552125638</v>
      </c>
      <c r="AH78" s="184"/>
      <c r="AI78" s="184"/>
      <c r="AJ78" s="184">
        <f>78907.1*(AJ76/211019)</f>
        <v>6442.8763902776527</v>
      </c>
      <c r="AK78" s="184">
        <f>78907.1*(AK76/211019)</f>
        <v>99.46634473672988</v>
      </c>
      <c r="AL78" s="184">
        <f>78907.1*(AL76/211019)</f>
        <v>47.115636980556253</v>
      </c>
      <c r="AM78" s="184"/>
      <c r="AN78" s="184"/>
      <c r="AO78" s="184">
        <f>78907.1*(AO76/211019)</f>
        <v>913.8937839720594</v>
      </c>
      <c r="AP78" s="184"/>
      <c r="AQ78" s="184"/>
      <c r="AR78" s="184"/>
      <c r="AS78" s="184"/>
      <c r="AT78" s="184"/>
      <c r="AU78" s="184"/>
      <c r="AV78" s="184">
        <f>78907.1*(AV76/211019)</f>
        <v>8618.0482975466675</v>
      </c>
      <c r="AW78" s="184"/>
      <c r="AX78" s="249" t="s">
        <v>221</v>
      </c>
      <c r="AY78" s="249" t="s">
        <v>221</v>
      </c>
      <c r="AZ78" s="249" t="s">
        <v>221</v>
      </c>
      <c r="BA78" s="184">
        <f>78907.1*(BA76/211019)</f>
        <v>469.28670167141354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f>78907.1*(BH76/211019)</f>
        <v>3332.496482307281</v>
      </c>
      <c r="BI78" s="184">
        <f>78907.1*(BI76/211019)</f>
        <v>566.50944464716451</v>
      </c>
      <c r="BJ78" s="249" t="s">
        <v>221</v>
      </c>
      <c r="BK78" s="184"/>
      <c r="BL78" s="184">
        <f>78907.1*(BL76/211019)</f>
        <v>1020.4648676185557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>
        <f>78907.1*(BY76/211019)</f>
        <v>658.87105047412797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78907.10000000002</v>
      </c>
      <c r="CF78" s="195"/>
    </row>
    <row r="79" spans="1:84" ht="12.6" customHeight="1" x14ac:dyDescent="0.25">
      <c r="A79" s="171" t="s">
        <v>251</v>
      </c>
      <c r="B79" s="175"/>
      <c r="C79" s="225">
        <v>31437</v>
      </c>
      <c r="D79" s="225"/>
      <c r="E79" s="184">
        <v>358710</v>
      </c>
      <c r="F79" s="184">
        <v>73422</v>
      </c>
      <c r="G79" s="184"/>
      <c r="H79" s="184">
        <v>12887</v>
      </c>
      <c r="I79" s="184"/>
      <c r="J79" s="184"/>
      <c r="K79" s="184"/>
      <c r="L79" s="184"/>
      <c r="M79" s="184"/>
      <c r="N79" s="184"/>
      <c r="O79" s="184"/>
      <c r="P79" s="184">
        <v>65083</v>
      </c>
      <c r="Q79" s="184">
        <v>29344</v>
      </c>
      <c r="R79" s="184"/>
      <c r="S79" s="184">
        <v>7051</v>
      </c>
      <c r="T79" s="184"/>
      <c r="U79" s="184"/>
      <c r="V79" s="184"/>
      <c r="W79" s="184">
        <v>7054</v>
      </c>
      <c r="X79" s="184">
        <v>25901</v>
      </c>
      <c r="Y79" s="184">
        <v>47234</v>
      </c>
      <c r="Z79" s="184"/>
      <c r="AA79" s="184">
        <v>11483</v>
      </c>
      <c r="AB79" s="184"/>
      <c r="AC79" s="184"/>
      <c r="AD79" s="184"/>
      <c r="AE79" s="184">
        <v>8083</v>
      </c>
      <c r="AF79" s="184"/>
      <c r="AG79" s="184">
        <v>208710</v>
      </c>
      <c r="AH79" s="184"/>
      <c r="AI79" s="184"/>
      <c r="AJ79" s="184"/>
      <c r="AK79" s="184"/>
      <c r="AL79" s="184"/>
      <c r="AM79" s="184"/>
      <c r="AN79" s="184"/>
      <c r="AO79" s="184">
        <v>21437</v>
      </c>
      <c r="AP79" s="184">
        <v>999.7</v>
      </c>
      <c r="AQ79" s="184"/>
      <c r="AR79" s="184"/>
      <c r="AS79" s="184"/>
      <c r="AT79" s="184"/>
      <c r="AU79" s="184"/>
      <c r="AV79" s="184">
        <v>43401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952236.7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22.25</v>
      </c>
      <c r="D80" s="187"/>
      <c r="E80" s="187">
        <v>120.89</v>
      </c>
      <c r="F80" s="187">
        <v>19.809999999999999</v>
      </c>
      <c r="G80" s="187"/>
      <c r="H80" s="187">
        <v>9.5299999999999994</v>
      </c>
      <c r="I80" s="187"/>
      <c r="J80" s="187">
        <v>5.15</v>
      </c>
      <c r="K80" s="187"/>
      <c r="L80" s="187"/>
      <c r="M80" s="187"/>
      <c r="N80" s="187"/>
      <c r="O80" s="187">
        <v>13.93</v>
      </c>
      <c r="P80" s="187">
        <v>20.48</v>
      </c>
      <c r="Q80" s="187">
        <v>14.44</v>
      </c>
      <c r="R80" s="187"/>
      <c r="S80" s="187"/>
      <c r="T80" s="187">
        <v>4.63</v>
      </c>
      <c r="U80" s="187"/>
      <c r="V80" s="187"/>
      <c r="W80" s="187"/>
      <c r="X80" s="187"/>
      <c r="Y80" s="187">
        <v>4.38</v>
      </c>
      <c r="Z80" s="187">
        <v>1.29</v>
      </c>
      <c r="AA80" s="187"/>
      <c r="AB80" s="187"/>
      <c r="AC80" s="187"/>
      <c r="AD80" s="187">
        <v>2.94</v>
      </c>
      <c r="AE80" s="187"/>
      <c r="AF80" s="187"/>
      <c r="AG80" s="187">
        <v>35.96</v>
      </c>
      <c r="AH80" s="187"/>
      <c r="AI80" s="187"/>
      <c r="AJ80" s="187">
        <v>10.53</v>
      </c>
      <c r="AK80" s="187"/>
      <c r="AL80" s="187"/>
      <c r="AM80" s="187"/>
      <c r="AN80" s="187"/>
      <c r="AO80" s="187"/>
      <c r="AP80" s="187">
        <v>55.08</v>
      </c>
      <c r="AQ80" s="187"/>
      <c r="AR80" s="187"/>
      <c r="AS80" s="187"/>
      <c r="AT80" s="187"/>
      <c r="AU80" s="187"/>
      <c r="AV80" s="187">
        <v>11.23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352.51999999999992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1274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1275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1276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1267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1277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1268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1269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1270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1271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1272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8028</v>
      </c>
      <c r="D111" s="174">
        <v>34916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864</v>
      </c>
      <c r="D114" s="174">
        <v>1978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89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21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15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137</v>
      </c>
    </row>
    <row r="128" spans="1:5" ht="12.6" customHeight="1" x14ac:dyDescent="0.25">
      <c r="A128" s="173" t="s">
        <v>292</v>
      </c>
      <c r="B128" s="172" t="s">
        <v>256</v>
      </c>
      <c r="C128" s="189">
        <v>137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3965.0291999999999</v>
      </c>
      <c r="C138" s="189">
        <v>1696.4118000000001</v>
      </c>
      <c r="D138" s="174">
        <v>2421</v>
      </c>
      <c r="E138" s="175">
        <f>SUM(B138:D138)</f>
        <v>8082.4409999999998</v>
      </c>
    </row>
    <row r="139" spans="1:6" ht="12.6" customHeight="1" x14ac:dyDescent="0.25">
      <c r="A139" s="173" t="s">
        <v>215</v>
      </c>
      <c r="B139" s="174">
        <v>17136.657999999999</v>
      </c>
      <c r="C139" s="189">
        <v>7331.8069999999998</v>
      </c>
      <c r="D139" s="174">
        <v>10462</v>
      </c>
      <c r="E139" s="175">
        <f>SUM(B139:D139)</f>
        <v>34930.464999999997</v>
      </c>
    </row>
    <row r="140" spans="1:6" ht="12.6" customHeight="1" x14ac:dyDescent="0.25">
      <c r="A140" s="173" t="s">
        <v>298</v>
      </c>
      <c r="B140" s="174">
        <v>94224.145399999994</v>
      </c>
      <c r="C140" s="174">
        <v>40313.184099999999</v>
      </c>
      <c r="D140" s="174">
        <v>57522</v>
      </c>
      <c r="E140" s="175">
        <f>SUM(B140:D140)</f>
        <v>192059.32949999999</v>
      </c>
    </row>
    <row r="141" spans="1:6" ht="12.6" customHeight="1" x14ac:dyDescent="0.25">
      <c r="A141" s="173" t="s">
        <v>245</v>
      </c>
      <c r="B141" s="174">
        <v>250632464</v>
      </c>
      <c r="C141" s="189">
        <v>81810167</v>
      </c>
      <c r="D141" s="174">
        <v>89673672</v>
      </c>
      <c r="E141" s="175">
        <f>SUM(B141:D141)</f>
        <v>422116303</v>
      </c>
      <c r="F141" s="199"/>
    </row>
    <row r="142" spans="1:6" ht="12.6" customHeight="1" x14ac:dyDescent="0.25">
      <c r="A142" s="173" t="s">
        <v>246</v>
      </c>
      <c r="B142" s="174">
        <v>400301193</v>
      </c>
      <c r="C142" s="189">
        <v>160953798</v>
      </c>
      <c r="D142" s="174">
        <v>292404629</v>
      </c>
      <c r="E142" s="175">
        <f>SUM(B142:D142)</f>
        <v>853659620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11646197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500676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1461476+280530</f>
        <v>1742006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15463747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333122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7857261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719073+460075+1472706</f>
        <v>2651854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40194863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6540092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1673884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8213976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3709829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1037967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4747796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5410436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2510917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7921353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6286377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6286377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11712330</v>
      </c>
      <c r="C195" s="189"/>
      <c r="D195" s="174"/>
      <c r="E195" s="175">
        <f t="shared" ref="E195:E203" si="12">SUM(B195:C195)-D195</f>
        <v>11712330</v>
      </c>
    </row>
    <row r="196" spans="1:8" ht="12.6" customHeight="1" x14ac:dyDescent="0.25">
      <c r="A196" s="173" t="s">
        <v>333</v>
      </c>
      <c r="B196" s="174">
        <f>7340456-20184</f>
        <v>7320272</v>
      </c>
      <c r="C196" s="189"/>
      <c r="D196" s="174"/>
      <c r="E196" s="175">
        <f t="shared" si="12"/>
        <v>7320272</v>
      </c>
    </row>
    <row r="197" spans="1:8" ht="12.6" customHeight="1" x14ac:dyDescent="0.25">
      <c r="A197" s="173" t="s">
        <v>334</v>
      </c>
      <c r="B197" s="174">
        <v>130677520</v>
      </c>
      <c r="C197" s="189">
        <v>4978135</v>
      </c>
      <c r="D197" s="174"/>
      <c r="E197" s="175">
        <f t="shared" si="12"/>
        <v>135655655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2"/>
        <v>0</v>
      </c>
    </row>
    <row r="199" spans="1:8" ht="12.6" customHeight="1" x14ac:dyDescent="0.25">
      <c r="A199" s="173" t="s">
        <v>336</v>
      </c>
      <c r="B199" s="174">
        <v>22790029</v>
      </c>
      <c r="C199" s="189">
        <v>330639</v>
      </c>
      <c r="D199" s="174"/>
      <c r="E199" s="175">
        <f t="shared" si="12"/>
        <v>23120668</v>
      </c>
    </row>
    <row r="200" spans="1:8" ht="12.6" customHeight="1" x14ac:dyDescent="0.25">
      <c r="A200" s="173" t="s">
        <v>337</v>
      </c>
      <c r="B200" s="174">
        <v>137455833</v>
      </c>
      <c r="C200" s="189">
        <v>9450821</v>
      </c>
      <c r="D200" s="174">
        <v>14544306</v>
      </c>
      <c r="E200" s="175">
        <f t="shared" si="12"/>
        <v>132362348</v>
      </c>
    </row>
    <row r="201" spans="1:8" ht="12.6" customHeight="1" x14ac:dyDescent="0.25">
      <c r="A201" s="173" t="s">
        <v>338</v>
      </c>
      <c r="B201" s="174">
        <v>4344133</v>
      </c>
      <c r="C201" s="189"/>
      <c r="D201" s="174">
        <v>2178435</v>
      </c>
      <c r="E201" s="175">
        <f t="shared" si="12"/>
        <v>2165698</v>
      </c>
    </row>
    <row r="202" spans="1:8" ht="12.6" customHeight="1" x14ac:dyDescent="0.25">
      <c r="A202" s="173" t="s">
        <v>339</v>
      </c>
      <c r="B202" s="174">
        <v>9177386</v>
      </c>
      <c r="C202" s="189">
        <v>679045</v>
      </c>
      <c r="D202" s="174"/>
      <c r="E202" s="175">
        <f t="shared" si="12"/>
        <v>9856431</v>
      </c>
    </row>
    <row r="203" spans="1:8" ht="12.6" customHeight="1" x14ac:dyDescent="0.25">
      <c r="A203" s="173" t="s">
        <v>340</v>
      </c>
      <c r="B203" s="174">
        <v>2278516</v>
      </c>
      <c r="C203" s="189">
        <v>3726030</v>
      </c>
      <c r="D203" s="174">
        <v>5323273</v>
      </c>
      <c r="E203" s="175">
        <f t="shared" si="12"/>
        <v>681273</v>
      </c>
    </row>
    <row r="204" spans="1:8" ht="12.6" customHeight="1" x14ac:dyDescent="0.25">
      <c r="A204" s="173" t="s">
        <v>203</v>
      </c>
      <c r="B204" s="175">
        <f>SUM(B195:B203)</f>
        <v>325756019</v>
      </c>
      <c r="C204" s="191">
        <f>SUM(C195:C203)</f>
        <v>19164670</v>
      </c>
      <c r="D204" s="175">
        <f>SUM(D195:D203)</f>
        <v>22046014</v>
      </c>
      <c r="E204" s="175">
        <f>SUM(E195:E203)</f>
        <v>322874675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3712681</v>
      </c>
      <c r="C209" s="189">
        <v>262943</v>
      </c>
      <c r="D209" s="174"/>
      <c r="E209" s="175">
        <f t="shared" ref="E209:E216" si="13">SUM(B209:C209)-D209</f>
        <v>3975624</v>
      </c>
      <c r="H209" s="259"/>
    </row>
    <row r="210" spans="1:8" ht="12.6" customHeight="1" x14ac:dyDescent="0.25">
      <c r="A210" s="173" t="s">
        <v>334</v>
      </c>
      <c r="B210" s="174">
        <v>59951322</v>
      </c>
      <c r="C210" s="189">
        <v>4651019</v>
      </c>
      <c r="D210" s="174"/>
      <c r="E210" s="175">
        <f t="shared" si="13"/>
        <v>64602341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3"/>
        <v>0</v>
      </c>
      <c r="H211" s="259"/>
    </row>
    <row r="212" spans="1:8" ht="12.6" customHeight="1" x14ac:dyDescent="0.25">
      <c r="A212" s="173" t="s">
        <v>336</v>
      </c>
      <c r="B212" s="174">
        <v>19110819</v>
      </c>
      <c r="C212" s="189">
        <v>577844</v>
      </c>
      <c r="D212" s="174"/>
      <c r="E212" s="175">
        <f t="shared" si="13"/>
        <v>19688663</v>
      </c>
      <c r="H212" s="259"/>
    </row>
    <row r="213" spans="1:8" ht="12.6" customHeight="1" x14ac:dyDescent="0.25">
      <c r="A213" s="173" t="s">
        <v>337</v>
      </c>
      <c r="B213" s="174">
        <v>84037688</v>
      </c>
      <c r="C213" s="189">
        <v>9819772</v>
      </c>
      <c r="D213" s="174">
        <v>14544306</v>
      </c>
      <c r="E213" s="175">
        <f t="shared" si="13"/>
        <v>79313154</v>
      </c>
      <c r="H213" s="259"/>
    </row>
    <row r="214" spans="1:8" ht="12.6" customHeight="1" x14ac:dyDescent="0.25">
      <c r="A214" s="173" t="s">
        <v>338</v>
      </c>
      <c r="B214" s="174">
        <v>3283032</v>
      </c>
      <c r="C214" s="189">
        <f>721899</f>
        <v>721899</v>
      </c>
      <c r="D214" s="174">
        <v>2178435</v>
      </c>
      <c r="E214" s="175">
        <f t="shared" si="13"/>
        <v>1826496</v>
      </c>
      <c r="H214" s="259"/>
    </row>
    <row r="215" spans="1:8" ht="12.6" customHeight="1" x14ac:dyDescent="0.25">
      <c r="A215" s="173" t="s">
        <v>339</v>
      </c>
      <c r="B215" s="174">
        <v>6900280</v>
      </c>
      <c r="C215" s="189">
        <v>867986</v>
      </c>
      <c r="D215" s="174"/>
      <c r="E215" s="175">
        <f t="shared" si="13"/>
        <v>7768266</v>
      </c>
      <c r="H215" s="259"/>
    </row>
    <row r="216" spans="1:8" ht="12.6" customHeight="1" x14ac:dyDescent="0.25">
      <c r="A216" s="173" t="s">
        <v>340</v>
      </c>
      <c r="B216" s="174"/>
      <c r="C216" s="174"/>
      <c r="D216" s="174"/>
      <c r="E216" s="175">
        <f t="shared" si="13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176995822</v>
      </c>
      <c r="C217" s="191">
        <f>SUM(C208:C216)</f>
        <v>16901463</v>
      </c>
      <c r="D217" s="175">
        <f>SUM(D208:D216)</f>
        <v>16722741</v>
      </c>
      <c r="E217" s="175">
        <f>SUM(E208:E216)</f>
        <v>177174544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12245334</v>
      </c>
      <c r="D221" s="172">
        <f>C221</f>
        <v>12245334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503000892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188565437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10440518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39733358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176122249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-469246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917393208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3650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2744098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6219210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8963308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938601850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1783710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38120368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174127888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129133410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8175869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4468503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4717691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102260619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123824037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123824037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11712330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7320272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135655655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23120668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134528046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9856431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681273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322874675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177174544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145700131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13114971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10383497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23498468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320000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320000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395603255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19861195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46998392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427435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13390654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5212761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10076061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95966498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6029159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6029159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2609959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1925162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165499490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170034611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10076061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159958550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133649048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395603255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395603255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422116303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853659620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1275775923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12245334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917393208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8963308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938601850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337174073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25775700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25775700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362949773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166949879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40194863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16188357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61747577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3045172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40508222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16899840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8213976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4747796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2510917+5410436</f>
        <v>7921353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6286377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3388665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376092077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-13142304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6194948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-6947356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2307606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-4639750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SKAGIT REGIONAL HEALTH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8028</v>
      </c>
      <c r="C414" s="194">
        <f>E138</f>
        <v>8082.4409999999998</v>
      </c>
      <c r="D414" s="179"/>
    </row>
    <row r="415" spans="1:5" ht="12.6" customHeight="1" x14ac:dyDescent="0.25">
      <c r="A415" s="179" t="s">
        <v>464</v>
      </c>
      <c r="B415" s="179">
        <f>D111</f>
        <v>34916</v>
      </c>
      <c r="C415" s="179">
        <f>E139</f>
        <v>34930.464999999997</v>
      </c>
      <c r="D415" s="194">
        <f>SUM(C59:H59)+N59</f>
        <v>34916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864</v>
      </c>
    </row>
    <row r="424" spans="1:7" ht="12.6" customHeight="1" x14ac:dyDescent="0.25">
      <c r="A424" s="179" t="s">
        <v>1244</v>
      </c>
      <c r="B424" s="179">
        <f>D114</f>
        <v>1978</v>
      </c>
      <c r="D424" s="179">
        <f>J59</f>
        <v>1978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4">C378</f>
        <v>166949879</v>
      </c>
      <c r="C427" s="179">
        <f t="shared" ref="C427:C434" si="15">CE61</f>
        <v>166949879</v>
      </c>
      <c r="D427" s="179"/>
    </row>
    <row r="428" spans="1:7" ht="12.6" customHeight="1" x14ac:dyDescent="0.25">
      <c r="A428" s="179" t="s">
        <v>3</v>
      </c>
      <c r="B428" s="179">
        <f t="shared" si="14"/>
        <v>40194863</v>
      </c>
      <c r="C428" s="179">
        <f t="shared" si="15"/>
        <v>40194860</v>
      </c>
      <c r="D428" s="179">
        <f>D173</f>
        <v>40194863</v>
      </c>
    </row>
    <row r="429" spans="1:7" ht="12.6" customHeight="1" x14ac:dyDescent="0.25">
      <c r="A429" s="179" t="s">
        <v>236</v>
      </c>
      <c r="B429" s="179">
        <f t="shared" si="14"/>
        <v>16188357</v>
      </c>
      <c r="C429" s="179">
        <f t="shared" si="15"/>
        <v>16188357.289999999</v>
      </c>
      <c r="D429" s="179"/>
    </row>
    <row r="430" spans="1:7" ht="12.6" customHeight="1" x14ac:dyDescent="0.25">
      <c r="A430" s="179" t="s">
        <v>237</v>
      </c>
      <c r="B430" s="179">
        <f t="shared" si="14"/>
        <v>61747577</v>
      </c>
      <c r="C430" s="179">
        <f t="shared" si="15"/>
        <v>61747577</v>
      </c>
      <c r="D430" s="179"/>
    </row>
    <row r="431" spans="1:7" ht="12.6" customHeight="1" x14ac:dyDescent="0.25">
      <c r="A431" s="179" t="s">
        <v>444</v>
      </c>
      <c r="B431" s="179">
        <f t="shared" si="14"/>
        <v>3045172</v>
      </c>
      <c r="C431" s="179">
        <f t="shared" si="15"/>
        <v>3045172</v>
      </c>
      <c r="D431" s="179"/>
    </row>
    <row r="432" spans="1:7" ht="12.6" customHeight="1" x14ac:dyDescent="0.25">
      <c r="A432" s="179" t="s">
        <v>445</v>
      </c>
      <c r="B432" s="179">
        <f t="shared" si="14"/>
        <v>40508222</v>
      </c>
      <c r="C432" s="179">
        <f t="shared" si="15"/>
        <v>40508222</v>
      </c>
      <c r="D432" s="179"/>
    </row>
    <row r="433" spans="1:7" ht="12.6" customHeight="1" x14ac:dyDescent="0.25">
      <c r="A433" s="179" t="s">
        <v>6</v>
      </c>
      <c r="B433" s="179">
        <f t="shared" si="14"/>
        <v>16899840</v>
      </c>
      <c r="C433" s="179">
        <f t="shared" si="15"/>
        <v>16899842</v>
      </c>
      <c r="D433" s="179">
        <f>C217</f>
        <v>16901463</v>
      </c>
    </row>
    <row r="434" spans="1:7" ht="12.6" customHeight="1" x14ac:dyDescent="0.25">
      <c r="A434" s="179" t="s">
        <v>474</v>
      </c>
      <c r="B434" s="179">
        <f t="shared" si="14"/>
        <v>8213976</v>
      </c>
      <c r="C434" s="179">
        <f t="shared" si="15"/>
        <v>8213976</v>
      </c>
      <c r="D434" s="179">
        <f>D177</f>
        <v>8213976</v>
      </c>
    </row>
    <row r="435" spans="1:7" ht="12.6" customHeight="1" x14ac:dyDescent="0.25">
      <c r="A435" s="179" t="s">
        <v>447</v>
      </c>
      <c r="B435" s="179">
        <f t="shared" si="14"/>
        <v>4747796</v>
      </c>
      <c r="C435" s="179"/>
      <c r="D435" s="179">
        <f>D181</f>
        <v>4747796</v>
      </c>
    </row>
    <row r="436" spans="1:7" ht="12.6" customHeight="1" x14ac:dyDescent="0.25">
      <c r="A436" s="179" t="s">
        <v>475</v>
      </c>
      <c r="B436" s="179">
        <f t="shared" si="14"/>
        <v>7921353</v>
      </c>
      <c r="C436" s="179"/>
      <c r="D436" s="179">
        <f>D186</f>
        <v>7921353</v>
      </c>
    </row>
    <row r="437" spans="1:7" ht="12.6" customHeight="1" x14ac:dyDescent="0.25">
      <c r="A437" s="194" t="s">
        <v>449</v>
      </c>
      <c r="B437" s="194">
        <f t="shared" si="14"/>
        <v>6286377</v>
      </c>
      <c r="C437" s="194"/>
      <c r="D437" s="194">
        <f>D190</f>
        <v>6286377</v>
      </c>
    </row>
    <row r="438" spans="1:7" ht="12.6" customHeight="1" x14ac:dyDescent="0.25">
      <c r="A438" s="194" t="s">
        <v>476</v>
      </c>
      <c r="B438" s="194">
        <f>C386+C387+C388</f>
        <v>18955526</v>
      </c>
      <c r="C438" s="194">
        <f>CD69</f>
        <v>18955526</v>
      </c>
      <c r="D438" s="194">
        <f>D181+D186+D190</f>
        <v>18955526</v>
      </c>
    </row>
    <row r="439" spans="1:7" ht="12.6" customHeight="1" x14ac:dyDescent="0.25">
      <c r="A439" s="179" t="s">
        <v>451</v>
      </c>
      <c r="B439" s="194">
        <f>C389</f>
        <v>3388665</v>
      </c>
      <c r="C439" s="194">
        <f>SUM(C69:CC69)</f>
        <v>3388665</v>
      </c>
      <c r="D439" s="179"/>
    </row>
    <row r="440" spans="1:7" ht="12.6" customHeight="1" x14ac:dyDescent="0.25">
      <c r="A440" s="179" t="s">
        <v>477</v>
      </c>
      <c r="B440" s="194">
        <f>B438+B439</f>
        <v>22344191</v>
      </c>
      <c r="C440" s="194">
        <f>CE69</f>
        <v>22344191</v>
      </c>
      <c r="D440" s="179"/>
    </row>
    <row r="441" spans="1:7" ht="12.6" customHeight="1" x14ac:dyDescent="0.25">
      <c r="A441" s="179" t="s">
        <v>478</v>
      </c>
      <c r="B441" s="179">
        <f>D390</f>
        <v>376092077</v>
      </c>
      <c r="C441" s="179">
        <f>SUM(C427:C437)+C440</f>
        <v>376092076.28999996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12245334</v>
      </c>
      <c r="C444" s="179">
        <f>C363</f>
        <v>12245334</v>
      </c>
      <c r="D444" s="179"/>
    </row>
    <row r="445" spans="1:7" ht="12.6" customHeight="1" x14ac:dyDescent="0.25">
      <c r="A445" s="179" t="s">
        <v>343</v>
      </c>
      <c r="B445" s="179">
        <f>D229</f>
        <v>917393208</v>
      </c>
      <c r="C445" s="179">
        <f>C364</f>
        <v>917393208</v>
      </c>
      <c r="D445" s="179"/>
    </row>
    <row r="446" spans="1:7" ht="12.6" customHeight="1" x14ac:dyDescent="0.25">
      <c r="A446" s="179" t="s">
        <v>351</v>
      </c>
      <c r="B446" s="179">
        <f>D236</f>
        <v>8963308</v>
      </c>
      <c r="C446" s="179">
        <f>C365</f>
        <v>8963308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938601850</v>
      </c>
      <c r="C448" s="179">
        <f>D367</f>
        <v>938601850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3650</v>
      </c>
    </row>
    <row r="454" spans="1:7" ht="12.6" customHeight="1" x14ac:dyDescent="0.25">
      <c r="A454" s="179" t="s">
        <v>168</v>
      </c>
      <c r="B454" s="179">
        <f>C233</f>
        <v>2744098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6219210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25775700</v>
      </c>
      <c r="C458" s="194">
        <f>CE70</f>
        <v>25775700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422116303</v>
      </c>
      <c r="C463" s="194">
        <f>CE73</f>
        <v>422116303</v>
      </c>
      <c r="D463" s="194">
        <f>E141+E147+E153</f>
        <v>422116303</v>
      </c>
    </row>
    <row r="464" spans="1:7" ht="12.6" customHeight="1" x14ac:dyDescent="0.25">
      <c r="A464" s="179" t="s">
        <v>246</v>
      </c>
      <c r="B464" s="194">
        <f>C360</f>
        <v>853659620</v>
      </c>
      <c r="C464" s="194">
        <f>CE74</f>
        <v>853659620</v>
      </c>
      <c r="D464" s="194">
        <f>E142+E148+E154</f>
        <v>853659620</v>
      </c>
    </row>
    <row r="465" spans="1:7" ht="12.6" customHeight="1" x14ac:dyDescent="0.25">
      <c r="A465" s="179" t="s">
        <v>247</v>
      </c>
      <c r="B465" s="194">
        <f>D361</f>
        <v>1275775923</v>
      </c>
      <c r="C465" s="194">
        <f>CE75</f>
        <v>1275775923</v>
      </c>
      <c r="D465" s="194">
        <f>D463+D464</f>
        <v>1275775923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6">C267</f>
        <v>11712330</v>
      </c>
      <c r="C468" s="179">
        <f>E195</f>
        <v>11712330</v>
      </c>
      <c r="D468" s="179"/>
    </row>
    <row r="469" spans="1:7" ht="12.6" customHeight="1" x14ac:dyDescent="0.25">
      <c r="A469" s="179" t="s">
        <v>333</v>
      </c>
      <c r="B469" s="179">
        <f t="shared" si="16"/>
        <v>7320272</v>
      </c>
      <c r="C469" s="179">
        <f>E196</f>
        <v>7320272</v>
      </c>
      <c r="D469" s="179"/>
    </row>
    <row r="470" spans="1:7" ht="12.6" customHeight="1" x14ac:dyDescent="0.25">
      <c r="A470" s="179" t="s">
        <v>334</v>
      </c>
      <c r="B470" s="179">
        <f t="shared" si="16"/>
        <v>135655655</v>
      </c>
      <c r="C470" s="179">
        <f>E197</f>
        <v>135655655</v>
      </c>
      <c r="D470" s="179"/>
    </row>
    <row r="471" spans="1:7" ht="12.6" customHeight="1" x14ac:dyDescent="0.25">
      <c r="A471" s="179" t="s">
        <v>494</v>
      </c>
      <c r="B471" s="179">
        <f t="shared" si="16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6"/>
        <v>23120668</v>
      </c>
      <c r="C472" s="179">
        <f>E199</f>
        <v>23120668</v>
      </c>
      <c r="D472" s="179"/>
    </row>
    <row r="473" spans="1:7" ht="12.6" customHeight="1" x14ac:dyDescent="0.25">
      <c r="A473" s="179" t="s">
        <v>495</v>
      </c>
      <c r="B473" s="179">
        <f t="shared" si="16"/>
        <v>134528046</v>
      </c>
      <c r="C473" s="179">
        <f>SUM(E200:E201)</f>
        <v>134528046</v>
      </c>
      <c r="D473" s="179"/>
    </row>
    <row r="474" spans="1:7" ht="12.6" customHeight="1" x14ac:dyDescent="0.25">
      <c r="A474" s="179" t="s">
        <v>339</v>
      </c>
      <c r="B474" s="179">
        <f t="shared" si="16"/>
        <v>9856431</v>
      </c>
      <c r="C474" s="179">
        <f>E202</f>
        <v>9856431</v>
      </c>
      <c r="D474" s="179"/>
    </row>
    <row r="475" spans="1:7" ht="12.6" customHeight="1" x14ac:dyDescent="0.25">
      <c r="A475" s="179" t="s">
        <v>340</v>
      </c>
      <c r="B475" s="179">
        <f t="shared" si="16"/>
        <v>681273</v>
      </c>
      <c r="C475" s="179">
        <f>E203</f>
        <v>681273</v>
      </c>
      <c r="D475" s="179"/>
    </row>
    <row r="476" spans="1:7" ht="12.6" customHeight="1" x14ac:dyDescent="0.25">
      <c r="A476" s="179" t="s">
        <v>203</v>
      </c>
      <c r="B476" s="179">
        <f>D275</f>
        <v>322874675</v>
      </c>
      <c r="C476" s="179">
        <f>E204</f>
        <v>322874675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177174544</v>
      </c>
      <c r="C478" s="179">
        <f>E217</f>
        <v>177174544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395603255</v>
      </c>
    </row>
    <row r="482" spans="1:12" ht="12.6" customHeight="1" x14ac:dyDescent="0.25">
      <c r="A482" s="180" t="s">
        <v>499</v>
      </c>
      <c r="C482" s="180">
        <f>D339</f>
        <v>395603255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207</v>
      </c>
      <c r="B493" s="261" t="str">
        <f>RIGHT('Prior Year'!C83,4)</f>
        <v>207</v>
      </c>
      <c r="C493" s="261" t="str">
        <f>RIGHT(C82,4)</f>
        <v>2019</v>
      </c>
      <c r="D493" s="261" t="str">
        <f>RIGHT('Prior Year'!C83,4)</f>
        <v>207</v>
      </c>
      <c r="E493" s="261" t="str">
        <f>RIGHT(C82,4)</f>
        <v>2019</v>
      </c>
      <c r="F493" s="261" t="str">
        <f>RIGHT('Prior Year'!C83,4)</f>
        <v>207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3577761</v>
      </c>
      <c r="C496" s="240">
        <f>C71</f>
        <v>3777378.02</v>
      </c>
      <c r="D496" s="240">
        <f>'Prior Year'!C59</f>
        <v>2210</v>
      </c>
      <c r="E496" s="180">
        <f>C59</f>
        <v>2214</v>
      </c>
      <c r="F496" s="263">
        <f t="shared" ref="F496:G511" si="17">IF(B496=0,"",IF(D496=0,"",B496/D496))</f>
        <v>1618.8963800904978</v>
      </c>
      <c r="G496" s="264">
        <f t="shared" si="17"/>
        <v>1706.1328003613369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7"/>
        <v/>
      </c>
      <c r="G497" s="263" t="str">
        <f t="shared" si="17"/>
        <v/>
      </c>
      <c r="H497" s="265" t="str">
        <f t="shared" ref="H497:H550" si="18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21705831.240000002</v>
      </c>
      <c r="C498" s="240">
        <f>E71</f>
        <v>20425560</v>
      </c>
      <c r="D498" s="240">
        <f>'Prior Year'!E59</f>
        <v>26742</v>
      </c>
      <c r="E498" s="180">
        <f>E59</f>
        <v>27309</v>
      </c>
      <c r="F498" s="263">
        <f t="shared" si="17"/>
        <v>811.67568768229762</v>
      </c>
      <c r="G498" s="263">
        <f t="shared" si="17"/>
        <v>747.94243655937601</v>
      </c>
      <c r="H498" s="265" t="str">
        <f t="shared" si="18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3662530</v>
      </c>
      <c r="C499" s="240">
        <f>F71</f>
        <v>4006340</v>
      </c>
      <c r="D499" s="240">
        <f>'Prior Year'!F59</f>
        <v>1797</v>
      </c>
      <c r="E499" s="180">
        <f>F59</f>
        <v>1671</v>
      </c>
      <c r="F499" s="263">
        <f t="shared" si="17"/>
        <v>2038.1357818586532</v>
      </c>
      <c r="G499" s="263">
        <f t="shared" si="17"/>
        <v>2397.5703171753439</v>
      </c>
      <c r="H499" s="265" t="str">
        <f t="shared" si="18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7"/>
        <v/>
      </c>
      <c r="G500" s="263" t="str">
        <f t="shared" si="17"/>
        <v/>
      </c>
      <c r="H500" s="265" t="str">
        <f t="shared" si="18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3074878</v>
      </c>
      <c r="C501" s="240">
        <f>H71</f>
        <v>3028395</v>
      </c>
      <c r="D501" s="240">
        <f>'Prior Year'!H59</f>
        <v>4156</v>
      </c>
      <c r="E501" s="180">
        <f>H59</f>
        <v>3722</v>
      </c>
      <c r="F501" s="263">
        <f t="shared" si="17"/>
        <v>739.86477382098167</v>
      </c>
      <c r="G501" s="263">
        <f t="shared" si="17"/>
        <v>813.6472326706072</v>
      </c>
      <c r="H501" s="265" t="str">
        <f t="shared" si="18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7"/>
        <v/>
      </c>
      <c r="G502" s="263" t="str">
        <f t="shared" si="17"/>
        <v/>
      </c>
      <c r="H502" s="265" t="str">
        <f t="shared" si="18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1451331</v>
      </c>
      <c r="C503" s="240">
        <f>J71</f>
        <v>1556791</v>
      </c>
      <c r="D503" s="240">
        <f>'Prior Year'!J59</f>
        <v>2108</v>
      </c>
      <c r="E503" s="180">
        <f>J59</f>
        <v>1978</v>
      </c>
      <c r="F503" s="263">
        <f t="shared" si="17"/>
        <v>688.4871916508539</v>
      </c>
      <c r="G503" s="263">
        <f t="shared" si="17"/>
        <v>787.05308392315465</v>
      </c>
      <c r="H503" s="265" t="str">
        <f t="shared" si="18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7"/>
        <v/>
      </c>
      <c r="G504" s="263" t="str">
        <f t="shared" si="17"/>
        <v/>
      </c>
      <c r="H504" s="265" t="str">
        <f t="shared" si="18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7"/>
        <v/>
      </c>
      <c r="G505" s="263" t="str">
        <f t="shared" si="17"/>
        <v/>
      </c>
      <c r="H505" s="265" t="str">
        <f t="shared" si="18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7"/>
        <v/>
      </c>
      <c r="G506" s="263" t="str">
        <f t="shared" si="17"/>
        <v/>
      </c>
      <c r="H506" s="265" t="str">
        <f t="shared" si="18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7"/>
        <v/>
      </c>
      <c r="G507" s="263" t="str">
        <f t="shared" si="17"/>
        <v/>
      </c>
      <c r="H507" s="265" t="str">
        <f t="shared" si="18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2585549</v>
      </c>
      <c r="C508" s="240">
        <f>O71</f>
        <v>2644425</v>
      </c>
      <c r="D508" s="240">
        <f>'Prior Year'!O59</f>
        <v>927</v>
      </c>
      <c r="E508" s="180">
        <f>O59</f>
        <v>864</v>
      </c>
      <c r="F508" s="263">
        <f t="shared" si="17"/>
        <v>2789.1574973031284</v>
      </c>
      <c r="G508" s="263">
        <f t="shared" si="17"/>
        <v>3060.6770833333335</v>
      </c>
      <c r="H508" s="265" t="str">
        <f t="shared" si="18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13146639</v>
      </c>
      <c r="C509" s="240">
        <f>P71</f>
        <v>15630957</v>
      </c>
      <c r="D509" s="240">
        <f>'Prior Year'!P59</f>
        <v>571389</v>
      </c>
      <c r="E509" s="180">
        <f>P59</f>
        <v>606766</v>
      </c>
      <c r="F509" s="263">
        <f t="shared" si="17"/>
        <v>23.008211568651131</v>
      </c>
      <c r="G509" s="263">
        <f t="shared" si="17"/>
        <v>25.761095710702314</v>
      </c>
      <c r="H509" s="265" t="str">
        <f t="shared" si="18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2518956</v>
      </c>
      <c r="C510" s="240">
        <f>Q71</f>
        <v>2707636</v>
      </c>
      <c r="D510" s="240">
        <f>'Prior Year'!Q59</f>
        <v>235023</v>
      </c>
      <c r="E510" s="180">
        <f>Q59</f>
        <v>269392</v>
      </c>
      <c r="F510" s="263">
        <f t="shared" si="17"/>
        <v>10.717912714925774</v>
      </c>
      <c r="G510" s="263">
        <f t="shared" si="17"/>
        <v>10.050914652253965</v>
      </c>
      <c r="H510" s="265" t="str">
        <f t="shared" si="18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1992206</v>
      </c>
      <c r="C511" s="240">
        <f>R71</f>
        <v>1096554</v>
      </c>
      <c r="D511" s="240">
        <f>'Prior Year'!R59</f>
        <v>664142</v>
      </c>
      <c r="E511" s="180">
        <f>R59</f>
        <v>744722</v>
      </c>
      <c r="F511" s="263">
        <f t="shared" si="17"/>
        <v>2.9996687455393576</v>
      </c>
      <c r="G511" s="263">
        <f t="shared" si="17"/>
        <v>1.4724340089321921</v>
      </c>
      <c r="H511" s="265">
        <f t="shared" si="18"/>
        <v>-0.50913446322305833</v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1733809</v>
      </c>
      <c r="C512" s="240">
        <f>S71</f>
        <v>1982271</v>
      </c>
      <c r="D512" s="181" t="s">
        <v>529</v>
      </c>
      <c r="E512" s="181" t="s">
        <v>529</v>
      </c>
      <c r="F512" s="263" t="str">
        <f t="shared" ref="F512:G527" si="19">IF(B512=0,"",IF(D512=0,"",B512/D512))</f>
        <v/>
      </c>
      <c r="G512" s="263" t="str">
        <f t="shared" si="19"/>
        <v/>
      </c>
      <c r="H512" s="265" t="str">
        <f t="shared" si="18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700444</v>
      </c>
      <c r="C513" s="240">
        <f>T71</f>
        <v>733418</v>
      </c>
      <c r="D513" s="181" t="s">
        <v>529</v>
      </c>
      <c r="E513" s="181" t="s">
        <v>529</v>
      </c>
      <c r="F513" s="263" t="str">
        <f t="shared" si="19"/>
        <v/>
      </c>
      <c r="G513" s="263" t="str">
        <f t="shared" si="19"/>
        <v/>
      </c>
      <c r="H513" s="265" t="str">
        <f t="shared" si="18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14052994</v>
      </c>
      <c r="C514" s="240">
        <f>U71</f>
        <v>10302884</v>
      </c>
      <c r="D514" s="240">
        <f>'Prior Year'!U59</f>
        <v>721845</v>
      </c>
      <c r="E514" s="180">
        <f>U59</f>
        <v>704001</v>
      </c>
      <c r="F514" s="263">
        <f t="shared" si="19"/>
        <v>19.468160062063184</v>
      </c>
      <c r="G514" s="263">
        <f t="shared" si="19"/>
        <v>14.634757621082924</v>
      </c>
      <c r="H514" s="265" t="str">
        <f t="shared" si="18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209267</v>
      </c>
      <c r="C515" s="240">
        <f>V71</f>
        <v>226865</v>
      </c>
      <c r="D515" s="240">
        <f>'Prior Year'!V59</f>
        <v>2015</v>
      </c>
      <c r="E515" s="180">
        <f>V59</f>
        <v>2132</v>
      </c>
      <c r="F515" s="263">
        <f t="shared" si="19"/>
        <v>103.85459057071961</v>
      </c>
      <c r="G515" s="263">
        <f t="shared" si="19"/>
        <v>106.4094746716698</v>
      </c>
      <c r="H515" s="265" t="str">
        <f t="shared" si="18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3589903</v>
      </c>
      <c r="C516" s="240">
        <f>W71</f>
        <v>2371820</v>
      </c>
      <c r="D516" s="240">
        <f>'Prior Year'!W59</f>
        <v>85632</v>
      </c>
      <c r="E516" s="180">
        <f>W59</f>
        <v>71220.75</v>
      </c>
      <c r="F516" s="263">
        <f t="shared" si="19"/>
        <v>41.922447215994019</v>
      </c>
      <c r="G516" s="263">
        <f t="shared" si="19"/>
        <v>33.302373254985383</v>
      </c>
      <c r="H516" s="265" t="str">
        <f t="shared" si="18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5032871</v>
      </c>
      <c r="C517" s="240">
        <f>X71</f>
        <v>5086806</v>
      </c>
      <c r="D517" s="240">
        <f>'Prior Year'!X59</f>
        <v>128543</v>
      </c>
      <c r="E517" s="180">
        <f>X59</f>
        <v>124843.44</v>
      </c>
      <c r="F517" s="263">
        <f t="shared" si="19"/>
        <v>39.153209431863267</v>
      </c>
      <c r="G517" s="263">
        <f t="shared" si="19"/>
        <v>40.745480899917531</v>
      </c>
      <c r="H517" s="265" t="str">
        <f t="shared" si="18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12943698.200000001</v>
      </c>
      <c r="C518" s="240">
        <f>Y71</f>
        <v>13942007</v>
      </c>
      <c r="D518" s="240">
        <f>'Prior Year'!Y59</f>
        <v>152347</v>
      </c>
      <c r="E518" s="180">
        <f>Y59</f>
        <v>161018.75</v>
      </c>
      <c r="F518" s="263">
        <f t="shared" si="19"/>
        <v>84.961950021989281</v>
      </c>
      <c r="G518" s="263">
        <f t="shared" si="19"/>
        <v>86.586232969762833</v>
      </c>
      <c r="H518" s="265" t="str">
        <f t="shared" si="18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3307864</v>
      </c>
      <c r="C519" s="240">
        <f>Z71</f>
        <v>3413962</v>
      </c>
      <c r="D519" s="240">
        <f>'Prior Year'!Z59</f>
        <v>13651</v>
      </c>
      <c r="E519" s="180">
        <f>Z59</f>
        <v>0</v>
      </c>
      <c r="F519" s="263">
        <f t="shared" si="19"/>
        <v>242.3166068419896</v>
      </c>
      <c r="G519" s="263" t="str">
        <f t="shared" si="19"/>
        <v/>
      </c>
      <c r="H519" s="265" t="str">
        <f t="shared" si="18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1255009</v>
      </c>
      <c r="C520" s="240">
        <f>AA71</f>
        <v>1348844</v>
      </c>
      <c r="D520" s="240">
        <f>'Prior Year'!AA59</f>
        <v>27793</v>
      </c>
      <c r="E520" s="180">
        <f>AA59</f>
        <v>29172.309999999998</v>
      </c>
      <c r="F520" s="263">
        <f t="shared" si="19"/>
        <v>45.155578742848917</v>
      </c>
      <c r="G520" s="263">
        <f t="shared" si="19"/>
        <v>46.237133775144997</v>
      </c>
      <c r="H520" s="265" t="str">
        <f t="shared" si="18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31199375</v>
      </c>
      <c r="C521" s="240">
        <f>AB71</f>
        <v>35039193</v>
      </c>
      <c r="D521" s="181" t="s">
        <v>529</v>
      </c>
      <c r="E521" s="181" t="s">
        <v>529</v>
      </c>
      <c r="F521" s="263" t="str">
        <f t="shared" si="19"/>
        <v/>
      </c>
      <c r="G521" s="263" t="str">
        <f t="shared" si="19"/>
        <v/>
      </c>
      <c r="H521" s="265" t="str">
        <f t="shared" si="18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1910921.24</v>
      </c>
      <c r="C522" s="240">
        <f>AC71</f>
        <v>2073908</v>
      </c>
      <c r="D522" s="240">
        <f>'Prior Year'!AC59</f>
        <v>43391</v>
      </c>
      <c r="E522" s="180">
        <f>AC59</f>
        <v>52189</v>
      </c>
      <c r="F522" s="263">
        <f t="shared" si="19"/>
        <v>44.039575948929503</v>
      </c>
      <c r="G522" s="263">
        <f t="shared" si="19"/>
        <v>39.738412309107282</v>
      </c>
      <c r="H522" s="265" t="str">
        <f t="shared" si="18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4903362</v>
      </c>
      <c r="C523" s="240">
        <f>AD71</f>
        <v>954285</v>
      </c>
      <c r="D523" s="240">
        <f>'Prior Year'!AD59</f>
        <v>28450</v>
      </c>
      <c r="E523" s="180">
        <f>AD59</f>
        <v>0</v>
      </c>
      <c r="F523" s="263">
        <f t="shared" si="19"/>
        <v>172.350158172232</v>
      </c>
      <c r="G523" s="263" t="str">
        <f t="shared" si="19"/>
        <v/>
      </c>
      <c r="H523" s="265" t="str">
        <f t="shared" si="18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1314133.71</v>
      </c>
      <c r="C524" s="240">
        <f>AE71</f>
        <v>1647235</v>
      </c>
      <c r="D524" s="240">
        <f>'Prior Year'!AE59</f>
        <v>30833</v>
      </c>
      <c r="E524" s="180">
        <f>AE59</f>
        <v>31206</v>
      </c>
      <c r="F524" s="263">
        <f t="shared" si="19"/>
        <v>42.621013524470534</v>
      </c>
      <c r="G524" s="263">
        <f t="shared" si="19"/>
        <v>52.785842466192399</v>
      </c>
      <c r="H524" s="265" t="str">
        <f t="shared" si="18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9"/>
        <v/>
      </c>
      <c r="G525" s="263" t="str">
        <f t="shared" si="19"/>
        <v/>
      </c>
      <c r="H525" s="265" t="str">
        <f t="shared" si="18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7195949</v>
      </c>
      <c r="C526" s="240">
        <f>AG71</f>
        <v>7754142</v>
      </c>
      <c r="D526" s="240">
        <f>'Prior Year'!AG59</f>
        <v>34324</v>
      </c>
      <c r="E526" s="180">
        <f>AG59</f>
        <v>33900</v>
      </c>
      <c r="F526" s="263">
        <f t="shared" si="19"/>
        <v>209.64773919123644</v>
      </c>
      <c r="G526" s="263">
        <f t="shared" si="19"/>
        <v>228.73575221238937</v>
      </c>
      <c r="H526" s="265" t="str">
        <f t="shared" si="18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9"/>
        <v/>
      </c>
      <c r="G527" s="263" t="str">
        <f t="shared" si="19"/>
        <v/>
      </c>
      <c r="H527" s="265" t="str">
        <f t="shared" si="18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20">IF(B528=0,"",IF(D528=0,"",B528/D528))</f>
        <v/>
      </c>
      <c r="G528" s="263" t="str">
        <f t="shared" si="20"/>
        <v/>
      </c>
      <c r="H528" s="265" t="str">
        <f t="shared" si="18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5946030.7299999995</v>
      </c>
      <c r="C529" s="240">
        <f>AJ71</f>
        <v>7563783</v>
      </c>
      <c r="D529" s="240">
        <f>'Prior Year'!AJ59</f>
        <v>31727</v>
      </c>
      <c r="E529" s="180">
        <f>AJ59</f>
        <v>19058</v>
      </c>
      <c r="F529" s="263">
        <f t="shared" si="20"/>
        <v>187.41232168184825</v>
      </c>
      <c r="G529" s="263">
        <f t="shared" si="20"/>
        <v>396.88230664287966</v>
      </c>
      <c r="H529" s="265">
        <f t="shared" si="18"/>
        <v>1.1176959075115045</v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174709</v>
      </c>
      <c r="C530" s="240">
        <f>AK71</f>
        <v>228498</v>
      </c>
      <c r="D530" s="240">
        <f>'Prior Year'!AK59</f>
        <v>4543</v>
      </c>
      <c r="E530" s="180">
        <f>AK59</f>
        <v>6824</v>
      </c>
      <c r="F530" s="263">
        <f t="shared" si="20"/>
        <v>38.456746643187323</v>
      </c>
      <c r="G530" s="263">
        <f t="shared" si="20"/>
        <v>33.48446658851114</v>
      </c>
      <c r="H530" s="265" t="str">
        <f t="shared" si="18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289341</v>
      </c>
      <c r="C531" s="240">
        <f>AL71</f>
        <v>359096</v>
      </c>
      <c r="D531" s="240">
        <f>'Prior Year'!AL59</f>
        <v>3798</v>
      </c>
      <c r="E531" s="180">
        <f>AL59</f>
        <v>4470</v>
      </c>
      <c r="F531" s="263">
        <f t="shared" si="20"/>
        <v>76.182464454976298</v>
      </c>
      <c r="G531" s="263">
        <f t="shared" si="20"/>
        <v>80.334675615212532</v>
      </c>
      <c r="H531" s="265" t="str">
        <f t="shared" si="18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20"/>
        <v/>
      </c>
      <c r="G532" s="263" t="str">
        <f t="shared" si="20"/>
        <v/>
      </c>
      <c r="H532" s="265" t="str">
        <f t="shared" si="18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20"/>
        <v/>
      </c>
      <c r="G533" s="263" t="str">
        <f t="shared" si="20"/>
        <v/>
      </c>
      <c r="H533" s="265" t="str">
        <f t="shared" si="18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1071007</v>
      </c>
      <c r="C534" s="240">
        <f>AO71</f>
        <v>1251267</v>
      </c>
      <c r="D534" s="240">
        <f>'Prior Year'!AO59</f>
        <v>5333</v>
      </c>
      <c r="E534" s="180">
        <f>AO59</f>
        <v>0</v>
      </c>
      <c r="F534" s="263">
        <f t="shared" si="20"/>
        <v>200.82636414775922</v>
      </c>
      <c r="G534" s="263" t="str">
        <f t="shared" si="20"/>
        <v/>
      </c>
      <c r="H534" s="265" t="str">
        <f t="shared" si="18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79189806</v>
      </c>
      <c r="C535" s="240">
        <f>AP71</f>
        <v>96125475</v>
      </c>
      <c r="D535" s="240">
        <f>'Prior Year'!AP59</f>
        <v>303646</v>
      </c>
      <c r="E535" s="180">
        <f>AP59</f>
        <v>312756</v>
      </c>
      <c r="F535" s="263">
        <f t="shared" si="20"/>
        <v>260.7964735250917</v>
      </c>
      <c r="G535" s="263">
        <f t="shared" si="20"/>
        <v>307.3497390937344</v>
      </c>
      <c r="H535" s="265" t="str">
        <f t="shared" si="18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20"/>
        <v/>
      </c>
      <c r="G536" s="263" t="str">
        <f t="shared" si="20"/>
        <v/>
      </c>
      <c r="H536" s="265" t="str">
        <f t="shared" si="18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20"/>
        <v/>
      </c>
      <c r="G537" s="263" t="str">
        <f t="shared" si="20"/>
        <v/>
      </c>
      <c r="H537" s="265" t="str">
        <f t="shared" si="18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20"/>
        <v/>
      </c>
      <c r="G538" s="263" t="str">
        <f t="shared" si="20"/>
        <v/>
      </c>
      <c r="H538" s="265" t="str">
        <f t="shared" si="18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20"/>
        <v/>
      </c>
      <c r="G539" s="263" t="str">
        <f t="shared" si="20"/>
        <v/>
      </c>
      <c r="H539" s="265" t="str">
        <f t="shared" si="18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20"/>
        <v/>
      </c>
      <c r="G540" s="263" t="str">
        <f t="shared" si="20"/>
        <v/>
      </c>
      <c r="H540" s="265" t="str">
        <f t="shared" si="18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11565732</v>
      </c>
      <c r="C541" s="240">
        <f>AV71</f>
        <v>9732296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4395422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372588</v>
      </c>
      <c r="C543" s="240">
        <f>AX71</f>
        <v>372107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2205301</v>
      </c>
      <c r="C544" s="240">
        <f>AY71</f>
        <v>2325457</v>
      </c>
      <c r="D544" s="240">
        <f>'Prior Year'!AY59</f>
        <v>404444</v>
      </c>
      <c r="E544" s="180">
        <f>AY59</f>
        <v>437049</v>
      </c>
      <c r="F544" s="263">
        <f t="shared" ref="F544:G550" si="21">IF(B544=0,"",IF(D544=0,"",B544/D544))</f>
        <v>5.4526732996409883</v>
      </c>
      <c r="G544" s="263">
        <f t="shared" si="21"/>
        <v>5.3208152861578446</v>
      </c>
      <c r="H544" s="265" t="str">
        <f t="shared" si="18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21"/>
        <v/>
      </c>
      <c r="G545" s="263" t="str">
        <f t="shared" si="21"/>
        <v/>
      </c>
      <c r="H545" s="265" t="str">
        <f t="shared" si="18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831440</v>
      </c>
      <c r="C546" s="240">
        <f>BA71</f>
        <v>882467</v>
      </c>
      <c r="D546" s="240">
        <f>'Prior Year'!BA59</f>
        <v>0</v>
      </c>
      <c r="E546" s="180">
        <f>BA59</f>
        <v>0</v>
      </c>
      <c r="F546" s="263" t="str">
        <f t="shared" si="21"/>
        <v/>
      </c>
      <c r="G546" s="263" t="str">
        <f t="shared" si="21"/>
        <v/>
      </c>
      <c r="H546" s="265" t="str">
        <f t="shared" si="18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22202</v>
      </c>
      <c r="C548" s="240">
        <f>BC71</f>
        <v>31935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852041</v>
      </c>
      <c r="C549" s="240">
        <f>BD71</f>
        <v>1082610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9903903.2199999988</v>
      </c>
      <c r="C550" s="240">
        <f>BE71</f>
        <v>10575881</v>
      </c>
      <c r="D550" s="240">
        <f>'Prior Year'!BE59</f>
        <v>794314</v>
      </c>
      <c r="E550" s="180">
        <f>BE59</f>
        <v>794314</v>
      </c>
      <c r="F550" s="263">
        <f t="shared" si="21"/>
        <v>12.46849888079525</v>
      </c>
      <c r="G550" s="263">
        <f t="shared" si="21"/>
        <v>13.314483944636503</v>
      </c>
      <c r="H550" s="265" t="str">
        <f t="shared" si="18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2214979</v>
      </c>
      <c r="C551" s="240">
        <f>BF71</f>
        <v>2455085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1383662</v>
      </c>
      <c r="C552" s="240">
        <f>BG71</f>
        <v>1636186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26122794</v>
      </c>
      <c r="C553" s="240">
        <f>BH71</f>
        <v>25178365.02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556808</v>
      </c>
      <c r="C554" s="240">
        <f>BI71</f>
        <v>1064061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2021338</v>
      </c>
      <c r="C555" s="240">
        <f>BJ71</f>
        <v>2312406.25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5795559</v>
      </c>
      <c r="C556" s="240">
        <f>BK71</f>
        <v>4897767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3481668</v>
      </c>
      <c r="C557" s="240">
        <f>BL71</f>
        <v>3628791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1890244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6706370.4499999993</v>
      </c>
      <c r="C559" s="240">
        <f>BN71</f>
        <v>6888716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187042</v>
      </c>
      <c r="C560" s="240">
        <f>BO71</f>
        <v>294346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2949984</v>
      </c>
      <c r="C561" s="240">
        <f>BP71</f>
        <v>1917158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1934572</v>
      </c>
      <c r="C563" s="240">
        <f>BR71</f>
        <v>2809911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531344</v>
      </c>
      <c r="C564" s="240">
        <f>BS71</f>
        <v>518791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4352164</v>
      </c>
      <c r="C567" s="240">
        <f>BV71</f>
        <v>3993355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942539</v>
      </c>
      <c r="C568" s="240">
        <f>BW71</f>
        <v>926460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5383474</v>
      </c>
      <c r="C569" s="240">
        <f>BX71</f>
        <v>6597253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1374408</v>
      </c>
      <c r="C570" s="240">
        <f>BY71</f>
        <v>1048014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683588</v>
      </c>
      <c r="C571" s="240">
        <f>BZ71</f>
        <v>631593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11480</v>
      </c>
      <c r="C573" s="240">
        <f>CB71</f>
        <v>11753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13944358</v>
      </c>
      <c r="C574" s="240">
        <f>CC71</f>
        <v>13648569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-21417995</v>
      </c>
      <c r="C575" s="240">
        <f>CD71</f>
        <v>-6820174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570246</v>
      </c>
      <c r="E612" s="180">
        <f>SUM(C624:D647)+SUM(C668:D713)</f>
        <v>322753010.75039691</v>
      </c>
      <c r="F612" s="180">
        <f>CE64-(AX64+BD64+BE64+BG64+BJ64+BN64+BP64+BQ64+CB64+CC64+CD64)</f>
        <v>60955109</v>
      </c>
      <c r="G612" s="180">
        <f>CE77-(AX77+AY77+BD77+BE77+BG77+BJ77+BN77+BP77+BQ77+CB77+CC77+CD77)</f>
        <v>97764.799999999988</v>
      </c>
      <c r="H612" s="197">
        <f>CE60-(AX60+AY60+AZ60+BD60+BE60+BG60+BJ60+BN60+BO60+BP60+BQ60+BR60+CB60+CC60+CD60)</f>
        <v>1519.2575743835619</v>
      </c>
      <c r="I612" s="180">
        <f>CE78-(AX78+AY78+AZ78+BD78+BE78+BF78+BG78+BJ78+BN78+BO78+BP78+BQ78+BR78+CB78+CC78+CD78)</f>
        <v>78907.10000000002</v>
      </c>
      <c r="J612" s="180">
        <f>CE79-(AX79+AY79+AZ79+BA79+BD79+BE79+BF79+BG79+BJ79+BN79+BO79+BP79+BQ79+BR79+CB79+CC79+CD79)</f>
        <v>952236.7</v>
      </c>
      <c r="K612" s="180">
        <f>CE75-(AW75+AX75+AY75+AZ75+BA75+BB75+BC75+BD75+BE75+BF75+BG75+BH75+BI75+BJ75+BK75+BL75+BM75+BN75+BO75+BP75+BQ75+BR75+BS75+BT75+BU75+BV75+BW75+BX75+CB75+CC75+CD75)</f>
        <v>1275775923</v>
      </c>
      <c r="L612" s="197">
        <f>CE80-(AW80+AX80+AY80+AZ80+BA80+BB80+BC80+BD80+BE80+BF80+BG80+BH80+BI80+BJ80+BK80+BL80+BM80+BN80+BO80+BP80+BQ80+BR80+BS80+BT80+BU80+BV80+BW80+BX80+BY80+BZ80+CA80+CB80+CC80+CD80)</f>
        <v>352.51999999999992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10575881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-6820174</v>
      </c>
      <c r="D615" s="266">
        <f>SUM(C614:C615)</f>
        <v>3755707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372107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2312406.25</v>
      </c>
      <c r="D617" s="180">
        <f>(D615/D612)*BJ76</f>
        <v>64550.534869161733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1636186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6888716</v>
      </c>
      <c r="D619" s="180">
        <f>(D615/D612)*BN76</f>
        <v>33009.619504564696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13648569</v>
      </c>
      <c r="D620" s="180">
        <f>(D615/D612)*CC76</f>
        <v>675834.41848781053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1917158</v>
      </c>
      <c r="D621" s="180">
        <f>(D615/D612)*BP76</f>
        <v>3075.7167415466306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11753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27563365.539603084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1082610</v>
      </c>
      <c r="D624" s="180">
        <f>(D615/D612)*BD76</f>
        <v>39977.731522886614</v>
      </c>
      <c r="E624" s="180">
        <f>(E623/E612)*SUM(C624:D624)</f>
        <v>95869.891104342169</v>
      </c>
      <c r="F624" s="180">
        <f>SUM(C624:E624)</f>
        <v>1218457.6226272287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2325457</v>
      </c>
      <c r="D625" s="180">
        <f>(D615/D612)*AY76</f>
        <v>58702.06277816942</v>
      </c>
      <c r="E625" s="180">
        <f>(E623/E612)*SUM(C625:D625)</f>
        <v>203609.09290706395</v>
      </c>
      <c r="F625" s="180">
        <f>(F624/F612)*AY64</f>
        <v>-9565.3799666706655</v>
      </c>
      <c r="G625" s="180">
        <f>SUM(C625:F625)</f>
        <v>2578202.7757185628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2809911</v>
      </c>
      <c r="D626" s="180">
        <f>(D615/D612)*BR76</f>
        <v>23472.921770604265</v>
      </c>
      <c r="E626" s="180">
        <f>(E623/E612)*SUM(C626:D626)</f>
        <v>241973.25554987491</v>
      </c>
      <c r="F626" s="180">
        <f>(F624/F612)*BR64</f>
        <v>1766.5854860058403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294346</v>
      </c>
      <c r="D627" s="180">
        <f>(D615/D612)*BO76</f>
        <v>0</v>
      </c>
      <c r="E627" s="180">
        <f>(E623/E612)*SUM(C627:D627)</f>
        <v>25137.384076625636</v>
      </c>
      <c r="F627" s="180">
        <f>(F624/F612)*BO64</f>
        <v>208.58965721995725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3396815.736540331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2455085</v>
      </c>
      <c r="D629" s="180">
        <f>(D615/D612)*BF76</f>
        <v>22261.076202200453</v>
      </c>
      <c r="E629" s="180">
        <f>(E623/E612)*SUM(C629:D629)</f>
        <v>211567.33846634976</v>
      </c>
      <c r="F629" s="180">
        <f>(F624/F612)*BF64</f>
        <v>3851.1227772575489</v>
      </c>
      <c r="G629" s="180">
        <f>(G625/G612)*BF77</f>
        <v>0</v>
      </c>
      <c r="H629" s="180">
        <f>(H628/H612)*BF60</f>
        <v>85061.850882552724</v>
      </c>
      <c r="I629" s="180">
        <f>SUM(C629:H629)</f>
        <v>2777826.3883283599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882467</v>
      </c>
      <c r="D630" s="180">
        <f>(D615/D612)*BA76</f>
        <v>8265.5771105803469</v>
      </c>
      <c r="E630" s="180">
        <f>(E623/E612)*SUM(C630:D630)</f>
        <v>76069.27527600585</v>
      </c>
      <c r="F630" s="180">
        <f>(F624/F612)*BA64</f>
        <v>19.209838101425866</v>
      </c>
      <c r="G630" s="180">
        <f>(G625/G612)*BA77</f>
        <v>0</v>
      </c>
      <c r="H630" s="180">
        <f>(H628/H612)*BA60</f>
        <v>0</v>
      </c>
      <c r="I630" s="180">
        <f>(I629/I612)*BA78</f>
        <v>16520.655094337908</v>
      </c>
      <c r="J630" s="180">
        <f>SUM(C630:I630)</f>
        <v>983341.71731902554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4395422</v>
      </c>
      <c r="D631" s="180">
        <f>(D615/D612)*AW76</f>
        <v>0</v>
      </c>
      <c r="E631" s="180">
        <f>(E623/E612)*SUM(C631:D631)</f>
        <v>375372.55812156445</v>
      </c>
      <c r="F631" s="180">
        <f>(F624/F612)*AW64</f>
        <v>1920.12426483732</v>
      </c>
      <c r="G631" s="180">
        <f>(G625/G612)*AW77</f>
        <v>0</v>
      </c>
      <c r="H631" s="180">
        <f>(H628/H612)*AW60</f>
        <v>106011.55850485651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31935</v>
      </c>
      <c r="D633" s="180">
        <f>(D615/D612)*BC76</f>
        <v>0</v>
      </c>
      <c r="E633" s="180">
        <f>(E623/E612)*SUM(C633:D633)</f>
        <v>2727.2745696800353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1064061</v>
      </c>
      <c r="D634" s="180">
        <f>(D615/D612)*BI76</f>
        <v>9977.9675876726888</v>
      </c>
      <c r="E634" s="180">
        <f>(E623/E612)*SUM(C634:D634)</f>
        <v>91723.787792304967</v>
      </c>
      <c r="F634" s="180">
        <f>(F624/F612)*BI64</f>
        <v>3657.4252421869801</v>
      </c>
      <c r="G634" s="180">
        <f>(G625/G612)*BI77</f>
        <v>0</v>
      </c>
      <c r="H634" s="180">
        <f>(H628/H612)*BI60</f>
        <v>26123.545957531773</v>
      </c>
      <c r="I634" s="180">
        <f>(I629/I612)*BI78</f>
        <v>19943.260930615084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4897767</v>
      </c>
      <c r="D635" s="180">
        <f>(D615/D612)*BK76</f>
        <v>12836.342460972985</v>
      </c>
      <c r="E635" s="180">
        <f>(E623/E612)*SUM(C635:D635)</f>
        <v>419369.45726255188</v>
      </c>
      <c r="F635" s="180">
        <f>(F624/F612)*BK64</f>
        <v>419.39814069304487</v>
      </c>
      <c r="G635" s="180">
        <f>(G625/G612)*BK77</f>
        <v>0</v>
      </c>
      <c r="H635" s="180">
        <f>(H628/H612)*BK60</f>
        <v>145108.12595471976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25178365.02</v>
      </c>
      <c r="D636" s="180">
        <f>(D615/D612)*BH76</f>
        <v>58695.47666094984</v>
      </c>
      <c r="E636" s="180">
        <f>(E623/E612)*SUM(C636:D636)</f>
        <v>2155265.1731961798</v>
      </c>
      <c r="F636" s="180">
        <f>(F624/F612)*BH64</f>
        <v>8212.3157302009295</v>
      </c>
      <c r="G636" s="180">
        <f>(G625/G612)*BH77</f>
        <v>0</v>
      </c>
      <c r="H636" s="180">
        <f>(H628/H612)*BH60</f>
        <v>226696.99411001947</v>
      </c>
      <c r="I636" s="180">
        <f>(I629/I612)*BH78</f>
        <v>117316.39697270076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3628791</v>
      </c>
      <c r="D637" s="180">
        <f>(D615/D612)*BL76</f>
        <v>17973.513892250012</v>
      </c>
      <c r="E637" s="180">
        <f>(E623/E612)*SUM(C637:D637)</f>
        <v>311436.60937372502</v>
      </c>
      <c r="F637" s="180">
        <f>(F624/F612)*BL64</f>
        <v>503.09386611517817</v>
      </c>
      <c r="G637" s="180">
        <f>(G625/G612)*BL77</f>
        <v>0</v>
      </c>
      <c r="H637" s="180">
        <f>(H628/H612)*BL60</f>
        <v>122372.86116986732</v>
      </c>
      <c r="I637" s="180">
        <f>(I629/I612)*BL78</f>
        <v>35924.19741230928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518791</v>
      </c>
      <c r="D639" s="180">
        <f>(D615/D612)*BS76</f>
        <v>25053.589903304888</v>
      </c>
      <c r="E639" s="180">
        <f>(E623/E612)*SUM(C639:D639)</f>
        <v>46444.76342261942</v>
      </c>
      <c r="F639" s="180">
        <f>(F624/F612)*BS64</f>
        <v>457.75784861878498</v>
      </c>
      <c r="G639" s="180">
        <f>(G625/G612)*BS77</f>
        <v>0</v>
      </c>
      <c r="H639" s="180">
        <f>(H628/H612)*BS60</f>
        <v>9479.9584782552829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3993355</v>
      </c>
      <c r="D642" s="180">
        <f>(D615/D612)*BV76</f>
        <v>44588.013576596764</v>
      </c>
      <c r="E642" s="180">
        <f>(E623/E612)*SUM(C642:D642)</f>
        <v>344843.56645513128</v>
      </c>
      <c r="F642" s="180">
        <f>(F624/F612)*BV64</f>
        <v>523.20322837327853</v>
      </c>
      <c r="G642" s="180">
        <f>(G625/G612)*BV77</f>
        <v>0</v>
      </c>
      <c r="H642" s="180">
        <f>(H628/H612)*BV60</f>
        <v>124359.61568845215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926460</v>
      </c>
      <c r="D643" s="180">
        <f>(D615/D612)*BW76</f>
        <v>6559.7727507075897</v>
      </c>
      <c r="E643" s="180">
        <f>(E623/E612)*SUM(C643:D643)</f>
        <v>79680.63564213716</v>
      </c>
      <c r="F643" s="180">
        <f>(F624/F612)*BW64</f>
        <v>504.41316821163406</v>
      </c>
      <c r="G643" s="180">
        <f>(G625/G612)*BW77</f>
        <v>0</v>
      </c>
      <c r="H643" s="180">
        <f>(H628/H612)*BW60</f>
        <v>8943.3172386421575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6597253</v>
      </c>
      <c r="D644" s="180">
        <f>(D615/D612)*BX76</f>
        <v>14397.252242014851</v>
      </c>
      <c r="E644" s="180">
        <f>(E623/E612)*SUM(C644:D644)</f>
        <v>564640.22535018751</v>
      </c>
      <c r="F644" s="180">
        <f>(F624/F612)*BX64</f>
        <v>767.45402104895243</v>
      </c>
      <c r="G644" s="180">
        <f>(G625/G612)*BX77</f>
        <v>0</v>
      </c>
      <c r="H644" s="180">
        <f>(H628/H612)*BX60</f>
        <v>96804.745158747872</v>
      </c>
      <c r="I644" s="180">
        <f>(I629/I612)*BX78</f>
        <v>0</v>
      </c>
      <c r="J644" s="180">
        <f>(J630/J612)*BX79</f>
        <v>0</v>
      </c>
      <c r="K644" s="180">
        <f>SUM(C631:J644)</f>
        <v>56869835.763347559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1048014</v>
      </c>
      <c r="D645" s="180">
        <f>(D615/D612)*BY76</f>
        <v>11604.738540910414</v>
      </c>
      <c r="E645" s="180">
        <f>(E623/E612)*SUM(C645:D645)</f>
        <v>90492.288685738633</v>
      </c>
      <c r="F645" s="180">
        <f>(F624/F612)*BY64</f>
        <v>460.196558554658</v>
      </c>
      <c r="G645" s="180">
        <f>(G625/G612)*BY77</f>
        <v>0</v>
      </c>
      <c r="H645" s="180">
        <f>(H628/H612)*BY60</f>
        <v>35558.787650512269</v>
      </c>
      <c r="I645" s="180">
        <f>(I629/I612)*BY78</f>
        <v>23194.7364750784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631593</v>
      </c>
      <c r="D646" s="180">
        <f>(D615/D612)*BZ76</f>
        <v>0</v>
      </c>
      <c r="E646" s="180">
        <f>(E623/E612)*SUM(C646:D646)</f>
        <v>53938.547903175902</v>
      </c>
      <c r="F646" s="180">
        <f>(F624/F612)*BZ64</f>
        <v>2.9584350041738068</v>
      </c>
      <c r="G646" s="180">
        <f>(G625/G612)*BZ77</f>
        <v>0</v>
      </c>
      <c r="H646" s="180">
        <f>(H628/H612)*BZ60</f>
        <v>10834.877072081392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1905694.1313210558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93304285.269999996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3777378.02</v>
      </c>
      <c r="D668" s="180">
        <f>(D615/D612)*C76</f>
        <v>25810.993383557274</v>
      </c>
      <c r="E668" s="180">
        <f>(E623/E612)*SUM(C668:D668)</f>
        <v>324795.3868760757</v>
      </c>
      <c r="F668" s="180">
        <f>(F624/F612)*C64</f>
        <v>7973.8019027022683</v>
      </c>
      <c r="G668" s="180">
        <f>(G625/G612)*C77</f>
        <v>163482.09833431375</v>
      </c>
      <c r="H668" s="180">
        <f>(H628/H612)*C60</f>
        <v>56287.235087879686</v>
      </c>
      <c r="I668" s="180">
        <f>(I629/I612)*C78</f>
        <v>51589.201047577895</v>
      </c>
      <c r="J668" s="180">
        <f>(J630/J612)*C79</f>
        <v>32463.896389792801</v>
      </c>
      <c r="K668" s="180">
        <f>(K644/K612)*C75</f>
        <v>758336.26132266724</v>
      </c>
      <c r="L668" s="180">
        <f>(L647/L612)*C80</f>
        <v>120281.67032194912</v>
      </c>
      <c r="M668" s="180">
        <f t="shared" ref="M668:M713" si="22">ROUND(SUM(D668:L668),0)</f>
        <v>1541021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2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20425560</v>
      </c>
      <c r="D670" s="180">
        <f>(D615/D612)*E76</f>
        <v>249027.67818976371</v>
      </c>
      <c r="E670" s="180">
        <f>(E623/E612)*SUM(C670:D670)</f>
        <v>1765626.3414231138</v>
      </c>
      <c r="F670" s="180">
        <f>(F624/F612)*E64</f>
        <v>24795.743188394386</v>
      </c>
      <c r="G670" s="180">
        <f>(G625/G612)*E77</f>
        <v>2016500.7332483171</v>
      </c>
      <c r="H670" s="180">
        <f>(H628/H612)*E60</f>
        <v>458897.06552546791</v>
      </c>
      <c r="I670" s="180">
        <f>(I629/I612)*E78</f>
        <v>497739.0356749089</v>
      </c>
      <c r="J670" s="180">
        <f>(J630/J612)*E79</f>
        <v>370427.33956747066</v>
      </c>
      <c r="K670" s="180">
        <f>(K644/K612)*E75</f>
        <v>5340903.0412936592</v>
      </c>
      <c r="L670" s="180">
        <f>(L647/L612)*E80</f>
        <v>653521.39888631133</v>
      </c>
      <c r="M670" s="180">
        <f t="shared" si="22"/>
        <v>11377438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4006340</v>
      </c>
      <c r="D671" s="180">
        <f>(D615/D612)*F76</f>
        <v>87608.531254932081</v>
      </c>
      <c r="E671" s="180">
        <f>(E623/E612)*SUM(C671:D671)</f>
        <v>349626.48250729631</v>
      </c>
      <c r="F671" s="180">
        <f>(F624/F612)*F64</f>
        <v>3304.7518044934773</v>
      </c>
      <c r="G671" s="180">
        <f>(G625/G612)*F77</f>
        <v>123386.89535530182</v>
      </c>
      <c r="H671" s="180">
        <f>(H628/H612)*F60</f>
        <v>66113.767028775648</v>
      </c>
      <c r="I671" s="180">
        <f>(I629/I612)*F78</f>
        <v>175105.78013138074</v>
      </c>
      <c r="J671" s="180">
        <f>(J630/J612)*F79</f>
        <v>75820.345476074915</v>
      </c>
      <c r="K671" s="180">
        <f>(K644/K612)*F75</f>
        <v>326665.64562913863</v>
      </c>
      <c r="L671" s="180">
        <f>(L647/L612)*F80</f>
        <v>107091.23096978929</v>
      </c>
      <c r="M671" s="180">
        <f t="shared" si="22"/>
        <v>1314723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2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3028395</v>
      </c>
      <c r="D673" s="180">
        <f>(D615/D612)*H76</f>
        <v>45898.650903294365</v>
      </c>
      <c r="E673" s="180">
        <f>(E623/E612)*SUM(C673:D673)</f>
        <v>262547.13930913876</v>
      </c>
      <c r="F673" s="180">
        <f>(F624/F612)*H64</f>
        <v>649.59636709889321</v>
      </c>
      <c r="G673" s="180">
        <f>(G625/G612)*H77</f>
        <v>274833.0487806304</v>
      </c>
      <c r="H673" s="180">
        <f>(H628/H612)*H60</f>
        <v>51221.486411041413</v>
      </c>
      <c r="I673" s="180">
        <f>(I629/I612)*H78</f>
        <v>91739.000280829408</v>
      </c>
      <c r="J673" s="180">
        <f>(J630/J612)*H79</f>
        <v>13307.956636296714</v>
      </c>
      <c r="K673" s="180">
        <f>(K644/K612)*H75</f>
        <v>607194.53227556893</v>
      </c>
      <c r="L673" s="180">
        <f>(L647/L612)*H80</f>
        <v>51518.396322165165</v>
      </c>
      <c r="M673" s="180">
        <f t="shared" si="22"/>
        <v>1398910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1556791</v>
      </c>
      <c r="D675" s="180">
        <f>(D615/D612)*J76</f>
        <v>5321.5827134254341</v>
      </c>
      <c r="E675" s="180">
        <f>(E623/E612)*SUM(C675:D675)</f>
        <v>133405.66531427982</v>
      </c>
      <c r="F675" s="180">
        <f>(F624/F612)*J64</f>
        <v>1117.1090554611703</v>
      </c>
      <c r="G675" s="180">
        <f>(G625/G612)*J77</f>
        <v>0</v>
      </c>
      <c r="H675" s="180">
        <f>(H628/H612)*J60</f>
        <v>11626.364171445159</v>
      </c>
      <c r="I675" s="180">
        <f>(I629/I612)*J78</f>
        <v>10636.405829661378</v>
      </c>
      <c r="J675" s="180">
        <f>(J630/J612)*J79</f>
        <v>0</v>
      </c>
      <c r="K675" s="180">
        <f>(K644/K612)*J75</f>
        <v>203148.78902597551</v>
      </c>
      <c r="L675" s="180">
        <f>(L647/L612)*J80</f>
        <v>27840.476501484853</v>
      </c>
      <c r="M675" s="180">
        <f t="shared" si="22"/>
        <v>393096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2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2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2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2644425</v>
      </c>
      <c r="D680" s="180">
        <f>(D615/D612)*O76</f>
        <v>9760.6257194263526</v>
      </c>
      <c r="E680" s="180">
        <f>(E623/E612)*SUM(C680:D680)</f>
        <v>226669.57758681331</v>
      </c>
      <c r="F680" s="180">
        <f>(F624/F612)*O64</f>
        <v>4210.7325456702974</v>
      </c>
      <c r="G680" s="180">
        <f>(G625/G612)*O77</f>
        <v>0</v>
      </c>
      <c r="H680" s="180">
        <f>(H628/H612)*O60</f>
        <v>33940.040023564907</v>
      </c>
      <c r="I680" s="180">
        <f>(I629/I612)*O78</f>
        <v>19508.853266779905</v>
      </c>
      <c r="J680" s="180">
        <f>(J630/J612)*O79</f>
        <v>0</v>
      </c>
      <c r="K680" s="180">
        <f>(K644/K612)*O75</f>
        <v>547668.45877379866</v>
      </c>
      <c r="L680" s="180">
        <f>(L647/L612)*O80</f>
        <v>75304.434498191054</v>
      </c>
      <c r="M680" s="180">
        <f t="shared" si="22"/>
        <v>917063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15630957</v>
      </c>
      <c r="D681" s="180">
        <f>(D615/D612)*P76</f>
        <v>99878.467635020672</v>
      </c>
      <c r="E681" s="180">
        <f>(E623/E612)*SUM(C681:D681)</f>
        <v>1343425.9442837557</v>
      </c>
      <c r="F681" s="180">
        <f>(F624/F612)*P64</f>
        <v>206845.37993303695</v>
      </c>
      <c r="G681" s="180">
        <f>(G625/G612)*P77</f>
        <v>0</v>
      </c>
      <c r="H681" s="180">
        <f>(H628/H612)*P60</f>
        <v>78021.444190105132</v>
      </c>
      <c r="I681" s="180">
        <f>(I629/I612)*P78</f>
        <v>199630.06733516685</v>
      </c>
      <c r="J681" s="180">
        <f>(J630/J612)*P79</f>
        <v>67208.950241336162</v>
      </c>
      <c r="K681" s="180">
        <f>(K644/K612)*P75</f>
        <v>5792942.9194209212</v>
      </c>
      <c r="L681" s="180">
        <f>(L647/L612)*P80</f>
        <v>110713.19587386597</v>
      </c>
      <c r="M681" s="180">
        <f t="shared" si="22"/>
        <v>7898666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2707636</v>
      </c>
      <c r="D682" s="180">
        <f>(D615/D612)*Q76</f>
        <v>38028.240825889181</v>
      </c>
      <c r="E682" s="180">
        <f>(E623/E612)*SUM(C682:D682)</f>
        <v>234481.92456190035</v>
      </c>
      <c r="F682" s="180">
        <f>(F624/F612)*Q64</f>
        <v>6860.2909438677962</v>
      </c>
      <c r="G682" s="180">
        <f>(G625/G612)*Q77</f>
        <v>0</v>
      </c>
      <c r="H682" s="180">
        <f>(H628/H612)*Q60</f>
        <v>39028.318609477232</v>
      </c>
      <c r="I682" s="180">
        <f>(I629/I612)*Q78</f>
        <v>76008.177302555443</v>
      </c>
      <c r="J682" s="180">
        <f>(J630/J612)*Q79</f>
        <v>30302.528093077581</v>
      </c>
      <c r="K682" s="180">
        <f>(K644/K612)*Q75</f>
        <v>706741.66922379273</v>
      </c>
      <c r="L682" s="180">
        <f>(L647/L612)*Q80</f>
        <v>78061.452559503145</v>
      </c>
      <c r="M682" s="180">
        <f t="shared" si="22"/>
        <v>1209513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1096554</v>
      </c>
      <c r="D683" s="180">
        <f>(D615/D612)*R76</f>
        <v>2048.2824552912252</v>
      </c>
      <c r="E683" s="180">
        <f>(E623/E612)*SUM(C683:D683)</f>
        <v>93821.514549327025</v>
      </c>
      <c r="F683" s="180">
        <f>(F624/F612)*R64</f>
        <v>6596.4904928537298</v>
      </c>
      <c r="G683" s="180">
        <f>(G625/G612)*R77</f>
        <v>0</v>
      </c>
      <c r="H683" s="180">
        <f>(H628/H612)*R60</f>
        <v>5939.3140481326045</v>
      </c>
      <c r="I683" s="180">
        <f>(I629/I612)*R78</f>
        <v>4093.963134931545</v>
      </c>
      <c r="J683" s="180">
        <f>(J630/J612)*R79</f>
        <v>0</v>
      </c>
      <c r="K683" s="180">
        <f>(K644/K612)*R75</f>
        <v>1270247.9495643985</v>
      </c>
      <c r="L683" s="180">
        <f>(L647/L612)*R80</f>
        <v>0</v>
      </c>
      <c r="M683" s="180">
        <f t="shared" si="22"/>
        <v>1382748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1982271</v>
      </c>
      <c r="D684" s="180">
        <f>(D615/D612)*S76</f>
        <v>37810.898957642843</v>
      </c>
      <c r="E684" s="180">
        <f>(E623/E612)*SUM(C684:D684)</f>
        <v>172516.6116078952</v>
      </c>
      <c r="F684" s="180">
        <f>(F624/F612)*S64</f>
        <v>6870.9453077679627</v>
      </c>
      <c r="G684" s="180">
        <f>(G625/G612)*S77</f>
        <v>0</v>
      </c>
      <c r="H684" s="180">
        <f>(H628/H612)*S60</f>
        <v>50789.324715105431</v>
      </c>
      <c r="I684" s="180">
        <f>(I629/I612)*S78</f>
        <v>75573.76963872026</v>
      </c>
      <c r="J684" s="180">
        <f>(J630/J612)*S79</f>
        <v>7281.3224367601561</v>
      </c>
      <c r="K684" s="180">
        <f>(K644/K612)*S75</f>
        <v>1269661.45438476</v>
      </c>
      <c r="L684" s="180">
        <f>(L647/L612)*S80</f>
        <v>0</v>
      </c>
      <c r="M684" s="180">
        <f t="shared" si="22"/>
        <v>1620504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733418</v>
      </c>
      <c r="D685" s="180">
        <f>(D615/D612)*T76</f>
        <v>1238.1900372821553</v>
      </c>
      <c r="E685" s="180">
        <f>(E623/E612)*SUM(C685:D685)</f>
        <v>62740.226852879379</v>
      </c>
      <c r="F685" s="180">
        <f>(F624/F612)*T64</f>
        <v>2145.4250819457184</v>
      </c>
      <c r="G685" s="180">
        <f>(G625/G612)*T77</f>
        <v>0</v>
      </c>
      <c r="H685" s="180">
        <f>(H628/H612)*T60</f>
        <v>10415.667929907537</v>
      </c>
      <c r="I685" s="180">
        <f>(I629/I612)*T78</f>
        <v>2474.8072970004196</v>
      </c>
      <c r="J685" s="180">
        <f>(J630/J612)*T79</f>
        <v>0</v>
      </c>
      <c r="K685" s="180">
        <f>(K644/K612)*T75</f>
        <v>124654.67597386104</v>
      </c>
      <c r="L685" s="180">
        <f>(L647/L612)*T80</f>
        <v>25029.399262499974</v>
      </c>
      <c r="M685" s="180">
        <f t="shared" si="22"/>
        <v>228698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10302884</v>
      </c>
      <c r="D686" s="180">
        <f>(D615/D612)*U76</f>
        <v>46959.015775647706</v>
      </c>
      <c r="E686" s="180">
        <f>(E623/E612)*SUM(C686:D686)</f>
        <v>883884.8804479551</v>
      </c>
      <c r="F686" s="180">
        <f>(F624/F612)*U64</f>
        <v>77909.68620501757</v>
      </c>
      <c r="G686" s="180">
        <f>(G625/G612)*U77</f>
        <v>0</v>
      </c>
      <c r="H686" s="180">
        <f>(H628/H612)*U60</f>
        <v>115902.47863491664</v>
      </c>
      <c r="I686" s="180">
        <f>(I629/I612)*U78</f>
        <v>93858.383125601016</v>
      </c>
      <c r="J686" s="180">
        <f>(J630/J612)*U79</f>
        <v>0</v>
      </c>
      <c r="K686" s="180">
        <f>(K644/K612)*U75</f>
        <v>3979315.4548927811</v>
      </c>
      <c r="L686" s="180">
        <f>(L647/L612)*U80</f>
        <v>0</v>
      </c>
      <c r="M686" s="180">
        <f t="shared" si="22"/>
        <v>5197830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226865</v>
      </c>
      <c r="D687" s="180">
        <f>(D615/D612)*V76</f>
        <v>0</v>
      </c>
      <c r="E687" s="180">
        <f>(E623/E612)*SUM(C687:D687)</f>
        <v>19374.452646014128</v>
      </c>
      <c r="F687" s="180">
        <f>(F624/F612)*V64</f>
        <v>1281.9818386667482</v>
      </c>
      <c r="G687" s="180">
        <f>(G625/G612)*V77</f>
        <v>0</v>
      </c>
      <c r="H687" s="180">
        <f>(H628/H612)*V60</f>
        <v>4859.918233056459</v>
      </c>
      <c r="I687" s="180">
        <f>(I629/I612)*V78</f>
        <v>0</v>
      </c>
      <c r="J687" s="180">
        <f>(J630/J612)*V79</f>
        <v>0</v>
      </c>
      <c r="K687" s="180">
        <f>(K644/K612)*V75</f>
        <v>106991.30625080728</v>
      </c>
      <c r="L687" s="180">
        <f>(L647/L612)*V80</f>
        <v>0</v>
      </c>
      <c r="M687" s="180">
        <f t="shared" si="22"/>
        <v>132508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2371820</v>
      </c>
      <c r="D688" s="180">
        <f>(D615/D612)*W76</f>
        <v>13455.437479614062</v>
      </c>
      <c r="E688" s="180">
        <f>(E623/E612)*SUM(C688:D688)</f>
        <v>203704.43220042501</v>
      </c>
      <c r="F688" s="180">
        <f>(F624/F612)*W64</f>
        <v>1108.3736764285759</v>
      </c>
      <c r="G688" s="180">
        <f>(G625/G612)*W77</f>
        <v>0</v>
      </c>
      <c r="H688" s="180">
        <f>(H628/H612)*W60</f>
        <v>2270.1057975513945</v>
      </c>
      <c r="I688" s="180">
        <f>(I629/I612)*W78</f>
        <v>26893.783551977966</v>
      </c>
      <c r="J688" s="180">
        <f>(J630/J612)*W79</f>
        <v>7284.4204324076218</v>
      </c>
      <c r="K688" s="180">
        <f>(K644/K612)*W75</f>
        <v>1216121.7149378043</v>
      </c>
      <c r="L688" s="180">
        <f>(L647/L612)*W80</f>
        <v>0</v>
      </c>
      <c r="M688" s="180">
        <f t="shared" si="22"/>
        <v>1470838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5086806</v>
      </c>
      <c r="D689" s="180">
        <f>(D615/D612)*X76</f>
        <v>10926.368467293063</v>
      </c>
      <c r="E689" s="180">
        <f>(E623/E612)*SUM(C689:D689)</f>
        <v>435350.42591375049</v>
      </c>
      <c r="F689" s="180">
        <f>(F624/F612)*X64</f>
        <v>1396.0215123073669</v>
      </c>
      <c r="G689" s="180">
        <f>(G625/G612)*X77</f>
        <v>0</v>
      </c>
      <c r="H689" s="180">
        <f>(H628/H612)*X60</f>
        <v>0</v>
      </c>
      <c r="I689" s="180">
        <f>(I629/I612)*X78</f>
        <v>21838.858009168594</v>
      </c>
      <c r="J689" s="180">
        <f>(J630/J612)*X79</f>
        <v>26747.061755002811</v>
      </c>
      <c r="K689" s="180">
        <f>(K644/K612)*X75</f>
        <v>3154290.8090177062</v>
      </c>
      <c r="L689" s="180">
        <f>(L647/L612)*X80</f>
        <v>0</v>
      </c>
      <c r="M689" s="180">
        <f t="shared" si="22"/>
        <v>3650550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13942007</v>
      </c>
      <c r="D690" s="180">
        <f>(D615/D612)*Y76</f>
        <v>88873.065761092585</v>
      </c>
      <c r="E690" s="180">
        <f>(E623/E612)*SUM(C690:D690)</f>
        <v>1198248.3918453348</v>
      </c>
      <c r="F690" s="180">
        <f>(F624/F612)*Y64</f>
        <v>131481.2271548539</v>
      </c>
      <c r="G690" s="180">
        <f>(G625/G612)*Y77</f>
        <v>0</v>
      </c>
      <c r="H690" s="180">
        <f>(H628/H612)*Y60</f>
        <v>111089.90965815849</v>
      </c>
      <c r="I690" s="180">
        <f>(I629/I612)*Y78</f>
        <v>177633.24290278545</v>
      </c>
      <c r="J690" s="180">
        <f>(J630/J612)*Y79</f>
        <v>48776.908804131221</v>
      </c>
      <c r="K690" s="180">
        <f>(K644/K612)*Y75</f>
        <v>5308104.8240087312</v>
      </c>
      <c r="L690" s="180">
        <f>(L647/L612)*Y80</f>
        <v>23677.919820680319</v>
      </c>
      <c r="M690" s="180">
        <f t="shared" si="22"/>
        <v>7087885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3413962</v>
      </c>
      <c r="D691" s="180">
        <f>(D615/D612)*Z76</f>
        <v>43040.276029994071</v>
      </c>
      <c r="E691" s="180">
        <f>(E623/E612)*SUM(C691:D691)</f>
        <v>295230.76232167229</v>
      </c>
      <c r="F691" s="180">
        <f>(F624/F612)*Z64</f>
        <v>711.3037242467617</v>
      </c>
      <c r="G691" s="180">
        <f>(G625/G612)*Z77</f>
        <v>0</v>
      </c>
      <c r="H691" s="180">
        <f>(H628/H612)*Z60</f>
        <v>28571.540333655252</v>
      </c>
      <c r="I691" s="180">
        <f>(I629/I612)*Z78</f>
        <v>86025.881307966716</v>
      </c>
      <c r="J691" s="180">
        <f>(J630/J612)*Z79</f>
        <v>0</v>
      </c>
      <c r="K691" s="180">
        <f>(K644/K612)*Z75</f>
        <v>1651618.9698500673</v>
      </c>
      <c r="L691" s="180">
        <f>(L647/L612)*Z80</f>
        <v>6973.6339197894094</v>
      </c>
      <c r="M691" s="180">
        <f t="shared" si="22"/>
        <v>2112172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1348844</v>
      </c>
      <c r="D692" s="180">
        <f>(D615/D612)*AA76</f>
        <v>12388.486490041141</v>
      </c>
      <c r="E692" s="180">
        <f>(E623/E612)*SUM(C692:D692)</f>
        <v>116250.34425635233</v>
      </c>
      <c r="F692" s="180">
        <f>(F624/F612)*AA64</f>
        <v>3200.0072138051614</v>
      </c>
      <c r="G692" s="180">
        <f>(G625/G612)*AA77</f>
        <v>0</v>
      </c>
      <c r="H692" s="180">
        <f>(H628/H612)*AA60</f>
        <v>0</v>
      </c>
      <c r="I692" s="180">
        <f>(I629/I612)*AA78</f>
        <v>24761.236838605266</v>
      </c>
      <c r="J692" s="180">
        <f>(J630/J612)*AA79</f>
        <v>11858.09467328278</v>
      </c>
      <c r="K692" s="180">
        <f>(K644/K612)*AA75</f>
        <v>524749.09907309071</v>
      </c>
      <c r="L692" s="180">
        <f>(L647/L612)*AA80</f>
        <v>0</v>
      </c>
      <c r="M692" s="180">
        <f t="shared" si="22"/>
        <v>693207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35039193</v>
      </c>
      <c r="D693" s="180">
        <f>(D615/D612)*AB76</f>
        <v>51839.328635360878</v>
      </c>
      <c r="E693" s="180">
        <f>(E623/E612)*SUM(C693:D693)</f>
        <v>2996802.257513925</v>
      </c>
      <c r="F693" s="180">
        <f>(F624/F612)*AB64</f>
        <v>573436.29535745888</v>
      </c>
      <c r="G693" s="180">
        <f>(G625/G612)*AB77</f>
        <v>0</v>
      </c>
      <c r="H693" s="180">
        <f>(H628/H612)*AB60</f>
        <v>106014.55452946993</v>
      </c>
      <c r="I693" s="180">
        <f>(I629/I612)*AB78</f>
        <v>103612.80975899097</v>
      </c>
      <c r="J693" s="180">
        <f>(J630/J612)*AB79</f>
        <v>0</v>
      </c>
      <c r="K693" s="180">
        <f>(K644/K612)*AB75</f>
        <v>5448067.6170407999</v>
      </c>
      <c r="L693" s="180">
        <f>(L647/L612)*AB80</f>
        <v>0</v>
      </c>
      <c r="M693" s="180">
        <f t="shared" si="22"/>
        <v>9279773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2073908</v>
      </c>
      <c r="D694" s="180">
        <f>(D615/D612)*AC76</f>
        <v>11170.054804417743</v>
      </c>
      <c r="E694" s="180">
        <f>(E623/E612)*SUM(C694:D694)</f>
        <v>178067.33535825906</v>
      </c>
      <c r="F694" s="180">
        <f>(F624/F612)*AC64</f>
        <v>3708.2183729005319</v>
      </c>
      <c r="G694" s="180">
        <f>(G625/G612)*AC77</f>
        <v>0</v>
      </c>
      <c r="H694" s="180">
        <f>(H628/H612)*AC60</f>
        <v>40234.036280161148</v>
      </c>
      <c r="I694" s="180">
        <f>(I629/I612)*AC78</f>
        <v>22325.92114740804</v>
      </c>
      <c r="J694" s="180">
        <f>(J630/J612)*AC79</f>
        <v>0</v>
      </c>
      <c r="K694" s="180">
        <f>(K644/K612)*AC75</f>
        <v>961116.5350601977</v>
      </c>
      <c r="L694" s="180">
        <f>(L647/L612)*AC80</f>
        <v>0</v>
      </c>
      <c r="M694" s="180">
        <f t="shared" si="22"/>
        <v>1216622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954285</v>
      </c>
      <c r="D695" s="180">
        <f>(D615/D612)*AD76</f>
        <v>41650.605296661444</v>
      </c>
      <c r="E695" s="180">
        <f>(E623/E612)*SUM(C695:D695)</f>
        <v>85053.698116939966</v>
      </c>
      <c r="F695" s="180">
        <f>(F624/F612)*AD64</f>
        <v>1660.7014980524034</v>
      </c>
      <c r="G695" s="180">
        <f>(G625/G612)*AD77</f>
        <v>0</v>
      </c>
      <c r="H695" s="180">
        <f>(H628/H612)*AD60</f>
        <v>11367.230400777757</v>
      </c>
      <c r="I695" s="180">
        <f>(I629/I612)*AD78</f>
        <v>83248.305033141776</v>
      </c>
      <c r="J695" s="180">
        <f>(J630/J612)*AD79</f>
        <v>0</v>
      </c>
      <c r="K695" s="180">
        <f>(K644/K612)*AD75</f>
        <v>175385.46146096734</v>
      </c>
      <c r="L695" s="180">
        <f>(L647/L612)*AD80</f>
        <v>15893.398235799119</v>
      </c>
      <c r="M695" s="180">
        <f t="shared" si="22"/>
        <v>414259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1647235</v>
      </c>
      <c r="D696" s="180">
        <f>(D615/D612)*AE76</f>
        <v>14035.015794937624</v>
      </c>
      <c r="E696" s="180">
        <f>(E623/E612)*SUM(C696:D696)</f>
        <v>141873.78949270342</v>
      </c>
      <c r="F696" s="180">
        <f>(F624/F612)*AE64</f>
        <v>425.77476749258165</v>
      </c>
      <c r="G696" s="180">
        <f>(G625/G612)*AE77</f>
        <v>0</v>
      </c>
      <c r="H696" s="180">
        <f>(H628/H612)*AE60</f>
        <v>34730.491898721622</v>
      </c>
      <c r="I696" s="180">
        <f>(I629/I612)*AE78</f>
        <v>28052.203988871777</v>
      </c>
      <c r="J696" s="180">
        <f>(J630/J612)*AE79</f>
        <v>8347.0329394883483</v>
      </c>
      <c r="K696" s="180">
        <f>(K644/K612)*AE75</f>
        <v>261984.41456564041</v>
      </c>
      <c r="L696" s="180">
        <f>(L647/L612)*AE80</f>
        <v>0</v>
      </c>
      <c r="M696" s="180">
        <f t="shared" si="22"/>
        <v>489449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2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7754142</v>
      </c>
      <c r="D698" s="180">
        <f>(D615/D612)*AG76</f>
        <v>62561.527468846776</v>
      </c>
      <c r="E698" s="180">
        <f>(E623/E612)*SUM(C698:D698)</f>
        <v>667552.73991526582</v>
      </c>
      <c r="F698" s="180">
        <f>(F624/F612)*AG64</f>
        <v>14769.427054418022</v>
      </c>
      <c r="G698" s="180">
        <f>(G625/G612)*AG77</f>
        <v>0</v>
      </c>
      <c r="H698" s="180">
        <f>(H628/H612)*AG60</f>
        <v>126854.53206117902</v>
      </c>
      <c r="I698" s="180">
        <f>(I629/I612)*AG78</f>
        <v>125043.58784152652</v>
      </c>
      <c r="J698" s="180">
        <f>(J630/J612)*AG79</f>
        <v>215527.55719418696</v>
      </c>
      <c r="K698" s="180">
        <f>(K644/K612)*AG75</f>
        <v>4833106.9382123221</v>
      </c>
      <c r="L698" s="180">
        <f>(L647/L612)*AG80</f>
        <v>194396.80291133889</v>
      </c>
      <c r="M698" s="180">
        <f t="shared" si="22"/>
        <v>6239813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2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2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7563783</v>
      </c>
      <c r="D701" s="180">
        <f>(D615/D612)*AJ76</f>
        <v>113478.79969346563</v>
      </c>
      <c r="E701" s="180">
        <f>(E623/E612)*SUM(C701:D701)</f>
        <v>655644.30471520172</v>
      </c>
      <c r="F701" s="180">
        <f>(F624/F612)*AJ64</f>
        <v>12958.564990478093</v>
      </c>
      <c r="G701" s="180">
        <f>(G625/G612)*AJ77</f>
        <v>0</v>
      </c>
      <c r="H701" s="180">
        <f>(H628/H612)*AJ60</f>
        <v>71306.146903366374</v>
      </c>
      <c r="I701" s="180">
        <f>(I629/I612)*AJ78</f>
        <v>226813.45599636823</v>
      </c>
      <c r="J701" s="180">
        <f>(J630/J612)*AJ79</f>
        <v>0</v>
      </c>
      <c r="K701" s="180">
        <f>(K644/K612)*AJ75</f>
        <v>1274610.1774114948</v>
      </c>
      <c r="L701" s="180">
        <f>(L647/L612)*AJ80</f>
        <v>56924.314089443782</v>
      </c>
      <c r="M701" s="180">
        <f t="shared" si="22"/>
        <v>2411736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228498</v>
      </c>
      <c r="D702" s="180">
        <f>(D615/D612)*AK76</f>
        <v>1751.9071804098583</v>
      </c>
      <c r="E702" s="180">
        <f>(E623/E612)*SUM(C702:D702)</f>
        <v>19663.526429444821</v>
      </c>
      <c r="F702" s="180">
        <f>(F624/F612)*AK64</f>
        <v>45.395985773504833</v>
      </c>
      <c r="G702" s="180">
        <f>(G625/G612)*AK77</f>
        <v>0</v>
      </c>
      <c r="H702" s="180">
        <f>(H628/H612)*AK60</f>
        <v>4185.2904887452223</v>
      </c>
      <c r="I702" s="180">
        <f>(I629/I612)*AK78</f>
        <v>3501.5890478835727</v>
      </c>
      <c r="J702" s="180">
        <f>(J630/J612)*AK79</f>
        <v>0</v>
      </c>
      <c r="K702" s="180">
        <f>(K644/K612)*AK75</f>
        <v>55795.006652508091</v>
      </c>
      <c r="L702" s="180">
        <f>(L647/L612)*AK80</f>
        <v>0</v>
      </c>
      <c r="M702" s="180">
        <f t="shared" si="22"/>
        <v>84943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359096</v>
      </c>
      <c r="D703" s="180">
        <f>(D615/D612)*AL76</f>
        <v>829.85076966782754</v>
      </c>
      <c r="E703" s="180">
        <f>(E623/E612)*SUM(C703:D703)</f>
        <v>30737.955840756738</v>
      </c>
      <c r="F703" s="180">
        <f>(F624/F612)*AL64</f>
        <v>38.539612757074998</v>
      </c>
      <c r="G703" s="180">
        <f>(G625/G612)*AL77</f>
        <v>0</v>
      </c>
      <c r="H703" s="180">
        <f>(H628/H612)*AL60</f>
        <v>6878.7953299948504</v>
      </c>
      <c r="I703" s="180">
        <f>(I629/I612)*AL78</f>
        <v>1658.6474437343238</v>
      </c>
      <c r="J703" s="180">
        <f>(J630/J612)*AL79</f>
        <v>0</v>
      </c>
      <c r="K703" s="180">
        <f>(K644/K612)*AL75</f>
        <v>79109.850523904897</v>
      </c>
      <c r="L703" s="180">
        <f>(L647/L612)*AL80</f>
        <v>0</v>
      </c>
      <c r="M703" s="180">
        <f t="shared" si="22"/>
        <v>119254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2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1251267</v>
      </c>
      <c r="D706" s="180">
        <f>(D615/D612)*AO76</f>
        <v>16096.470484668022</v>
      </c>
      <c r="E706" s="180">
        <f>(E623/E612)*SUM(C706:D706)</f>
        <v>108233.85513055483</v>
      </c>
      <c r="F706" s="180">
        <f>(F624/F612)*AO64</f>
        <v>2574.3581786995128</v>
      </c>
      <c r="G706" s="180">
        <f>(G625/G612)*AO77</f>
        <v>0</v>
      </c>
      <c r="H706" s="180">
        <f>(H628/H612)*AO60</f>
        <v>30170.502314515281</v>
      </c>
      <c r="I706" s="180">
        <f>(I629/I612)*AO78</f>
        <v>32172.494861005453</v>
      </c>
      <c r="J706" s="180">
        <f>(J630/J612)*AO79</f>
        <v>22137.244231573884</v>
      </c>
      <c r="K706" s="180">
        <f>(K644/K612)*AO75</f>
        <v>30013.958797414383</v>
      </c>
      <c r="L706" s="180">
        <f>(L647/L612)*AO80</f>
        <v>0</v>
      </c>
      <c r="M706" s="180">
        <f t="shared" si="22"/>
        <v>241399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96125475</v>
      </c>
      <c r="D707" s="180">
        <f>(D615/D612)*AP76</f>
        <v>1341592.0776296547</v>
      </c>
      <c r="E707" s="180">
        <f>(E623/E612)*SUM(C707:D707)</f>
        <v>8323765.5682516843</v>
      </c>
      <c r="F707" s="180">
        <f>(F624/F612)*AP64</f>
        <v>84672.248846619113</v>
      </c>
      <c r="G707" s="180">
        <f>(G625/G612)*AP77</f>
        <v>0</v>
      </c>
      <c r="H707" s="180">
        <f>(H628/H612)*AP60</f>
        <v>744881.47707897041</v>
      </c>
      <c r="I707" s="180">
        <f>(I629/I612)*AP78</f>
        <v>0</v>
      </c>
      <c r="J707" s="180">
        <f>(J630/J612)*AP79</f>
        <v>1032.355416257145</v>
      </c>
      <c r="K707" s="180">
        <f>(K644/K612)*AP75</f>
        <v>8623907.7665412296</v>
      </c>
      <c r="L707" s="180">
        <f>(L647/L612)*AP80</f>
        <v>297757.95062170591</v>
      </c>
      <c r="M707" s="180">
        <f t="shared" si="22"/>
        <v>19417609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2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9732296</v>
      </c>
      <c r="D713" s="180">
        <f>(D615/D612)*AV76</f>
        <v>151790.243559797</v>
      </c>
      <c r="E713" s="180">
        <f>(E623/E612)*SUM(C713:D713)</f>
        <v>844108.87917911063</v>
      </c>
      <c r="F713" s="180">
        <f>(F624/F612)*AV64</f>
        <v>22000.761718201185</v>
      </c>
      <c r="G713" s="180">
        <f>(G625/G612)*AV77</f>
        <v>0</v>
      </c>
      <c r="H713" s="180">
        <f>(H628/H612)*AV60</f>
        <v>97862.460989949512</v>
      </c>
      <c r="I713" s="180">
        <f>(I629/I612)*AV78</f>
        <v>303387.67964876955</v>
      </c>
      <c r="J713" s="180">
        <f>(J630/J612)*AV79</f>
        <v>44818.703031885911</v>
      </c>
      <c r="K713" s="180">
        <f>(K644/K612)*AV75</f>
        <v>2237380.4621615466</v>
      </c>
      <c r="L713" s="180">
        <f>(L647/L612)*AV80</f>
        <v>60708.456526538816</v>
      </c>
      <c r="M713" s="180">
        <f t="shared" si="22"/>
        <v>3762058</v>
      </c>
      <c r="N713" s="199" t="s">
        <v>741</v>
      </c>
    </row>
    <row r="715" spans="1:15" ht="12.6" customHeight="1" x14ac:dyDescent="0.25">
      <c r="C715" s="180">
        <f>SUM(C614:C647)+SUM(C668:C713)</f>
        <v>350316376.28999996</v>
      </c>
      <c r="D715" s="180">
        <f>SUM(D616:D647)+SUM(D668:D713)</f>
        <v>3755707</v>
      </c>
      <c r="E715" s="180">
        <f>SUM(E624:E647)+SUM(E668:E713)</f>
        <v>27563365.539603084</v>
      </c>
      <c r="F715" s="180">
        <f>SUM(F625:F648)+SUM(F668:F713)</f>
        <v>1218457.6226272287</v>
      </c>
      <c r="G715" s="180">
        <f>SUM(G626:G647)+SUM(G668:G713)</f>
        <v>2578202.7757185632</v>
      </c>
      <c r="H715" s="180">
        <f>SUM(H629:H647)+SUM(H668:H713)</f>
        <v>3396815.7365403301</v>
      </c>
      <c r="I715" s="180">
        <f>SUM(I630:I647)+SUM(I668:I713)</f>
        <v>2777826.3883283595</v>
      </c>
      <c r="J715" s="180">
        <f>SUM(J631:J647)+SUM(J668:J713)</f>
        <v>983341.71731902566</v>
      </c>
      <c r="K715" s="180">
        <f>SUM(K668:K713)</f>
        <v>56869835.763347559</v>
      </c>
      <c r="L715" s="180">
        <f>SUM(L668:L713)</f>
        <v>1905694.1313210563</v>
      </c>
      <c r="M715" s="180">
        <f>SUM(M668:M713)</f>
        <v>93304285</v>
      </c>
      <c r="N715" s="198" t="s">
        <v>742</v>
      </c>
    </row>
    <row r="716" spans="1:15" ht="12.6" customHeight="1" x14ac:dyDescent="0.25">
      <c r="C716" s="180">
        <f>CE71</f>
        <v>350316376.28999996</v>
      </c>
      <c r="D716" s="180">
        <f>D615</f>
        <v>3755707</v>
      </c>
      <c r="E716" s="180">
        <f>E623</f>
        <v>27563365.539603084</v>
      </c>
      <c r="F716" s="180">
        <f>F624</f>
        <v>1218457.6226272287</v>
      </c>
      <c r="G716" s="180">
        <f>G625</f>
        <v>2578202.7757185628</v>
      </c>
      <c r="H716" s="180">
        <f>H628</f>
        <v>3396815.736540331</v>
      </c>
      <c r="I716" s="180">
        <f>I629</f>
        <v>2777826.3883283599</v>
      </c>
      <c r="J716" s="180">
        <f>J630</f>
        <v>983341.71731902554</v>
      </c>
      <c r="K716" s="180">
        <f>K644</f>
        <v>56869835.763347559</v>
      </c>
      <c r="L716" s="180">
        <f>L647</f>
        <v>1905694.1313210558</v>
      </c>
      <c r="M716" s="180">
        <f>C648</f>
        <v>93304285.269999996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50" fitToHeight="3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sqref="A1:XFD104857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35411154</v>
      </c>
      <c r="C48" s="245">
        <f>ROUND(((B48/CE61)*C61),0)</f>
        <v>571290</v>
      </c>
      <c r="D48" s="245">
        <f>ROUND(((B48/CE61)*D61),0)</f>
        <v>0</v>
      </c>
      <c r="E48" s="195">
        <f>ROUND(((B48/CE61)*E61),0)</f>
        <v>3165432</v>
      </c>
      <c r="F48" s="195">
        <f>ROUND(((B48/CE61)*F61),0)</f>
        <v>593139</v>
      </c>
      <c r="G48" s="195">
        <f>ROUND(((B48/CE61)*G61),0)</f>
        <v>0</v>
      </c>
      <c r="H48" s="195">
        <f>ROUND(((B48/CE61)*H61),0)</f>
        <v>538213</v>
      </c>
      <c r="I48" s="195">
        <f>ROUND(((B48/CE61)*I61),0)</f>
        <v>0</v>
      </c>
      <c r="J48" s="195">
        <f>ROUND(((B48/CE61)*J61),0)</f>
        <v>117268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390825</v>
      </c>
      <c r="P48" s="195">
        <f>ROUND(((B48/CE61)*P61),0)</f>
        <v>680387</v>
      </c>
      <c r="Q48" s="195">
        <f>ROUND(((B48/CE61)*Q61),0)</f>
        <v>392069</v>
      </c>
      <c r="R48" s="195">
        <f>ROUND(((B48/CE61)*R61),0)</f>
        <v>25375</v>
      </c>
      <c r="S48" s="195">
        <f>ROUND(((B48/CE61)*S61),0)</f>
        <v>234729</v>
      </c>
      <c r="T48" s="195">
        <f>ROUND(((B48/CE61)*T61),0)</f>
        <v>108910</v>
      </c>
      <c r="U48" s="195">
        <f>ROUND(((B48/CE61)*U61),0)</f>
        <v>147075</v>
      </c>
      <c r="V48" s="195">
        <f>ROUND(((B48/CE61)*V61),0)</f>
        <v>30424</v>
      </c>
      <c r="W48" s="195">
        <f>ROUND(((B48/CE61)*W61),0)</f>
        <v>24494</v>
      </c>
      <c r="X48" s="195">
        <f>ROUND(((B48/CE61)*X61),0)</f>
        <v>0</v>
      </c>
      <c r="Y48" s="195">
        <f>ROUND(((B48/CE61)*Y61),0)</f>
        <v>781736</v>
      </c>
      <c r="Z48" s="195">
        <f>ROUND(((B48/CE61)*Z61),0)</f>
        <v>277067</v>
      </c>
      <c r="AA48" s="195">
        <f>ROUND(((B48/CE61)*AA61),0)</f>
        <v>0</v>
      </c>
      <c r="AB48" s="195">
        <f>ROUND(((B48/CE61)*AB61),0)</f>
        <v>1083304</v>
      </c>
      <c r="AC48" s="195">
        <f>ROUND(((B48/CE61)*AC61),0)</f>
        <v>298493</v>
      </c>
      <c r="AD48" s="195">
        <f>ROUND(((B48/CE61)*AD61),0)</f>
        <v>525323</v>
      </c>
      <c r="AE48" s="195">
        <f>ROUND(((B48/CE61)*AE61),0)</f>
        <v>233528</v>
      </c>
      <c r="AF48" s="195">
        <f>ROUND(((B48/CE61)*AF61),0)</f>
        <v>0</v>
      </c>
      <c r="AG48" s="195">
        <f>ROUND(((B48/CE61)*AG61),0)</f>
        <v>1092086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474011</v>
      </c>
      <c r="AK48" s="195">
        <f>ROUND(((B48/CE61)*AK61),0)</f>
        <v>30703</v>
      </c>
      <c r="AL48" s="195">
        <f>ROUND(((B48/CE61)*AL61),0)</f>
        <v>52294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170512</v>
      </c>
      <c r="AP48" s="195">
        <f>ROUND(((B48/CE61)*AP61),0)</f>
        <v>12103642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1715249</v>
      </c>
      <c r="AW48" s="195">
        <f>ROUND(((B48/CE61)*AW61),0)</f>
        <v>0</v>
      </c>
      <c r="AX48" s="195">
        <f>ROUND(((B48/CE61)*AX61),0)</f>
        <v>3239</v>
      </c>
      <c r="AY48" s="195">
        <f>ROUND(((B48/CE61)*AY61),0)</f>
        <v>277084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111998</v>
      </c>
      <c r="BE48" s="195">
        <f>ROUND(((B48/CE61)*BE61),0)</f>
        <v>424778</v>
      </c>
      <c r="BF48" s="195">
        <f>ROUND(((B48/CE61)*BF61),0)</f>
        <v>287517</v>
      </c>
      <c r="BG48" s="195">
        <f>ROUND(((B48/CE61)*BG61),0)</f>
        <v>253274</v>
      </c>
      <c r="BH48" s="195">
        <f>ROUND(((B48/CE61)*BH61),0)</f>
        <v>2277582</v>
      </c>
      <c r="BI48" s="195">
        <f>ROUND(((B48/CE61)*BI61),0)</f>
        <v>97510</v>
      </c>
      <c r="BJ48" s="195">
        <f>ROUND(((B48/CE61)*BJ61),0)</f>
        <v>324033</v>
      </c>
      <c r="BK48" s="195">
        <f>ROUND(((B48/CE61)*BK61),0)</f>
        <v>759133</v>
      </c>
      <c r="BL48" s="195">
        <f>ROUND(((B48/CE61)*BL61),0)</f>
        <v>594349</v>
      </c>
      <c r="BM48" s="195">
        <f>ROUND(((B48/CE61)*BM61),0)</f>
        <v>172302</v>
      </c>
      <c r="BN48" s="195">
        <f>ROUND(((B48/CE61)*BN61),0)</f>
        <v>949014</v>
      </c>
      <c r="BO48" s="195">
        <f>ROUND(((B48/CE61)*BO61),0)</f>
        <v>34755</v>
      </c>
      <c r="BP48" s="195">
        <f>ROUND(((B48/CE61)*BP61),0)</f>
        <v>248016</v>
      </c>
      <c r="BQ48" s="195">
        <f>ROUND(((B48/CE61)*BQ61),0)</f>
        <v>0</v>
      </c>
      <c r="BR48" s="195">
        <f>ROUND(((B48/CE61)*BR61),0)</f>
        <v>273380</v>
      </c>
      <c r="BS48" s="195">
        <f>ROUND(((B48/CE61)*BS61),0)</f>
        <v>78259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685234</v>
      </c>
      <c r="BW48" s="195">
        <f>ROUND(((B48/CE61)*BW61),0)</f>
        <v>67309</v>
      </c>
      <c r="BX48" s="195">
        <f>ROUND(((B48/CE61)*BX61),0)</f>
        <v>755491</v>
      </c>
      <c r="BY48" s="195">
        <f>ROUND(((B48/CE61)*BY61),0)</f>
        <v>238316</v>
      </c>
      <c r="BZ48" s="195">
        <f>ROUND(((B48/CE61)*BZ61),0)</f>
        <v>125882</v>
      </c>
      <c r="CA48" s="195">
        <f>ROUND(((B48/CE61)*CA61),0)</f>
        <v>0</v>
      </c>
      <c r="CB48" s="195">
        <f>ROUND(((B48/CE61)*CB61),0)</f>
        <v>2133</v>
      </c>
      <c r="CC48" s="195">
        <f>ROUND(((B48/CE61)*CC61),0)</f>
        <v>512987</v>
      </c>
      <c r="CD48" s="195"/>
      <c r="CE48" s="195">
        <f>SUM(C48:CD48)</f>
        <v>35411153</v>
      </c>
    </row>
    <row r="49" spans="1:84" ht="12.6" customHeight="1" x14ac:dyDescent="0.25">
      <c r="A49" s="175" t="s">
        <v>206</v>
      </c>
      <c r="B49" s="195">
        <f>B47+B48</f>
        <v>35411154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16014561</v>
      </c>
      <c r="C52" s="195">
        <f>ROUND((B52/(CE76+CF76)*C76),0)</f>
        <v>79013</v>
      </c>
      <c r="D52" s="195">
        <f>ROUND((B52/(CE76+CF76)*D76),0)</f>
        <v>0</v>
      </c>
      <c r="E52" s="195">
        <f>ROUND((B52/(CE76+CF76)*E76),0)</f>
        <v>762326</v>
      </c>
      <c r="F52" s="195">
        <f>ROUND((B52/(CE76+CF76)*F76),0)</f>
        <v>268188</v>
      </c>
      <c r="G52" s="195">
        <f>ROUND((B52/(CE76+CF76)*G76),0)</f>
        <v>0</v>
      </c>
      <c r="H52" s="195">
        <f>ROUND((B52/(CE76+CF76)*H76),0)</f>
        <v>140505</v>
      </c>
      <c r="I52" s="195">
        <f>ROUND((B52/(CE76+CF76)*I76),0)</f>
        <v>0</v>
      </c>
      <c r="J52" s="195">
        <f>ROUND((B52/(CE76+CF76)*J76),0)</f>
        <v>16290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29879</v>
      </c>
      <c r="P52" s="195">
        <f>ROUND((B52/(CE76+CF76)*P76),0)</f>
        <v>305749</v>
      </c>
      <c r="Q52" s="195">
        <f>ROUND((B52/(CE76+CF76)*Q76),0)</f>
        <v>116412</v>
      </c>
      <c r="R52" s="195">
        <f>ROUND((B52/(CE76+CF76)*R76),0)</f>
        <v>6270</v>
      </c>
      <c r="S52" s="195">
        <f>ROUND((B52/(CE76+CF76)*S76),0)</f>
        <v>115747</v>
      </c>
      <c r="T52" s="195">
        <f>ROUND((B52/(CE76+CF76)*T76),0)</f>
        <v>3790</v>
      </c>
      <c r="U52" s="195">
        <f>ROUND((B52/(CE76+CF76)*U76),0)</f>
        <v>143751</v>
      </c>
      <c r="V52" s="195">
        <f>ROUND((B52/(CE76+CF76)*V76),0)</f>
        <v>0</v>
      </c>
      <c r="W52" s="195">
        <f>ROUND((B52/(CE76+CF76)*W76),0)</f>
        <v>41190</v>
      </c>
      <c r="X52" s="195">
        <f>ROUND((B52/(CE76+CF76)*X76),0)</f>
        <v>33448</v>
      </c>
      <c r="Y52" s="195">
        <f>ROUND((B52/(CE76+CF76)*Y76),0)</f>
        <v>272059</v>
      </c>
      <c r="Z52" s="195">
        <f>ROUND((B52/(CE76+CF76)*Z76),0)</f>
        <v>131755</v>
      </c>
      <c r="AA52" s="195">
        <f>ROUND((B52/(CE76+CF76)*AA76),0)</f>
        <v>37924</v>
      </c>
      <c r="AB52" s="195">
        <f>ROUND((B52/(CE76+CF76)*AB76),0)</f>
        <v>158691</v>
      </c>
      <c r="AC52" s="195">
        <f>ROUND((B52/(CE76+CF76)*AC76),0)</f>
        <v>34194</v>
      </c>
      <c r="AD52" s="195">
        <f>ROUND((B52/(CE76+CF76)*AD76),0)</f>
        <v>127501</v>
      </c>
      <c r="AE52" s="195">
        <f>ROUND((B52/(CE76+CF76)*AE76),0)</f>
        <v>42964</v>
      </c>
      <c r="AF52" s="195">
        <f>ROUND((B52/(CE76+CF76)*AF76),0)</f>
        <v>0</v>
      </c>
      <c r="AG52" s="195">
        <f>ROUND((B52/(CE76+CF76)*AG76),0)</f>
        <v>191514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347383</v>
      </c>
      <c r="AK52" s="195">
        <f>ROUND((B52/(CE76+CF76)*AK76),0)</f>
        <v>5363</v>
      </c>
      <c r="AL52" s="195">
        <f>ROUND((B52/(CE76+CF76)*AL76),0)</f>
        <v>2540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49275</v>
      </c>
      <c r="AP52" s="195">
        <f>ROUND((B52/(CE76+CF76)*AP76),0)</f>
        <v>4106897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464662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179699</v>
      </c>
      <c r="AZ52" s="195">
        <f>ROUND((B52/(CE76+CF76)*AZ76),0)</f>
        <v>0</v>
      </c>
      <c r="BA52" s="195">
        <f>ROUND((B52/(CE76+CF76)*BA76),0)</f>
        <v>25303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122380</v>
      </c>
      <c r="BE52" s="195">
        <f>ROUND((B52/(CE76+CF76)*BE76),0)</f>
        <v>4517547</v>
      </c>
      <c r="BF52" s="195">
        <f>ROUND((B52/(CE76+CF76)*BF76),0)</f>
        <v>68146</v>
      </c>
      <c r="BG52" s="195">
        <f>ROUND((B52/(CE76+CF76)*BG76),0)</f>
        <v>0</v>
      </c>
      <c r="BH52" s="195">
        <f>ROUND((B52/(CE76+CF76)*BH76),0)</f>
        <v>179679</v>
      </c>
      <c r="BI52" s="195">
        <f>ROUND((B52/(CE76+CF76)*BI76),0)</f>
        <v>30545</v>
      </c>
      <c r="BJ52" s="195">
        <f>ROUND((B52/(CE76+CF76)*BJ76),0)</f>
        <v>197603</v>
      </c>
      <c r="BK52" s="195">
        <f>ROUND((B52/(CE76+CF76)*BK76),0)</f>
        <v>39295</v>
      </c>
      <c r="BL52" s="195">
        <f>ROUND((B52/(CE76+CF76)*BL76),0)</f>
        <v>55021</v>
      </c>
      <c r="BM52" s="195">
        <f>ROUND((B52/(CE76+CF76)*BM76),0)</f>
        <v>0</v>
      </c>
      <c r="BN52" s="195">
        <f>ROUND((B52/(CE76+CF76)*BN76),0)</f>
        <v>101049</v>
      </c>
      <c r="BO52" s="195">
        <f>ROUND((B52/(CE76+CF76)*BO76),0)</f>
        <v>0</v>
      </c>
      <c r="BP52" s="195">
        <f>ROUND((B52/(CE76+CF76)*BP76),0)</f>
        <v>9415</v>
      </c>
      <c r="BQ52" s="195">
        <f>ROUND((B52/(CE76+CF76)*BQ76),0)</f>
        <v>0</v>
      </c>
      <c r="BR52" s="195">
        <f>ROUND((B52/(CE76+CF76)*BR76),0)</f>
        <v>71856</v>
      </c>
      <c r="BS52" s="195">
        <f>ROUND((B52/(CE76+CF76)*BS76),0)</f>
        <v>76694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136493</v>
      </c>
      <c r="BW52" s="195">
        <f>ROUND((B52/(CE76+CF76)*BW76),0)</f>
        <v>20081</v>
      </c>
      <c r="BX52" s="195">
        <f>ROUND((B52/(CE76+CF76)*BX76),0)</f>
        <v>44073</v>
      </c>
      <c r="BY52" s="195">
        <f>ROUND((B52/(CE76+CF76)*BY76),0)</f>
        <v>35525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2068872</v>
      </c>
      <c r="CD52" s="195"/>
      <c r="CE52" s="195">
        <f>SUM(C52:CD52)</f>
        <v>16014556</v>
      </c>
    </row>
    <row r="53" spans="1:84" ht="12.6" customHeight="1" x14ac:dyDescent="0.25">
      <c r="A53" s="175" t="s">
        <v>206</v>
      </c>
      <c r="B53" s="195">
        <f>B51+B52</f>
        <v>16014561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2210</v>
      </c>
      <c r="D59" s="184"/>
      <c r="E59" s="184">
        <f>8524+7243+7899+3076</f>
        <v>26742</v>
      </c>
      <c r="F59" s="184">
        <v>1797</v>
      </c>
      <c r="G59" s="184"/>
      <c r="H59" s="184">
        <v>4156</v>
      </c>
      <c r="I59" s="184"/>
      <c r="J59" s="184">
        <v>2108</v>
      </c>
      <c r="K59" s="184"/>
      <c r="L59" s="184"/>
      <c r="M59" s="184"/>
      <c r="N59" s="184"/>
      <c r="O59" s="184">
        <v>927</v>
      </c>
      <c r="P59" s="185">
        <v>571389</v>
      </c>
      <c r="Q59" s="185">
        <v>235023</v>
      </c>
      <c r="R59" s="185">
        <v>664142</v>
      </c>
      <c r="S59" s="248"/>
      <c r="T59" s="248"/>
      <c r="U59" s="224">
        <v>721845</v>
      </c>
      <c r="V59" s="185">
        <v>2015</v>
      </c>
      <c r="W59" s="185">
        <v>85632</v>
      </c>
      <c r="X59" s="185">
        <v>128543</v>
      </c>
      <c r="Y59" s="185">
        <f>39502+26955+42816+1284+41790</f>
        <v>152347</v>
      </c>
      <c r="Z59" s="185">
        <v>13651</v>
      </c>
      <c r="AA59" s="185">
        <v>27793</v>
      </c>
      <c r="AB59" s="248"/>
      <c r="AC59" s="185">
        <v>43391</v>
      </c>
      <c r="AD59" s="185">
        <f>13421+15029</f>
        <v>28450</v>
      </c>
      <c r="AE59" s="185">
        <v>30833</v>
      </c>
      <c r="AF59" s="185"/>
      <c r="AG59" s="185">
        <v>34324</v>
      </c>
      <c r="AH59" s="185"/>
      <c r="AI59" s="185"/>
      <c r="AJ59" s="185">
        <f>27001+4726</f>
        <v>31727</v>
      </c>
      <c r="AK59" s="185">
        <v>4543</v>
      </c>
      <c r="AL59" s="185">
        <v>3798</v>
      </c>
      <c r="AM59" s="185"/>
      <c r="AN59" s="185"/>
      <c r="AO59" s="185">
        <v>5333</v>
      </c>
      <c r="AP59" s="185">
        <v>303646</v>
      </c>
      <c r="AQ59" s="185"/>
      <c r="AR59" s="185"/>
      <c r="AS59" s="185"/>
      <c r="AT59" s="185"/>
      <c r="AU59" s="185"/>
      <c r="AV59" s="248"/>
      <c r="AW59" s="248"/>
      <c r="AX59" s="248"/>
      <c r="AY59" s="185">
        <v>404444</v>
      </c>
      <c r="AZ59" s="185"/>
      <c r="BA59" s="248"/>
      <c r="BB59" s="248"/>
      <c r="BC59" s="248"/>
      <c r="BD59" s="248"/>
      <c r="BE59" s="185">
        <v>794314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26.35</v>
      </c>
      <c r="D60" s="187"/>
      <c r="E60" s="187">
        <v>211.25</v>
      </c>
      <c r="F60" s="223">
        <v>28.67</v>
      </c>
      <c r="G60" s="187"/>
      <c r="H60" s="187">
        <v>22.44</v>
      </c>
      <c r="I60" s="187"/>
      <c r="J60" s="223">
        <v>5.2</v>
      </c>
      <c r="K60" s="187"/>
      <c r="L60" s="187"/>
      <c r="M60" s="187"/>
      <c r="N60" s="187"/>
      <c r="O60" s="187">
        <v>13.84</v>
      </c>
      <c r="P60" s="221">
        <v>31.68</v>
      </c>
      <c r="Q60" s="221">
        <v>16.309999999999999</v>
      </c>
      <c r="R60" s="221">
        <v>5.15</v>
      </c>
      <c r="S60" s="221">
        <v>23.99</v>
      </c>
      <c r="T60" s="221">
        <v>6.52</v>
      </c>
      <c r="U60" s="221">
        <v>49.23</v>
      </c>
      <c r="V60" s="221">
        <v>5.2</v>
      </c>
      <c r="W60" s="221">
        <v>3.03</v>
      </c>
      <c r="X60" s="221"/>
      <c r="Y60" s="221">
        <v>51.86</v>
      </c>
      <c r="Z60" s="221">
        <v>15.8</v>
      </c>
      <c r="AA60" s="221"/>
      <c r="AB60" s="221">
        <v>46.83</v>
      </c>
      <c r="AC60" s="221">
        <v>18.02</v>
      </c>
      <c r="AD60" s="221">
        <v>9.6199999999999992</v>
      </c>
      <c r="AE60" s="221">
        <v>14.38</v>
      </c>
      <c r="AF60" s="221"/>
      <c r="AG60" s="221">
        <v>58.67</v>
      </c>
      <c r="AH60" s="221"/>
      <c r="AI60" s="221"/>
      <c r="AJ60" s="221">
        <v>35.15</v>
      </c>
      <c r="AK60" s="221">
        <v>1.54</v>
      </c>
      <c r="AL60" s="221">
        <v>3.14</v>
      </c>
      <c r="AM60" s="221"/>
      <c r="AN60" s="221"/>
      <c r="AO60" s="221"/>
      <c r="AP60" s="221">
        <v>300.81</v>
      </c>
      <c r="AQ60" s="221"/>
      <c r="AR60" s="221"/>
      <c r="AS60" s="221"/>
      <c r="AT60" s="221"/>
      <c r="AU60" s="221"/>
      <c r="AV60" s="221">
        <v>90.19</v>
      </c>
      <c r="AW60" s="221"/>
      <c r="AX60" s="221"/>
      <c r="AY60" s="221">
        <v>32.869999999999997</v>
      </c>
      <c r="AZ60" s="221"/>
      <c r="BA60" s="221"/>
      <c r="BB60" s="221"/>
      <c r="BC60" s="221"/>
      <c r="BD60" s="221">
        <v>9.4499999999999993</v>
      </c>
      <c r="BE60" s="221">
        <v>21.72</v>
      </c>
      <c r="BF60" s="221">
        <v>33.85</v>
      </c>
      <c r="BG60" s="221"/>
      <c r="BH60" s="221">
        <v>125.2</v>
      </c>
      <c r="BI60" s="221">
        <v>11.41</v>
      </c>
      <c r="BJ60" s="221">
        <v>16.95</v>
      </c>
      <c r="BK60" s="221">
        <v>65.28</v>
      </c>
      <c r="BL60" s="221">
        <v>57.25</v>
      </c>
      <c r="BM60" s="221">
        <v>29.5</v>
      </c>
      <c r="BN60" s="221">
        <v>18.399999999999999</v>
      </c>
      <c r="BO60" s="221">
        <v>2.37</v>
      </c>
      <c r="BP60" s="221">
        <v>5.74</v>
      </c>
      <c r="BQ60" s="221"/>
      <c r="BR60" s="221">
        <v>15.01</v>
      </c>
      <c r="BS60" s="221">
        <v>3.9</v>
      </c>
      <c r="BT60" s="221"/>
      <c r="BU60" s="221"/>
      <c r="BV60" s="221">
        <v>57.06</v>
      </c>
      <c r="BW60" s="221">
        <v>6</v>
      </c>
      <c r="BX60" s="221">
        <v>28.189999999999998</v>
      </c>
      <c r="BY60" s="221">
        <v>10.75</v>
      </c>
      <c r="BZ60" s="221">
        <v>6.39</v>
      </c>
      <c r="CA60" s="221"/>
      <c r="CB60" s="221"/>
      <c r="CC60" s="221">
        <v>20.72</v>
      </c>
      <c r="CD60" s="249" t="s">
        <v>221</v>
      </c>
      <c r="CE60" s="251">
        <f t="shared" ref="CE60:CE70" si="0">SUM(C60:CD60)</f>
        <v>1672.88</v>
      </c>
    </row>
    <row r="61" spans="1:84" ht="12.6" customHeight="1" x14ac:dyDescent="0.25">
      <c r="A61" s="171" t="s">
        <v>235</v>
      </c>
      <c r="B61" s="175"/>
      <c r="C61" s="184">
        <v>2503211</v>
      </c>
      <c r="D61" s="184"/>
      <c r="E61" s="184">
        <f>3751106+3656091+4179705+1820317+70424+392282</f>
        <v>13869925</v>
      </c>
      <c r="F61" s="185">
        <f>2598948</f>
        <v>2598948</v>
      </c>
      <c r="G61" s="184"/>
      <c r="H61" s="184">
        <v>2358282</v>
      </c>
      <c r="I61" s="185"/>
      <c r="J61" s="185">
        <v>513832</v>
      </c>
      <c r="K61" s="185"/>
      <c r="L61" s="185"/>
      <c r="M61" s="184"/>
      <c r="N61" s="184"/>
      <c r="O61" s="184">
        <v>1712472</v>
      </c>
      <c r="P61" s="185">
        <v>2981243</v>
      </c>
      <c r="Q61" s="185">
        <v>1717923</v>
      </c>
      <c r="R61" s="185">
        <v>111184</v>
      </c>
      <c r="S61" s="185">
        <f>555547+472962</f>
        <v>1028509</v>
      </c>
      <c r="T61" s="185">
        <v>477209</v>
      </c>
      <c r="U61" s="185">
        <v>644438</v>
      </c>
      <c r="V61" s="185">
        <v>133307</v>
      </c>
      <c r="W61" s="185">
        <v>107324</v>
      </c>
      <c r="X61" s="185"/>
      <c r="Y61" s="185">
        <f>3425322.07</f>
        <v>3425322.07</v>
      </c>
      <c r="Z61" s="185">
        <v>1214021</v>
      </c>
      <c r="AA61" s="185"/>
      <c r="AB61" s="185">
        <f>4488615+258082</f>
        <v>4746697</v>
      </c>
      <c r="AC61" s="185">
        <v>1307901</v>
      </c>
      <c r="AD61" s="185">
        <f>1773217+314636+213949</f>
        <v>2301802</v>
      </c>
      <c r="AE61" s="185">
        <v>1023245</v>
      </c>
      <c r="AF61" s="185"/>
      <c r="AG61" s="185">
        <f>4785176</f>
        <v>4785176</v>
      </c>
      <c r="AH61" s="185"/>
      <c r="AI61" s="185"/>
      <c r="AJ61" s="185">
        <v>2076967.21</v>
      </c>
      <c r="AK61" s="185">
        <v>134533</v>
      </c>
      <c r="AL61" s="185">
        <v>229134</v>
      </c>
      <c r="AM61" s="185"/>
      <c r="AN61" s="185"/>
      <c r="AO61" s="185">
        <v>747132</v>
      </c>
      <c r="AP61" s="185">
        <v>53034348</v>
      </c>
      <c r="AQ61" s="185"/>
      <c r="AR61" s="185"/>
      <c r="AS61" s="185"/>
      <c r="AT61" s="185"/>
      <c r="AU61" s="185"/>
      <c r="AV61" s="185">
        <v>7515682</v>
      </c>
      <c r="AW61" s="185"/>
      <c r="AX61" s="185">
        <v>14193</v>
      </c>
      <c r="AY61" s="185">
        <v>1214093</v>
      </c>
      <c r="AZ61" s="185"/>
      <c r="BA61" s="185"/>
      <c r="BB61" s="185"/>
      <c r="BC61" s="185"/>
      <c r="BD61" s="185">
        <v>490741</v>
      </c>
      <c r="BE61" s="185">
        <f>1285312+575932</f>
        <v>1861244</v>
      </c>
      <c r="BF61" s="185">
        <v>1259808</v>
      </c>
      <c r="BG61" s="185">
        <v>1109769</v>
      </c>
      <c r="BH61" s="185">
        <f>9767398+18732+193517</f>
        <v>9979647</v>
      </c>
      <c r="BI61" s="185">
        <f>427256</f>
        <v>427256</v>
      </c>
      <c r="BJ61" s="185">
        <v>1419809</v>
      </c>
      <c r="BK61" s="185">
        <v>3326283</v>
      </c>
      <c r="BL61" s="185">
        <v>2604250</v>
      </c>
      <c r="BM61" s="185">
        <v>754971</v>
      </c>
      <c r="BN61" s="185">
        <v>4158282.27</v>
      </c>
      <c r="BO61" s="185">
        <v>152287</v>
      </c>
      <c r="BP61" s="185">
        <f>687196+399531</f>
        <v>1086727</v>
      </c>
      <c r="BQ61" s="185"/>
      <c r="BR61" s="185">
        <v>1197863</v>
      </c>
      <c r="BS61" s="185">
        <f>209768+133139</f>
        <v>342907</v>
      </c>
      <c r="BT61" s="185"/>
      <c r="BU61" s="185"/>
      <c r="BV61" s="185">
        <f>2965586+36893</f>
        <v>3002479</v>
      </c>
      <c r="BW61" s="185">
        <v>294928</v>
      </c>
      <c r="BX61" s="185">
        <f>687541+294820+507952+1820011</f>
        <v>3310324</v>
      </c>
      <c r="BY61" s="185">
        <v>1044226</v>
      </c>
      <c r="BZ61" s="185">
        <v>551574</v>
      </c>
      <c r="CA61" s="185"/>
      <c r="CB61" s="185">
        <v>9347</v>
      </c>
      <c r="CC61" s="185">
        <f>925067+38728+1479085+86212+30802+114842+405110+23213-855311</f>
        <v>2247748</v>
      </c>
      <c r="CD61" s="249" t="s">
        <v>221</v>
      </c>
      <c r="CE61" s="195">
        <f t="shared" si="0"/>
        <v>155160523.55000001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571290</v>
      </c>
      <c r="D62" s="195">
        <f t="shared" si="1"/>
        <v>0</v>
      </c>
      <c r="E62" s="195">
        <f t="shared" si="1"/>
        <v>3165432</v>
      </c>
      <c r="F62" s="195">
        <f t="shared" si="1"/>
        <v>593139</v>
      </c>
      <c r="G62" s="195">
        <f t="shared" si="1"/>
        <v>0</v>
      </c>
      <c r="H62" s="195">
        <f t="shared" si="1"/>
        <v>538213</v>
      </c>
      <c r="I62" s="195">
        <f t="shared" si="1"/>
        <v>0</v>
      </c>
      <c r="J62" s="195">
        <f>ROUND(J47+J48,0)</f>
        <v>117268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390825</v>
      </c>
      <c r="P62" s="195">
        <f t="shared" si="1"/>
        <v>680387</v>
      </c>
      <c r="Q62" s="195">
        <f t="shared" si="1"/>
        <v>392069</v>
      </c>
      <c r="R62" s="195">
        <f t="shared" si="1"/>
        <v>25375</v>
      </c>
      <c r="S62" s="195">
        <f t="shared" si="1"/>
        <v>234729</v>
      </c>
      <c r="T62" s="195">
        <f t="shared" si="1"/>
        <v>108910</v>
      </c>
      <c r="U62" s="195">
        <f t="shared" si="1"/>
        <v>147075</v>
      </c>
      <c r="V62" s="195">
        <f t="shared" si="1"/>
        <v>30424</v>
      </c>
      <c r="W62" s="195">
        <f t="shared" si="1"/>
        <v>24494</v>
      </c>
      <c r="X62" s="195">
        <f t="shared" si="1"/>
        <v>0</v>
      </c>
      <c r="Y62" s="195">
        <f t="shared" si="1"/>
        <v>781736</v>
      </c>
      <c r="Z62" s="195">
        <f t="shared" si="1"/>
        <v>277067</v>
      </c>
      <c r="AA62" s="195">
        <f t="shared" si="1"/>
        <v>0</v>
      </c>
      <c r="AB62" s="195">
        <f t="shared" si="1"/>
        <v>1083304</v>
      </c>
      <c r="AC62" s="195">
        <f t="shared" si="1"/>
        <v>298493</v>
      </c>
      <c r="AD62" s="195">
        <f t="shared" si="1"/>
        <v>525323</v>
      </c>
      <c r="AE62" s="195">
        <f t="shared" si="1"/>
        <v>233528</v>
      </c>
      <c r="AF62" s="195">
        <f t="shared" si="1"/>
        <v>0</v>
      </c>
      <c r="AG62" s="195">
        <f t="shared" si="1"/>
        <v>1092086</v>
      </c>
      <c r="AH62" s="195">
        <f t="shared" si="1"/>
        <v>0</v>
      </c>
      <c r="AI62" s="195">
        <f t="shared" si="1"/>
        <v>0</v>
      </c>
      <c r="AJ62" s="195">
        <f t="shared" si="1"/>
        <v>474011</v>
      </c>
      <c r="AK62" s="195">
        <f t="shared" si="1"/>
        <v>30703</v>
      </c>
      <c r="AL62" s="195">
        <f t="shared" si="1"/>
        <v>52294</v>
      </c>
      <c r="AM62" s="195">
        <f t="shared" si="1"/>
        <v>0</v>
      </c>
      <c r="AN62" s="195">
        <f t="shared" si="1"/>
        <v>0</v>
      </c>
      <c r="AO62" s="195">
        <f t="shared" si="1"/>
        <v>170512</v>
      </c>
      <c r="AP62" s="195">
        <f t="shared" si="1"/>
        <v>12103642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1715249</v>
      </c>
      <c r="AW62" s="195">
        <f t="shared" si="1"/>
        <v>0</v>
      </c>
      <c r="AX62" s="195">
        <f t="shared" si="1"/>
        <v>3239</v>
      </c>
      <c r="AY62" s="195">
        <f>ROUND(AY47+AY48,0)</f>
        <v>277084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111998</v>
      </c>
      <c r="BE62" s="195">
        <f t="shared" si="1"/>
        <v>424778</v>
      </c>
      <c r="BF62" s="195">
        <f t="shared" si="1"/>
        <v>287517</v>
      </c>
      <c r="BG62" s="195">
        <f t="shared" si="1"/>
        <v>253274</v>
      </c>
      <c r="BH62" s="195">
        <f t="shared" si="1"/>
        <v>2277582</v>
      </c>
      <c r="BI62" s="195">
        <f t="shared" si="1"/>
        <v>97510</v>
      </c>
      <c r="BJ62" s="195">
        <f t="shared" si="1"/>
        <v>324033</v>
      </c>
      <c r="BK62" s="195">
        <f t="shared" si="1"/>
        <v>759133</v>
      </c>
      <c r="BL62" s="195">
        <f t="shared" si="1"/>
        <v>594349</v>
      </c>
      <c r="BM62" s="195">
        <f t="shared" si="1"/>
        <v>172302</v>
      </c>
      <c r="BN62" s="195">
        <f t="shared" si="1"/>
        <v>949014</v>
      </c>
      <c r="BO62" s="195">
        <f t="shared" ref="BO62:CC62" si="2">ROUND(BO47+BO48,0)</f>
        <v>34755</v>
      </c>
      <c r="BP62" s="195">
        <f t="shared" si="2"/>
        <v>248016</v>
      </c>
      <c r="BQ62" s="195">
        <f t="shared" si="2"/>
        <v>0</v>
      </c>
      <c r="BR62" s="195">
        <f t="shared" si="2"/>
        <v>273380</v>
      </c>
      <c r="BS62" s="195">
        <f t="shared" si="2"/>
        <v>78259</v>
      </c>
      <c r="BT62" s="195">
        <f t="shared" si="2"/>
        <v>0</v>
      </c>
      <c r="BU62" s="195">
        <f t="shared" si="2"/>
        <v>0</v>
      </c>
      <c r="BV62" s="195">
        <f t="shared" si="2"/>
        <v>685234</v>
      </c>
      <c r="BW62" s="195">
        <f t="shared" si="2"/>
        <v>67309</v>
      </c>
      <c r="BX62" s="195">
        <f t="shared" si="2"/>
        <v>755491</v>
      </c>
      <c r="BY62" s="195">
        <f t="shared" si="2"/>
        <v>238316</v>
      </c>
      <c r="BZ62" s="195">
        <f t="shared" si="2"/>
        <v>125882</v>
      </c>
      <c r="CA62" s="195">
        <f t="shared" si="2"/>
        <v>0</v>
      </c>
      <c r="CB62" s="195">
        <f t="shared" si="2"/>
        <v>2133</v>
      </c>
      <c r="CC62" s="195">
        <f t="shared" si="2"/>
        <v>512987</v>
      </c>
      <c r="CD62" s="249" t="s">
        <v>221</v>
      </c>
      <c r="CE62" s="195">
        <f t="shared" si="0"/>
        <v>35411153</v>
      </c>
      <c r="CF62" s="252"/>
    </row>
    <row r="63" spans="1:84" ht="12.6" customHeight="1" x14ac:dyDescent="0.25">
      <c r="A63" s="171" t="s">
        <v>236</v>
      </c>
      <c r="B63" s="175"/>
      <c r="C63" s="184">
        <v>20360</v>
      </c>
      <c r="D63" s="184"/>
      <c r="E63" s="184">
        <f>15348+274+39498+2071</f>
        <v>57191</v>
      </c>
      <c r="F63" s="185"/>
      <c r="G63" s="184"/>
      <c r="H63" s="184"/>
      <c r="I63" s="185"/>
      <c r="J63" s="185">
        <v>739333</v>
      </c>
      <c r="K63" s="185"/>
      <c r="L63" s="185"/>
      <c r="M63" s="184"/>
      <c r="N63" s="184"/>
      <c r="O63" s="184">
        <v>248594</v>
      </c>
      <c r="P63" s="185">
        <v>179965</v>
      </c>
      <c r="Q63" s="185"/>
      <c r="R63" s="185">
        <v>1529235</v>
      </c>
      <c r="S63" s="185"/>
      <c r="T63" s="185"/>
      <c r="U63" s="185">
        <v>495493</v>
      </c>
      <c r="V63" s="185"/>
      <c r="W63" s="185">
        <v>12600</v>
      </c>
      <c r="X63" s="185">
        <v>12600</v>
      </c>
      <c r="Y63" s="185">
        <f>3600+763+7200+21071</f>
        <v>32634</v>
      </c>
      <c r="Z63" s="185">
        <v>52219</v>
      </c>
      <c r="AA63" s="185"/>
      <c r="AB63" s="185">
        <v>12075</v>
      </c>
      <c r="AC63" s="185">
        <v>5525</v>
      </c>
      <c r="AD63" s="185">
        <f>117362</f>
        <v>117362</v>
      </c>
      <c r="AE63" s="185"/>
      <c r="AF63" s="185"/>
      <c r="AG63" s="185">
        <f>399192+11899</f>
        <v>411091</v>
      </c>
      <c r="AH63" s="185"/>
      <c r="AI63" s="185"/>
      <c r="AJ63" s="185">
        <f>2186739</f>
        <v>2186739</v>
      </c>
      <c r="AK63" s="185"/>
      <c r="AL63" s="185"/>
      <c r="AM63" s="185"/>
      <c r="AN63" s="185"/>
      <c r="AO63" s="185"/>
      <c r="AP63" s="185">
        <v>3025492</v>
      </c>
      <c r="AQ63" s="185"/>
      <c r="AR63" s="185"/>
      <c r="AS63" s="185"/>
      <c r="AT63" s="185"/>
      <c r="AU63" s="185"/>
      <c r="AV63" s="185">
        <v>142922</v>
      </c>
      <c r="AW63" s="185"/>
      <c r="AX63" s="185">
        <v>10156</v>
      </c>
      <c r="AY63" s="185"/>
      <c r="AZ63" s="185"/>
      <c r="BA63" s="185"/>
      <c r="BB63" s="185"/>
      <c r="BC63" s="185"/>
      <c r="BD63" s="185">
        <v>10092</v>
      </c>
      <c r="BE63" s="185">
        <f>76436</f>
        <v>76436</v>
      </c>
      <c r="BF63" s="185"/>
      <c r="BG63" s="185"/>
      <c r="BH63" s="185">
        <f>547793</f>
        <v>547793</v>
      </c>
      <c r="BI63" s="185"/>
      <c r="BJ63" s="185">
        <v>21770</v>
      </c>
      <c r="BK63" s="185">
        <v>9956</v>
      </c>
      <c r="BL63" s="185"/>
      <c r="BM63" s="185">
        <v>542513</v>
      </c>
      <c r="BN63" s="185">
        <v>389766</v>
      </c>
      <c r="BO63" s="185"/>
      <c r="BP63" s="185"/>
      <c r="BQ63" s="185"/>
      <c r="BR63" s="185">
        <v>15383</v>
      </c>
      <c r="BS63" s="185"/>
      <c r="BT63" s="185"/>
      <c r="BU63" s="185"/>
      <c r="BV63" s="185">
        <v>241599</v>
      </c>
      <c r="BW63" s="185">
        <v>116475</v>
      </c>
      <c r="BX63" s="185">
        <f>13618+392657</f>
        <v>406275</v>
      </c>
      <c r="BY63" s="185"/>
      <c r="BZ63" s="185"/>
      <c r="CA63" s="185"/>
      <c r="CB63" s="185"/>
      <c r="CC63" s="185">
        <f>14600+974346+97637</f>
        <v>1086583</v>
      </c>
      <c r="CD63" s="249" t="s">
        <v>221</v>
      </c>
      <c r="CE63" s="195">
        <f t="shared" si="0"/>
        <v>12756227</v>
      </c>
      <c r="CF63" s="252"/>
    </row>
    <row r="64" spans="1:84" ht="12.6" customHeight="1" x14ac:dyDescent="0.25">
      <c r="A64" s="171" t="s">
        <v>237</v>
      </c>
      <c r="B64" s="175"/>
      <c r="C64" s="184">
        <v>402243</v>
      </c>
      <c r="D64" s="184"/>
      <c r="E64" s="185">
        <v>1211832.17</v>
      </c>
      <c r="F64" s="185">
        <v>170059</v>
      </c>
      <c r="G64" s="184"/>
      <c r="H64" s="184">
        <v>30455</v>
      </c>
      <c r="I64" s="185"/>
      <c r="J64" s="185">
        <v>48332</v>
      </c>
      <c r="K64" s="185"/>
      <c r="L64" s="185"/>
      <c r="M64" s="184"/>
      <c r="N64" s="184"/>
      <c r="O64" s="184">
        <v>198659</v>
      </c>
      <c r="P64" s="185">
        <v>8544885</v>
      </c>
      <c r="Q64" s="185">
        <v>290162</v>
      </c>
      <c r="R64" s="185">
        <v>305722</v>
      </c>
      <c r="S64" s="185">
        <f>17776+235077</f>
        <v>252853</v>
      </c>
      <c r="T64" s="185">
        <v>108335</v>
      </c>
      <c r="U64" s="185">
        <f>1853023+14</f>
        <v>1853037</v>
      </c>
      <c r="V64" s="185">
        <v>44362</v>
      </c>
      <c r="W64" s="185">
        <v>117473</v>
      </c>
      <c r="X64" s="185">
        <v>89193</v>
      </c>
      <c r="Y64" s="185">
        <f>81212+77000+5191764</f>
        <v>5349976</v>
      </c>
      <c r="Z64" s="185">
        <v>37383</v>
      </c>
      <c r="AA64" s="185">
        <v>151751</v>
      </c>
      <c r="AB64" s="185">
        <f>20453145+4028614</f>
        <v>24481759</v>
      </c>
      <c r="AC64" s="185">
        <v>144752.24</v>
      </c>
      <c r="AD64" s="185">
        <f>1004718+54069+397460</f>
        <v>1456247</v>
      </c>
      <c r="AE64" s="185">
        <v>8068</v>
      </c>
      <c r="AF64" s="185"/>
      <c r="AG64" s="185">
        <f>690633</f>
        <v>690633</v>
      </c>
      <c r="AH64" s="185"/>
      <c r="AI64" s="185"/>
      <c r="AJ64" s="185">
        <v>227235.52</v>
      </c>
      <c r="AK64" s="185">
        <v>4009</v>
      </c>
      <c r="AL64" s="185">
        <v>2946</v>
      </c>
      <c r="AM64" s="185"/>
      <c r="AN64" s="185"/>
      <c r="AO64" s="185">
        <v>104088</v>
      </c>
      <c r="AP64" s="185">
        <v>3247352</v>
      </c>
      <c r="AQ64" s="185"/>
      <c r="AR64" s="185"/>
      <c r="AS64" s="185"/>
      <c r="AT64" s="185"/>
      <c r="AU64" s="185"/>
      <c r="AV64" s="185">
        <v>1158286</v>
      </c>
      <c r="AW64" s="185"/>
      <c r="AX64" s="185">
        <v>15193</v>
      </c>
      <c r="AY64" s="185">
        <v>-497975</v>
      </c>
      <c r="AZ64" s="185"/>
      <c r="BA64" s="185"/>
      <c r="BB64" s="185"/>
      <c r="BC64" s="185"/>
      <c r="BD64" s="185">
        <v>29421</v>
      </c>
      <c r="BE64" s="185">
        <v>305595.21999999997</v>
      </c>
      <c r="BF64" s="185">
        <v>215672</v>
      </c>
      <c r="BG64" s="185">
        <v>15313</v>
      </c>
      <c r="BH64" s="185">
        <f>345454+46525</f>
        <v>391979</v>
      </c>
      <c r="BI64" s="185"/>
      <c r="BJ64" s="185">
        <v>6595</v>
      </c>
      <c r="BK64" s="185">
        <v>25341</v>
      </c>
      <c r="BL64" s="185">
        <v>24995</v>
      </c>
      <c r="BM64" s="185">
        <v>623</v>
      </c>
      <c r="BN64" s="185">
        <v>54186.18</v>
      </c>
      <c r="BO64" s="185"/>
      <c r="BP64" s="185">
        <f>9638+93870</f>
        <v>103508</v>
      </c>
      <c r="BQ64" s="185"/>
      <c r="BR64" s="185">
        <v>13722</v>
      </c>
      <c r="BS64" s="185">
        <f>216+29747</f>
        <v>29963</v>
      </c>
      <c r="BT64" s="185"/>
      <c r="BU64" s="185"/>
      <c r="BV64" s="185">
        <v>25906</v>
      </c>
      <c r="BW64" s="185">
        <v>26543</v>
      </c>
      <c r="BX64" s="185">
        <f>1826+5215+4597+5931</f>
        <v>17569</v>
      </c>
      <c r="BY64" s="185">
        <v>18247</v>
      </c>
      <c r="BZ64" s="185">
        <v>6132</v>
      </c>
      <c r="CA64" s="185"/>
      <c r="CB64" s="185"/>
      <c r="CC64" s="185">
        <f>464+183273+27+491+1214+229694+352+27964+7336</f>
        <v>450815</v>
      </c>
      <c r="CD64" s="249" t="s">
        <v>221</v>
      </c>
      <c r="CE64" s="195">
        <f t="shared" si="0"/>
        <v>52011431.330000006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>
        <v>22465</v>
      </c>
      <c r="AC65" s="185"/>
      <c r="AD65" s="185">
        <v>93290</v>
      </c>
      <c r="AE65" s="185"/>
      <c r="AF65" s="185"/>
      <c r="AG65" s="185"/>
      <c r="AH65" s="185"/>
      <c r="AI65" s="185"/>
      <c r="AJ65" s="185">
        <v>808</v>
      </c>
      <c r="AK65" s="185"/>
      <c r="AL65" s="185"/>
      <c r="AM65" s="185"/>
      <c r="AN65" s="185"/>
      <c r="AO65" s="185"/>
      <c r="AP65" s="185">
        <v>472052</v>
      </c>
      <c r="AQ65" s="185"/>
      <c r="AR65" s="185"/>
      <c r="AS65" s="185"/>
      <c r="AT65" s="185"/>
      <c r="AU65" s="185"/>
      <c r="AV65" s="185"/>
      <c r="AW65" s="185"/>
      <c r="AX65" s="185"/>
      <c r="AY65" s="185">
        <v>323</v>
      </c>
      <c r="AZ65" s="185"/>
      <c r="BA65" s="185"/>
      <c r="BB65" s="185"/>
      <c r="BC65" s="185"/>
      <c r="BD65" s="185">
        <v>43</v>
      </c>
      <c r="BE65" s="185"/>
      <c r="BF65" s="185"/>
      <c r="BG65" s="185"/>
      <c r="BH65" s="185">
        <v>10191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f>1953587+222+6353+9275+10692+6085+4093+27938+7786+828+137+1161+271997+3284+120+3693+141066</f>
        <v>2448317</v>
      </c>
      <c r="CD65" s="249" t="s">
        <v>221</v>
      </c>
      <c r="CE65" s="195">
        <f t="shared" si="0"/>
        <v>3047489</v>
      </c>
      <c r="CF65" s="252"/>
    </row>
    <row r="66" spans="1:84" ht="12.6" customHeight="1" x14ac:dyDescent="0.25">
      <c r="A66" s="171" t="s">
        <v>239</v>
      </c>
      <c r="B66" s="175"/>
      <c r="C66" s="184">
        <v>1644</v>
      </c>
      <c r="D66" s="184"/>
      <c r="E66" s="184">
        <f>1821+505+674+1327+791+2598509</f>
        <v>2603627</v>
      </c>
      <c r="F66" s="184">
        <v>13831</v>
      </c>
      <c r="G66" s="184"/>
      <c r="H66" s="184">
        <v>4875</v>
      </c>
      <c r="I66" s="184"/>
      <c r="J66" s="184">
        <v>16276</v>
      </c>
      <c r="K66" s="185"/>
      <c r="L66" s="185"/>
      <c r="M66" s="184"/>
      <c r="N66" s="184"/>
      <c r="O66" s="185">
        <v>620</v>
      </c>
      <c r="P66" s="185">
        <v>423050</v>
      </c>
      <c r="Q66" s="185">
        <v>1327</v>
      </c>
      <c r="R66" s="185">
        <v>10155</v>
      </c>
      <c r="S66" s="184">
        <f>5420+29247</f>
        <v>34667</v>
      </c>
      <c r="T66" s="184">
        <v>-352</v>
      </c>
      <c r="U66" s="185">
        <f>9440768+1324717</f>
        <v>10765485</v>
      </c>
      <c r="V66" s="185">
        <v>1174</v>
      </c>
      <c r="W66" s="185">
        <v>3286770</v>
      </c>
      <c r="X66" s="185">
        <v>4897630</v>
      </c>
      <c r="Y66" s="185">
        <v>3055358.34</v>
      </c>
      <c r="Z66" s="185">
        <v>1231528</v>
      </c>
      <c r="AA66" s="185">
        <v>1065334</v>
      </c>
      <c r="AB66" s="185">
        <f>232274+236143</f>
        <v>468417</v>
      </c>
      <c r="AC66" s="185">
        <v>15521</v>
      </c>
      <c r="AD66" s="185">
        <f>179737+8518+12490</f>
        <v>200745</v>
      </c>
      <c r="AE66" s="185">
        <v>6328.71</v>
      </c>
      <c r="AF66" s="185"/>
      <c r="AG66" s="185">
        <f>19280</f>
        <v>19280</v>
      </c>
      <c r="AH66" s="185"/>
      <c r="AI66" s="185"/>
      <c r="AJ66" s="185">
        <f>41928</f>
        <v>41928</v>
      </c>
      <c r="AK66" s="185"/>
      <c r="AL66" s="185">
        <v>120</v>
      </c>
      <c r="AM66" s="185"/>
      <c r="AN66" s="185"/>
      <c r="AO66" s="185"/>
      <c r="AP66" s="185">
        <v>764187</v>
      </c>
      <c r="AQ66" s="185"/>
      <c r="AR66" s="185"/>
      <c r="AS66" s="185"/>
      <c r="AT66" s="185"/>
      <c r="AU66" s="185"/>
      <c r="AV66" s="185">
        <v>198338</v>
      </c>
      <c r="AW66" s="185"/>
      <c r="AX66" s="185">
        <v>40085</v>
      </c>
      <c r="AY66" s="185">
        <v>1031332</v>
      </c>
      <c r="AZ66" s="185"/>
      <c r="BA66" s="185">
        <v>804890</v>
      </c>
      <c r="BB66" s="185"/>
      <c r="BC66" s="185">
        <v>22202</v>
      </c>
      <c r="BD66" s="185">
        <v>16696</v>
      </c>
      <c r="BE66" s="185">
        <f>1835798+238255+628744</f>
        <v>2702797</v>
      </c>
      <c r="BF66" s="185">
        <v>383784</v>
      </c>
      <c r="BG66" s="185">
        <v>5296</v>
      </c>
      <c r="BH66" s="185">
        <f>8776143+974199+700812</f>
        <v>10451154</v>
      </c>
      <c r="BI66" s="185"/>
      <c r="BJ66" s="185">
        <v>49210</v>
      </c>
      <c r="BK66" s="185">
        <v>1631931</v>
      </c>
      <c r="BL66" s="185">
        <v>187676</v>
      </c>
      <c r="BM66" s="185">
        <v>409601</v>
      </c>
      <c r="BN66" s="185">
        <v>416787</v>
      </c>
      <c r="BO66" s="185"/>
      <c r="BP66" s="185">
        <f>1454558+42642</f>
        <v>1497200</v>
      </c>
      <c r="BQ66" s="185"/>
      <c r="BR66" s="185">
        <v>175613</v>
      </c>
      <c r="BS66" s="185">
        <v>1183</v>
      </c>
      <c r="BT66" s="185"/>
      <c r="BU66" s="185"/>
      <c r="BV66" s="185">
        <f>137160+97281</f>
        <v>234441</v>
      </c>
      <c r="BW66" s="185">
        <v>52561</v>
      </c>
      <c r="BX66" s="185">
        <f>267885+247+5129+299071</f>
        <v>572332</v>
      </c>
      <c r="BY66" s="185">
        <v>1058</v>
      </c>
      <c r="BZ66" s="185"/>
      <c r="CA66" s="185"/>
      <c r="CB66" s="185"/>
      <c r="CC66" s="185">
        <f>1685+517049+12+1920+456+6650+4868+502+2699+4555+215894+115407</f>
        <v>871697</v>
      </c>
      <c r="CD66" s="249" t="s">
        <v>221</v>
      </c>
      <c r="CE66" s="195">
        <f t="shared" si="0"/>
        <v>50687390.049999997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79013</v>
      </c>
      <c r="D67" s="195">
        <f>ROUND(D51+D52,0)</f>
        <v>0</v>
      </c>
      <c r="E67" s="195">
        <f t="shared" ref="E67:BP67" si="3">ROUND(E51+E52,0)</f>
        <v>762326</v>
      </c>
      <c r="F67" s="195">
        <f t="shared" si="3"/>
        <v>268188</v>
      </c>
      <c r="G67" s="195">
        <f t="shared" si="3"/>
        <v>0</v>
      </c>
      <c r="H67" s="195">
        <f t="shared" si="3"/>
        <v>140505</v>
      </c>
      <c r="I67" s="195">
        <f t="shared" si="3"/>
        <v>0</v>
      </c>
      <c r="J67" s="195">
        <f>ROUND(J51+J52,0)</f>
        <v>16290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29879</v>
      </c>
      <c r="P67" s="195">
        <f t="shared" si="3"/>
        <v>305749</v>
      </c>
      <c r="Q67" s="195">
        <f t="shared" si="3"/>
        <v>116412</v>
      </c>
      <c r="R67" s="195">
        <f t="shared" si="3"/>
        <v>6270</v>
      </c>
      <c r="S67" s="195">
        <f t="shared" si="3"/>
        <v>115747</v>
      </c>
      <c r="T67" s="195">
        <f t="shared" si="3"/>
        <v>3790</v>
      </c>
      <c r="U67" s="195">
        <f t="shared" si="3"/>
        <v>143751</v>
      </c>
      <c r="V67" s="195">
        <f t="shared" si="3"/>
        <v>0</v>
      </c>
      <c r="W67" s="195">
        <f t="shared" si="3"/>
        <v>41190</v>
      </c>
      <c r="X67" s="195">
        <f t="shared" si="3"/>
        <v>33448</v>
      </c>
      <c r="Y67" s="195">
        <f t="shared" si="3"/>
        <v>272059</v>
      </c>
      <c r="Z67" s="195">
        <f t="shared" si="3"/>
        <v>131755</v>
      </c>
      <c r="AA67" s="195">
        <f t="shared" si="3"/>
        <v>37924</v>
      </c>
      <c r="AB67" s="195">
        <f t="shared" si="3"/>
        <v>158691</v>
      </c>
      <c r="AC67" s="195">
        <f t="shared" si="3"/>
        <v>34194</v>
      </c>
      <c r="AD67" s="195">
        <f t="shared" si="3"/>
        <v>127501</v>
      </c>
      <c r="AE67" s="195">
        <f t="shared" si="3"/>
        <v>42964</v>
      </c>
      <c r="AF67" s="195">
        <f t="shared" si="3"/>
        <v>0</v>
      </c>
      <c r="AG67" s="195">
        <f t="shared" si="3"/>
        <v>191514</v>
      </c>
      <c r="AH67" s="195">
        <f t="shared" si="3"/>
        <v>0</v>
      </c>
      <c r="AI67" s="195">
        <f t="shared" si="3"/>
        <v>0</v>
      </c>
      <c r="AJ67" s="195">
        <f t="shared" si="3"/>
        <v>347383</v>
      </c>
      <c r="AK67" s="195">
        <f t="shared" si="3"/>
        <v>5363</v>
      </c>
      <c r="AL67" s="195">
        <f t="shared" si="3"/>
        <v>2540</v>
      </c>
      <c r="AM67" s="195">
        <f t="shared" si="3"/>
        <v>0</v>
      </c>
      <c r="AN67" s="195">
        <f t="shared" si="3"/>
        <v>0</v>
      </c>
      <c r="AO67" s="195">
        <f t="shared" si="3"/>
        <v>49275</v>
      </c>
      <c r="AP67" s="195">
        <f t="shared" si="3"/>
        <v>4106897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464662</v>
      </c>
      <c r="AW67" s="195">
        <f t="shared" si="3"/>
        <v>0</v>
      </c>
      <c r="AX67" s="195">
        <f t="shared" si="3"/>
        <v>0</v>
      </c>
      <c r="AY67" s="195">
        <f t="shared" si="3"/>
        <v>179699</v>
      </c>
      <c r="AZ67" s="195">
        <f>ROUND(AZ51+AZ52,0)</f>
        <v>0</v>
      </c>
      <c r="BA67" s="195">
        <f>ROUND(BA51+BA52,0)</f>
        <v>25303</v>
      </c>
      <c r="BB67" s="195">
        <f t="shared" si="3"/>
        <v>0</v>
      </c>
      <c r="BC67" s="195">
        <f t="shared" si="3"/>
        <v>0</v>
      </c>
      <c r="BD67" s="195">
        <f t="shared" si="3"/>
        <v>122380</v>
      </c>
      <c r="BE67" s="195">
        <f t="shared" si="3"/>
        <v>4517547</v>
      </c>
      <c r="BF67" s="195">
        <f t="shared" si="3"/>
        <v>68146</v>
      </c>
      <c r="BG67" s="195">
        <f t="shared" si="3"/>
        <v>0</v>
      </c>
      <c r="BH67" s="195">
        <f t="shared" si="3"/>
        <v>179679</v>
      </c>
      <c r="BI67" s="195">
        <f t="shared" si="3"/>
        <v>30545</v>
      </c>
      <c r="BJ67" s="195">
        <f t="shared" si="3"/>
        <v>197603</v>
      </c>
      <c r="BK67" s="195">
        <f t="shared" si="3"/>
        <v>39295</v>
      </c>
      <c r="BL67" s="195">
        <f t="shared" si="3"/>
        <v>55021</v>
      </c>
      <c r="BM67" s="195">
        <f t="shared" si="3"/>
        <v>0</v>
      </c>
      <c r="BN67" s="195">
        <f t="shared" si="3"/>
        <v>101049</v>
      </c>
      <c r="BO67" s="195">
        <f t="shared" si="3"/>
        <v>0</v>
      </c>
      <c r="BP67" s="195">
        <f t="shared" si="3"/>
        <v>9415</v>
      </c>
      <c r="BQ67" s="195">
        <f t="shared" ref="BQ67:CC67" si="4">ROUND(BQ51+BQ52,0)</f>
        <v>0</v>
      </c>
      <c r="BR67" s="195">
        <f t="shared" si="4"/>
        <v>71856</v>
      </c>
      <c r="BS67" s="195">
        <f t="shared" si="4"/>
        <v>76694</v>
      </c>
      <c r="BT67" s="195">
        <f t="shared" si="4"/>
        <v>0</v>
      </c>
      <c r="BU67" s="195">
        <f t="shared" si="4"/>
        <v>0</v>
      </c>
      <c r="BV67" s="195">
        <f t="shared" si="4"/>
        <v>136493</v>
      </c>
      <c r="BW67" s="195">
        <f t="shared" si="4"/>
        <v>20081</v>
      </c>
      <c r="BX67" s="195">
        <f t="shared" si="4"/>
        <v>44073</v>
      </c>
      <c r="BY67" s="195">
        <f t="shared" si="4"/>
        <v>35525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2068872</v>
      </c>
      <c r="CD67" s="249" t="s">
        <v>221</v>
      </c>
      <c r="CE67" s="195">
        <f t="shared" si="0"/>
        <v>16014556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245</v>
      </c>
      <c r="F68" s="184">
        <v>3190</v>
      </c>
      <c r="G68" s="184"/>
      <c r="H68" s="184">
        <v>1028</v>
      </c>
      <c r="I68" s="184"/>
      <c r="J68" s="184"/>
      <c r="K68" s="185"/>
      <c r="L68" s="185"/>
      <c r="M68" s="184"/>
      <c r="N68" s="184"/>
      <c r="O68" s="184"/>
      <c r="P68" s="185">
        <v>24117</v>
      </c>
      <c r="Q68" s="185"/>
      <c r="R68" s="185">
        <v>4265</v>
      </c>
      <c r="S68" s="185">
        <v>64617</v>
      </c>
      <c r="T68" s="185"/>
      <c r="U68" s="185"/>
      <c r="V68" s="185"/>
      <c r="W68" s="185"/>
      <c r="X68" s="185"/>
      <c r="Y68" s="185">
        <v>8654.3799999999992</v>
      </c>
      <c r="Z68" s="185">
        <v>362996</v>
      </c>
      <c r="AA68" s="185"/>
      <c r="AB68" s="185">
        <v>125377</v>
      </c>
      <c r="AC68" s="185">
        <v>101828</v>
      </c>
      <c r="AD68" s="185">
        <f>4076+28820</f>
        <v>32896</v>
      </c>
      <c r="AE68" s="185"/>
      <c r="AF68" s="185"/>
      <c r="AG68" s="185">
        <f>3190</f>
        <v>3190</v>
      </c>
      <c r="AH68" s="185"/>
      <c r="AI68" s="185"/>
      <c r="AJ68" s="185">
        <f>471613</f>
        <v>471613</v>
      </c>
      <c r="AK68" s="185"/>
      <c r="AL68" s="185"/>
      <c r="AM68" s="185"/>
      <c r="AN68" s="185"/>
      <c r="AO68" s="185"/>
      <c r="AP68" s="185">
        <v>2309344</v>
      </c>
      <c r="AQ68" s="185"/>
      <c r="AR68" s="185"/>
      <c r="AS68" s="185"/>
      <c r="AT68" s="185"/>
      <c r="AU68" s="185"/>
      <c r="AV68" s="185">
        <v>159378</v>
      </c>
      <c r="AW68" s="185"/>
      <c r="AX68" s="185">
        <v>289722</v>
      </c>
      <c r="AY68" s="185">
        <v>236</v>
      </c>
      <c r="AZ68" s="185"/>
      <c r="BA68" s="185">
        <v>1247</v>
      </c>
      <c r="BB68" s="185"/>
      <c r="BC68" s="185"/>
      <c r="BD68" s="185"/>
      <c r="BE68" s="185">
        <v>1255</v>
      </c>
      <c r="BF68" s="185"/>
      <c r="BG68" s="185"/>
      <c r="BH68" s="185">
        <f>203943</f>
        <v>203943</v>
      </c>
      <c r="BI68" s="185"/>
      <c r="BJ68" s="185"/>
      <c r="BK68" s="185"/>
      <c r="BL68" s="185"/>
      <c r="BM68" s="185"/>
      <c r="BN68" s="185">
        <v>3822</v>
      </c>
      <c r="BO68" s="185"/>
      <c r="BP68" s="185"/>
      <c r="BQ68" s="185"/>
      <c r="BR68" s="185">
        <v>10782</v>
      </c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f>173481+9127+54489+43674+39443+46594+394350+87+2290526+17230+996603</f>
        <v>4065604</v>
      </c>
      <c r="CD68" s="249" t="s">
        <v>221</v>
      </c>
      <c r="CE68" s="195">
        <f t="shared" si="0"/>
        <v>8249349.3799999999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f>24165.67+11087.4</f>
        <v>35253.07</v>
      </c>
      <c r="F69" s="185">
        <v>15175</v>
      </c>
      <c r="G69" s="184"/>
      <c r="H69" s="184">
        <f>170+1350</f>
        <v>1520</v>
      </c>
      <c r="I69" s="185"/>
      <c r="J69" s="185"/>
      <c r="K69" s="185"/>
      <c r="L69" s="185"/>
      <c r="M69" s="184"/>
      <c r="N69" s="184"/>
      <c r="O69" s="184">
        <v>4500</v>
      </c>
      <c r="P69" s="185">
        <v>7243</v>
      </c>
      <c r="Q69" s="185">
        <v>1063</v>
      </c>
      <c r="R69" s="224"/>
      <c r="S69" s="185">
        <v>2687</v>
      </c>
      <c r="T69" s="184">
        <v>2552</v>
      </c>
      <c r="U69" s="185">
        <f>707+3008</f>
        <v>3715</v>
      </c>
      <c r="V69" s="185"/>
      <c r="W69" s="184">
        <v>52</v>
      </c>
      <c r="X69" s="185"/>
      <c r="Y69" s="185">
        <f>13741.67+4216.74</f>
        <v>17958.41</v>
      </c>
      <c r="Z69" s="185">
        <v>895</v>
      </c>
      <c r="AA69" s="185"/>
      <c r="AB69" s="185">
        <f>24835+70337+5418</f>
        <v>100590</v>
      </c>
      <c r="AC69" s="185">
        <f>1481+1226</f>
        <v>2707</v>
      </c>
      <c r="AD69" s="185">
        <f>9390+38391+80+335</f>
        <v>48196</v>
      </c>
      <c r="AE69" s="185"/>
      <c r="AF69" s="185"/>
      <c r="AG69" s="185">
        <f>394+2585</f>
        <v>2979</v>
      </c>
      <c r="AH69" s="185"/>
      <c r="AI69" s="185"/>
      <c r="AJ69" s="185">
        <f>118819+426+101</f>
        <v>119346</v>
      </c>
      <c r="AK69" s="185">
        <v>101</v>
      </c>
      <c r="AL69" s="185">
        <v>2307</v>
      </c>
      <c r="AM69" s="185"/>
      <c r="AN69" s="185"/>
      <c r="AO69" s="184"/>
      <c r="AP69" s="185">
        <v>126492</v>
      </c>
      <c r="AQ69" s="184"/>
      <c r="AR69" s="184"/>
      <c r="AS69" s="184"/>
      <c r="AT69" s="184"/>
      <c r="AU69" s="185"/>
      <c r="AV69" s="185">
        <v>211215</v>
      </c>
      <c r="AW69" s="185"/>
      <c r="AX69" s="185"/>
      <c r="AY69" s="185">
        <v>509</v>
      </c>
      <c r="AZ69" s="185"/>
      <c r="BA69" s="185"/>
      <c r="BB69" s="185"/>
      <c r="BC69" s="185"/>
      <c r="BD69" s="185">
        <v>70670</v>
      </c>
      <c r="BE69" s="185">
        <f>2472+5899+5880</f>
        <v>14251</v>
      </c>
      <c r="BF69" s="185">
        <v>52</v>
      </c>
      <c r="BG69" s="185">
        <v>10</v>
      </c>
      <c r="BH69" s="224">
        <f>727796+1241705+93558+16487+1280</f>
        <v>2080826</v>
      </c>
      <c r="BI69" s="185">
        <f>1497</f>
        <v>1497</v>
      </c>
      <c r="BJ69" s="185">
        <v>2318</v>
      </c>
      <c r="BK69" s="185">
        <v>3620</v>
      </c>
      <c r="BL69" s="185">
        <v>15377</v>
      </c>
      <c r="BM69" s="185">
        <v>10234</v>
      </c>
      <c r="BN69" s="185">
        <v>633464</v>
      </c>
      <c r="BO69" s="185"/>
      <c r="BP69" s="185">
        <f>4534+584</f>
        <v>5118</v>
      </c>
      <c r="BQ69" s="185"/>
      <c r="BR69" s="185">
        <v>175973</v>
      </c>
      <c r="BS69" s="185">
        <v>2338</v>
      </c>
      <c r="BT69" s="185"/>
      <c r="BU69" s="185"/>
      <c r="BV69" s="185">
        <v>26012</v>
      </c>
      <c r="BW69" s="185">
        <v>364642</v>
      </c>
      <c r="BX69" s="185">
        <f>11941+38445+63777+163247</f>
        <v>277410</v>
      </c>
      <c r="BY69" s="185">
        <v>37036</v>
      </c>
      <c r="BZ69" s="185"/>
      <c r="CA69" s="185"/>
      <c r="CB69" s="185"/>
      <c r="CC69" s="185">
        <f>7533+174+552+335274+81349+1061+4418-238626</f>
        <v>191735</v>
      </c>
      <c r="CD69" s="188"/>
      <c r="CE69" s="195">
        <f t="shared" si="0"/>
        <v>4619638.4800000004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 t="s">
        <v>1273</v>
      </c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21417995</v>
      </c>
      <c r="CE70" s="195">
        <f t="shared" si="0"/>
        <v>21417995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3577761</v>
      </c>
      <c r="D71" s="195">
        <f t="shared" ref="D71:AI71" si="5">SUM(D61:D69)-D70</f>
        <v>0</v>
      </c>
      <c r="E71" s="195">
        <f t="shared" si="5"/>
        <v>21705831.240000002</v>
      </c>
      <c r="F71" s="195">
        <f t="shared" si="5"/>
        <v>3662530</v>
      </c>
      <c r="G71" s="195">
        <f t="shared" si="5"/>
        <v>0</v>
      </c>
      <c r="H71" s="195">
        <f t="shared" si="5"/>
        <v>3074878</v>
      </c>
      <c r="I71" s="195">
        <f t="shared" si="5"/>
        <v>0</v>
      </c>
      <c r="J71" s="195">
        <f t="shared" si="5"/>
        <v>1451331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2585549</v>
      </c>
      <c r="P71" s="195">
        <f t="shared" si="5"/>
        <v>13146639</v>
      </c>
      <c r="Q71" s="195">
        <f t="shared" si="5"/>
        <v>2518956</v>
      </c>
      <c r="R71" s="195">
        <f t="shared" si="5"/>
        <v>1992206</v>
      </c>
      <c r="S71" s="195">
        <f t="shared" si="5"/>
        <v>1733809</v>
      </c>
      <c r="T71" s="195">
        <f t="shared" si="5"/>
        <v>700444</v>
      </c>
      <c r="U71" s="195">
        <f t="shared" si="5"/>
        <v>14052994</v>
      </c>
      <c r="V71" s="195">
        <f t="shared" si="5"/>
        <v>209267</v>
      </c>
      <c r="W71" s="195">
        <f t="shared" si="5"/>
        <v>3589903</v>
      </c>
      <c r="X71" s="195">
        <f t="shared" si="5"/>
        <v>5032871</v>
      </c>
      <c r="Y71" s="195">
        <f t="shared" si="5"/>
        <v>12943698.200000001</v>
      </c>
      <c r="Z71" s="195">
        <f t="shared" si="5"/>
        <v>3307864</v>
      </c>
      <c r="AA71" s="195">
        <f t="shared" si="5"/>
        <v>1255009</v>
      </c>
      <c r="AB71" s="195">
        <f t="shared" si="5"/>
        <v>31199375</v>
      </c>
      <c r="AC71" s="195">
        <f t="shared" si="5"/>
        <v>1910921.24</v>
      </c>
      <c r="AD71" s="195">
        <f t="shared" si="5"/>
        <v>4903362</v>
      </c>
      <c r="AE71" s="195">
        <f t="shared" si="5"/>
        <v>1314133.71</v>
      </c>
      <c r="AF71" s="195">
        <f t="shared" si="5"/>
        <v>0</v>
      </c>
      <c r="AG71" s="195">
        <f t="shared" si="5"/>
        <v>7195949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5946030.7299999995</v>
      </c>
      <c r="AK71" s="195">
        <f t="shared" si="6"/>
        <v>174709</v>
      </c>
      <c r="AL71" s="195">
        <f t="shared" si="6"/>
        <v>289341</v>
      </c>
      <c r="AM71" s="195">
        <f t="shared" si="6"/>
        <v>0</v>
      </c>
      <c r="AN71" s="195">
        <f t="shared" si="6"/>
        <v>0</v>
      </c>
      <c r="AO71" s="195">
        <f t="shared" si="6"/>
        <v>1071007</v>
      </c>
      <c r="AP71" s="195">
        <f t="shared" si="6"/>
        <v>79189806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11565732</v>
      </c>
      <c r="AW71" s="195">
        <f t="shared" si="6"/>
        <v>0</v>
      </c>
      <c r="AX71" s="195">
        <f t="shared" si="6"/>
        <v>372588</v>
      </c>
      <c r="AY71" s="195">
        <f t="shared" si="6"/>
        <v>2205301</v>
      </c>
      <c r="AZ71" s="195">
        <f t="shared" si="6"/>
        <v>0</v>
      </c>
      <c r="BA71" s="195">
        <f t="shared" si="6"/>
        <v>831440</v>
      </c>
      <c r="BB71" s="195">
        <f t="shared" si="6"/>
        <v>0</v>
      </c>
      <c r="BC71" s="195">
        <f t="shared" si="6"/>
        <v>22202</v>
      </c>
      <c r="BD71" s="195">
        <f t="shared" si="6"/>
        <v>852041</v>
      </c>
      <c r="BE71" s="195">
        <f t="shared" si="6"/>
        <v>9903903.2199999988</v>
      </c>
      <c r="BF71" s="195">
        <f t="shared" si="6"/>
        <v>2214979</v>
      </c>
      <c r="BG71" s="195">
        <f t="shared" si="6"/>
        <v>1383662</v>
      </c>
      <c r="BH71" s="195">
        <f t="shared" si="6"/>
        <v>26122794</v>
      </c>
      <c r="BI71" s="195">
        <f t="shared" si="6"/>
        <v>556808</v>
      </c>
      <c r="BJ71" s="195">
        <f t="shared" si="6"/>
        <v>2021338</v>
      </c>
      <c r="BK71" s="195">
        <f t="shared" si="6"/>
        <v>5795559</v>
      </c>
      <c r="BL71" s="195">
        <f t="shared" si="6"/>
        <v>3481668</v>
      </c>
      <c r="BM71" s="195">
        <f t="shared" si="6"/>
        <v>1890244</v>
      </c>
      <c r="BN71" s="195">
        <f t="shared" si="6"/>
        <v>6706370.4499999993</v>
      </c>
      <c r="BO71" s="195">
        <f t="shared" si="6"/>
        <v>187042</v>
      </c>
      <c r="BP71" s="195">
        <f t="shared" ref="BP71:CC71" si="7">SUM(BP61:BP69)-BP70</f>
        <v>2949984</v>
      </c>
      <c r="BQ71" s="195">
        <f t="shared" si="7"/>
        <v>0</v>
      </c>
      <c r="BR71" s="195">
        <f t="shared" si="7"/>
        <v>1934572</v>
      </c>
      <c r="BS71" s="195">
        <f t="shared" si="7"/>
        <v>531344</v>
      </c>
      <c r="BT71" s="195">
        <f t="shared" si="7"/>
        <v>0</v>
      </c>
      <c r="BU71" s="195">
        <f t="shared" si="7"/>
        <v>0</v>
      </c>
      <c r="BV71" s="195">
        <f t="shared" si="7"/>
        <v>4352164</v>
      </c>
      <c r="BW71" s="195">
        <f t="shared" si="7"/>
        <v>942539</v>
      </c>
      <c r="BX71" s="195">
        <f t="shared" si="7"/>
        <v>5383474</v>
      </c>
      <c r="BY71" s="195">
        <f t="shared" si="7"/>
        <v>1374408</v>
      </c>
      <c r="BZ71" s="195">
        <f t="shared" si="7"/>
        <v>683588</v>
      </c>
      <c r="CA71" s="195">
        <f t="shared" si="7"/>
        <v>0</v>
      </c>
      <c r="CB71" s="195">
        <f t="shared" si="7"/>
        <v>11480</v>
      </c>
      <c r="CC71" s="195">
        <f t="shared" si="7"/>
        <v>13944358</v>
      </c>
      <c r="CD71" s="245">
        <f>CD69-CD70</f>
        <v>-21417995</v>
      </c>
      <c r="CE71" s="195">
        <f>SUM(CE61:CE69)-CE70</f>
        <v>316539762.79000002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16500662</v>
      </c>
      <c r="D73" s="184"/>
      <c r="E73" s="185">
        <v>99241712.840000004</v>
      </c>
      <c r="F73" s="185">
        <v>7091297</v>
      </c>
      <c r="G73" s="184"/>
      <c r="H73" s="184">
        <v>13952291</v>
      </c>
      <c r="I73" s="185"/>
      <c r="J73" s="185">
        <v>4670751</v>
      </c>
      <c r="K73" s="185"/>
      <c r="L73" s="185"/>
      <c r="M73" s="184"/>
      <c r="N73" s="184"/>
      <c r="O73" s="184">
        <v>11650597</v>
      </c>
      <c r="P73" s="185">
        <v>45713987</v>
      </c>
      <c r="Q73" s="185">
        <v>4989794</v>
      </c>
      <c r="R73" s="185">
        <v>10239696</v>
      </c>
      <c r="S73" s="185">
        <f>10059127</f>
        <v>10059127</v>
      </c>
      <c r="T73" s="185">
        <v>1531438</v>
      </c>
      <c r="U73" s="185">
        <f>34772986+1010742+672</f>
        <v>35784400</v>
      </c>
      <c r="V73" s="185">
        <v>235710</v>
      </c>
      <c r="W73" s="185">
        <v>5433855</v>
      </c>
      <c r="X73" s="185">
        <v>18475316</v>
      </c>
      <c r="Y73" s="185">
        <f>5388004+412+2671420+7912459+7791+24664361</f>
        <v>40644447</v>
      </c>
      <c r="Z73" s="185">
        <v>402940</v>
      </c>
      <c r="AA73" s="185">
        <v>1367487</v>
      </c>
      <c r="AB73" s="185">
        <f>21456359</f>
        <v>21456359</v>
      </c>
      <c r="AC73" s="185">
        <v>18720301</v>
      </c>
      <c r="AD73" s="185">
        <f>14184+2832186</f>
        <v>2846370</v>
      </c>
      <c r="AE73" s="185">
        <v>2102030</v>
      </c>
      <c r="AF73" s="185"/>
      <c r="AG73" s="185">
        <f>32582922</f>
        <v>32582922</v>
      </c>
      <c r="AH73" s="185"/>
      <c r="AI73" s="185"/>
      <c r="AJ73" s="185">
        <v>144907.29999999999</v>
      </c>
      <c r="AK73" s="185">
        <v>397042</v>
      </c>
      <c r="AL73" s="185">
        <v>927306</v>
      </c>
      <c r="AM73" s="185"/>
      <c r="AN73" s="185"/>
      <c r="AO73" s="185">
        <v>86405</v>
      </c>
      <c r="AP73" s="185">
        <v>254631.25</v>
      </c>
      <c r="AQ73" s="185"/>
      <c r="AR73" s="185"/>
      <c r="AS73" s="185"/>
      <c r="AT73" s="185"/>
      <c r="AU73" s="185"/>
      <c r="AV73" s="185">
        <f>3959455.72+3875</f>
        <v>3963330.72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411467112.11000007</v>
      </c>
      <c r="CF73" s="252"/>
    </row>
    <row r="74" spans="1:84" ht="12.6" customHeight="1" x14ac:dyDescent="0.25">
      <c r="A74" s="171" t="s">
        <v>246</v>
      </c>
      <c r="B74" s="175"/>
      <c r="C74" s="184">
        <v>109922</v>
      </c>
      <c r="D74" s="184"/>
      <c r="E74" s="185">
        <f>113780+2964973+2176137+6847410+2898263+2699985</f>
        <v>17700548</v>
      </c>
      <c r="F74" s="185">
        <v>717567</v>
      </c>
      <c r="G74" s="184"/>
      <c r="H74" s="184">
        <v>773736</v>
      </c>
      <c r="I74" s="184"/>
      <c r="J74" s="185">
        <v>6637</v>
      </c>
      <c r="K74" s="185"/>
      <c r="L74" s="185"/>
      <c r="M74" s="184"/>
      <c r="N74" s="184"/>
      <c r="O74" s="184">
        <v>626998</v>
      </c>
      <c r="P74" s="185">
        <v>73083786</v>
      </c>
      <c r="Q74" s="185">
        <v>8307920</v>
      </c>
      <c r="R74" s="185">
        <v>14421649</v>
      </c>
      <c r="S74" s="185">
        <v>13669266</v>
      </c>
      <c r="T74" s="185">
        <v>963003</v>
      </c>
      <c r="U74" s="185">
        <v>62057722.619999997</v>
      </c>
      <c r="V74" s="185">
        <v>2109017</v>
      </c>
      <c r="W74" s="185">
        <v>32112313</v>
      </c>
      <c r="X74" s="185">
        <v>54692130</v>
      </c>
      <c r="Y74" s="185">
        <v>74854615.150000006</v>
      </c>
      <c r="Z74" s="185">
        <v>37287238</v>
      </c>
      <c r="AA74" s="185">
        <v>9130581</v>
      </c>
      <c r="AB74" s="185">
        <v>75758609</v>
      </c>
      <c r="AC74" s="185">
        <v>4286066.5</v>
      </c>
      <c r="AD74" s="185">
        <v>29348590.43</v>
      </c>
      <c r="AE74" s="185">
        <v>3046451</v>
      </c>
      <c r="AF74" s="185"/>
      <c r="AG74" s="185">
        <v>79288044</v>
      </c>
      <c r="AH74" s="185"/>
      <c r="AI74" s="185"/>
      <c r="AJ74" s="185">
        <v>13798367.34</v>
      </c>
      <c r="AK74" s="185">
        <v>495262</v>
      </c>
      <c r="AL74" s="185">
        <v>809159</v>
      </c>
      <c r="AM74" s="185"/>
      <c r="AN74" s="185"/>
      <c r="AO74" s="185">
        <v>561282</v>
      </c>
      <c r="AP74" s="185">
        <v>143183025.94999999</v>
      </c>
      <c r="AQ74" s="185"/>
      <c r="AR74" s="185"/>
      <c r="AS74" s="185"/>
      <c r="AT74" s="185"/>
      <c r="AU74" s="185"/>
      <c r="AV74" s="185">
        <f>41720406.44+2721758.99-511270+5150+1372.5</f>
        <v>43937417.93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797136923.91999996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16610584</v>
      </c>
      <c r="D75" s="195">
        <f t="shared" si="9"/>
        <v>0</v>
      </c>
      <c r="E75" s="195">
        <f t="shared" si="9"/>
        <v>116942260.84</v>
      </c>
      <c r="F75" s="195">
        <f t="shared" si="9"/>
        <v>7808864</v>
      </c>
      <c r="G75" s="195">
        <f t="shared" si="9"/>
        <v>0</v>
      </c>
      <c r="H75" s="195">
        <f t="shared" si="9"/>
        <v>14726027</v>
      </c>
      <c r="I75" s="195">
        <f t="shared" si="9"/>
        <v>0</v>
      </c>
      <c r="J75" s="195">
        <f t="shared" si="9"/>
        <v>4677388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12277595</v>
      </c>
      <c r="P75" s="195">
        <f t="shared" si="9"/>
        <v>118797773</v>
      </c>
      <c r="Q75" s="195">
        <f t="shared" si="9"/>
        <v>13297714</v>
      </c>
      <c r="R75" s="195">
        <f t="shared" si="9"/>
        <v>24661345</v>
      </c>
      <c r="S75" s="195">
        <f t="shared" si="9"/>
        <v>23728393</v>
      </c>
      <c r="T75" s="195">
        <f t="shared" si="9"/>
        <v>2494441</v>
      </c>
      <c r="U75" s="195">
        <f t="shared" si="9"/>
        <v>97842122.620000005</v>
      </c>
      <c r="V75" s="195">
        <f t="shared" si="9"/>
        <v>2344727</v>
      </c>
      <c r="W75" s="195">
        <f t="shared" si="9"/>
        <v>37546168</v>
      </c>
      <c r="X75" s="195">
        <f t="shared" si="9"/>
        <v>73167446</v>
      </c>
      <c r="Y75" s="195">
        <f t="shared" si="9"/>
        <v>115499062.15000001</v>
      </c>
      <c r="Z75" s="195">
        <f t="shared" si="9"/>
        <v>37690178</v>
      </c>
      <c r="AA75" s="195">
        <f t="shared" si="9"/>
        <v>10498068</v>
      </c>
      <c r="AB75" s="195">
        <f t="shared" si="9"/>
        <v>97214968</v>
      </c>
      <c r="AC75" s="195">
        <f t="shared" si="9"/>
        <v>23006367.5</v>
      </c>
      <c r="AD75" s="195">
        <f t="shared" si="9"/>
        <v>32194960.43</v>
      </c>
      <c r="AE75" s="195">
        <f t="shared" si="9"/>
        <v>5148481</v>
      </c>
      <c r="AF75" s="195">
        <f t="shared" si="9"/>
        <v>0</v>
      </c>
      <c r="AG75" s="195">
        <f t="shared" si="9"/>
        <v>111870966</v>
      </c>
      <c r="AH75" s="195">
        <f t="shared" si="9"/>
        <v>0</v>
      </c>
      <c r="AI75" s="195">
        <f t="shared" si="9"/>
        <v>0</v>
      </c>
      <c r="AJ75" s="195">
        <f t="shared" si="9"/>
        <v>13943274.640000001</v>
      </c>
      <c r="AK75" s="195">
        <f t="shared" si="9"/>
        <v>892304</v>
      </c>
      <c r="AL75" s="195">
        <f t="shared" si="9"/>
        <v>1736465</v>
      </c>
      <c r="AM75" s="195">
        <f t="shared" si="9"/>
        <v>0</v>
      </c>
      <c r="AN75" s="195">
        <f t="shared" si="9"/>
        <v>0</v>
      </c>
      <c r="AO75" s="195">
        <f t="shared" si="9"/>
        <v>647687</v>
      </c>
      <c r="AP75" s="195">
        <f t="shared" si="9"/>
        <v>143437657.19999999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47900748.649999999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1208604036.03</v>
      </c>
      <c r="CF75" s="252"/>
    </row>
    <row r="76" spans="1:84" ht="12.6" customHeight="1" x14ac:dyDescent="0.25">
      <c r="A76" s="171" t="s">
        <v>248</v>
      </c>
      <c r="B76" s="175"/>
      <c r="C76" s="184">
        <v>3919</v>
      </c>
      <c r="D76" s="184"/>
      <c r="E76" s="185">
        <v>37811</v>
      </c>
      <c r="F76" s="185">
        <v>13302</v>
      </c>
      <c r="G76" s="184"/>
      <c r="H76" s="184">
        <v>6969</v>
      </c>
      <c r="I76" s="185"/>
      <c r="J76" s="185">
        <v>808</v>
      </c>
      <c r="K76" s="185"/>
      <c r="L76" s="185"/>
      <c r="M76" s="185"/>
      <c r="N76" s="185"/>
      <c r="O76" s="185">
        <v>1482</v>
      </c>
      <c r="P76" s="185">
        <v>15165</v>
      </c>
      <c r="Q76" s="185">
        <v>5774</v>
      </c>
      <c r="R76" s="185">
        <v>311</v>
      </c>
      <c r="S76" s="185">
        <v>5741</v>
      </c>
      <c r="T76" s="185">
        <v>188</v>
      </c>
      <c r="U76" s="185">
        <v>7130</v>
      </c>
      <c r="V76" s="185"/>
      <c r="W76" s="185">
        <v>2043</v>
      </c>
      <c r="X76" s="185">
        <v>1659</v>
      </c>
      <c r="Y76" s="185">
        <v>13494</v>
      </c>
      <c r="Z76" s="185">
        <v>6535</v>
      </c>
      <c r="AA76" s="185">
        <v>1881</v>
      </c>
      <c r="AB76" s="185">
        <v>7871</v>
      </c>
      <c r="AC76" s="185">
        <v>1696</v>
      </c>
      <c r="AD76" s="185">
        <v>6324</v>
      </c>
      <c r="AE76" s="185">
        <v>2131</v>
      </c>
      <c r="AF76" s="185"/>
      <c r="AG76" s="185">
        <v>9499</v>
      </c>
      <c r="AH76" s="185"/>
      <c r="AI76" s="185"/>
      <c r="AJ76" s="185">
        <v>17230</v>
      </c>
      <c r="AK76" s="185">
        <v>266</v>
      </c>
      <c r="AL76" s="185">
        <v>126</v>
      </c>
      <c r="AM76" s="185"/>
      <c r="AN76" s="185"/>
      <c r="AO76" s="185">
        <v>2444</v>
      </c>
      <c r="AP76" s="185">
        <v>203700</v>
      </c>
      <c r="AQ76" s="185"/>
      <c r="AR76" s="185"/>
      <c r="AS76" s="185"/>
      <c r="AT76" s="185"/>
      <c r="AU76" s="185"/>
      <c r="AV76" s="185">
        <v>23047</v>
      </c>
      <c r="AW76" s="185"/>
      <c r="AX76" s="185"/>
      <c r="AY76" s="185">
        <v>8913</v>
      </c>
      <c r="AZ76" s="185"/>
      <c r="BA76" s="185">
        <v>1255</v>
      </c>
      <c r="BB76" s="185"/>
      <c r="BC76" s="185"/>
      <c r="BD76" s="185">
        <v>6070</v>
      </c>
      <c r="BE76" s="185">
        <v>224068</v>
      </c>
      <c r="BF76" s="185">
        <v>3380</v>
      </c>
      <c r="BG76" s="185"/>
      <c r="BH76" s="185">
        <v>8912</v>
      </c>
      <c r="BI76" s="185">
        <v>1515</v>
      </c>
      <c r="BJ76" s="185">
        <v>9801</v>
      </c>
      <c r="BK76" s="185">
        <v>1949</v>
      </c>
      <c r="BL76" s="185">
        <v>2729</v>
      </c>
      <c r="BM76" s="185"/>
      <c r="BN76" s="185">
        <v>5012</v>
      </c>
      <c r="BO76" s="185"/>
      <c r="BP76" s="185">
        <v>467</v>
      </c>
      <c r="BQ76" s="185"/>
      <c r="BR76" s="185">
        <v>3564</v>
      </c>
      <c r="BS76" s="185">
        <v>3804</v>
      </c>
      <c r="BT76" s="185"/>
      <c r="BU76" s="185"/>
      <c r="BV76" s="185">
        <v>6770</v>
      </c>
      <c r="BW76" s="185">
        <v>996</v>
      </c>
      <c r="BX76" s="185">
        <v>2186</v>
      </c>
      <c r="BY76" s="185">
        <v>1762</v>
      </c>
      <c r="BZ76" s="185"/>
      <c r="CA76" s="185"/>
      <c r="CB76" s="185"/>
      <c r="CC76" s="185">
        <v>102615</v>
      </c>
      <c r="CD76" s="249" t="s">
        <v>221</v>
      </c>
      <c r="CE76" s="195">
        <f t="shared" si="8"/>
        <v>794314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24267</v>
      </c>
      <c r="D77" s="184"/>
      <c r="E77" s="184">
        <v>311422</v>
      </c>
      <c r="F77" s="184">
        <v>20222</v>
      </c>
      <c r="G77" s="184"/>
      <c r="H77" s="184">
        <v>48533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404444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3493.9353117381788</v>
      </c>
      <c r="D78" s="184"/>
      <c r="E78" s="184">
        <v>21030.416208250143</v>
      </c>
      <c r="F78" s="184">
        <v>2270.592491130712</v>
      </c>
      <c r="G78" s="184"/>
      <c r="H78" s="184">
        <v>3586.067062899559</v>
      </c>
      <c r="I78" s="184"/>
      <c r="J78" s="184">
        <v>56.587485553572016</v>
      </c>
      <c r="K78" s="184"/>
      <c r="L78" s="184"/>
      <c r="M78" s="184"/>
      <c r="N78" s="184"/>
      <c r="O78" s="184">
        <v>103.79041285939817</v>
      </c>
      <c r="P78" s="184">
        <v>1062.0658643810887</v>
      </c>
      <c r="Q78" s="184">
        <v>404.3764128543624</v>
      </c>
      <c r="R78" s="184">
        <v>21.780579216783288</v>
      </c>
      <c r="S78" s="184">
        <v>402.06529030081299</v>
      </c>
      <c r="T78" s="184">
        <v>13.166395153553884</v>
      </c>
      <c r="U78" s="184">
        <v>499.34253960020845</v>
      </c>
      <c r="V78" s="184"/>
      <c r="W78" s="184">
        <v>143.07949626973715</v>
      </c>
      <c r="X78" s="184">
        <v>116.1864338284356</v>
      </c>
      <c r="Y78" s="184">
        <v>945.03902235136229</v>
      </c>
      <c r="Z78" s="184">
        <v>457.67229961954587</v>
      </c>
      <c r="AA78" s="184">
        <v>131.73398555231307</v>
      </c>
      <c r="AB78" s="184">
        <v>551.23774602990761</v>
      </c>
      <c r="AC78" s="184">
        <v>118.77769244908185</v>
      </c>
      <c r="AD78" s="184">
        <v>442.89512208018493</v>
      </c>
      <c r="AE78" s="184">
        <v>149.24248974586877</v>
      </c>
      <c r="AF78" s="184"/>
      <c r="AG78" s="184">
        <v>665.25312533834222</v>
      </c>
      <c r="AH78" s="184"/>
      <c r="AI78" s="184"/>
      <c r="AJ78" s="184">
        <v>1206.6861090198586</v>
      </c>
      <c r="AK78" s="184">
        <v>18.629048461943263</v>
      </c>
      <c r="AL78" s="184">
        <v>8.8242861135520716</v>
      </c>
      <c r="AM78" s="184"/>
      <c r="AN78" s="184"/>
      <c r="AO78" s="184">
        <v>171.16313699620051</v>
      </c>
      <c r="AP78" s="184">
        <v>14265.929216909182</v>
      </c>
      <c r="AQ78" s="184"/>
      <c r="AR78" s="184"/>
      <c r="AS78" s="184"/>
      <c r="AT78" s="184"/>
      <c r="AU78" s="184"/>
      <c r="AV78" s="184">
        <v>1160.9538960662901</v>
      </c>
      <c r="AW78" s="184"/>
      <c r="AX78" s="249" t="s">
        <v>221</v>
      </c>
      <c r="AY78" s="249" t="s">
        <v>221</v>
      </c>
      <c r="AZ78" s="249" t="s">
        <v>221</v>
      </c>
      <c r="BA78" s="184">
        <v>88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624.14315749187347</v>
      </c>
      <c r="BI78" s="184">
        <v>106.10153541294753</v>
      </c>
      <c r="BJ78" s="249" t="s">
        <v>221</v>
      </c>
      <c r="BK78" s="184">
        <v>136.49629869296021</v>
      </c>
      <c r="BL78" s="184">
        <v>191.12283177685399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266</v>
      </c>
      <c r="BT78" s="184"/>
      <c r="BU78" s="184"/>
      <c r="BV78" s="184">
        <v>474</v>
      </c>
      <c r="BW78" s="184">
        <v>70</v>
      </c>
      <c r="BX78" s="184">
        <v>153</v>
      </c>
      <c r="BY78" s="184">
        <v>23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55629.352984144811</v>
      </c>
      <c r="CF78" s="195"/>
    </row>
    <row r="79" spans="1:84" ht="12.6" customHeight="1" x14ac:dyDescent="0.25">
      <c r="A79" s="171" t="s">
        <v>251</v>
      </c>
      <c r="B79" s="175"/>
      <c r="C79" s="225">
        <v>25601.26</v>
      </c>
      <c r="D79" s="225"/>
      <c r="E79" s="184">
        <v>297091.61</v>
      </c>
      <c r="F79" s="184">
        <v>57575.21</v>
      </c>
      <c r="G79" s="184"/>
      <c r="H79" s="184">
        <v>12354.53</v>
      </c>
      <c r="I79" s="184"/>
      <c r="J79" s="184">
        <v>2959.93</v>
      </c>
      <c r="K79" s="184"/>
      <c r="L79" s="184"/>
      <c r="M79" s="184"/>
      <c r="N79" s="184"/>
      <c r="O79" s="184"/>
      <c r="P79" s="184">
        <v>50709.71</v>
      </c>
      <c r="Q79" s="184">
        <v>21728.46</v>
      </c>
      <c r="R79" s="184"/>
      <c r="S79" s="184">
        <v>7128.07</v>
      </c>
      <c r="T79" s="184"/>
      <c r="U79" s="184"/>
      <c r="V79" s="184">
        <v>4090.51</v>
      </c>
      <c r="W79" s="184">
        <v>11676.09</v>
      </c>
      <c r="X79" s="184">
        <v>24331.61</v>
      </c>
      <c r="Y79" s="184">
        <v>22640.66</v>
      </c>
      <c r="Z79" s="184">
        <v>13840.14</v>
      </c>
      <c r="AA79" s="184">
        <v>7734.23</v>
      </c>
      <c r="AB79" s="184"/>
      <c r="AC79" s="184"/>
      <c r="AD79" s="184"/>
      <c r="AE79" s="184">
        <v>2238.65</v>
      </c>
      <c r="AF79" s="184"/>
      <c r="AG79" s="184">
        <v>166284.71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44844.82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772830.20000000007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22.71</v>
      </c>
      <c r="D80" s="187"/>
      <c r="E80" s="187">
        <v>118.7</v>
      </c>
      <c r="F80" s="187">
        <v>19.77</v>
      </c>
      <c r="G80" s="187"/>
      <c r="H80" s="187">
        <v>8.64</v>
      </c>
      <c r="I80" s="187"/>
      <c r="J80" s="187">
        <v>4.0999999999999996</v>
      </c>
      <c r="K80" s="187"/>
      <c r="L80" s="187"/>
      <c r="M80" s="187"/>
      <c r="N80" s="187"/>
      <c r="O80" s="187">
        <v>11.6</v>
      </c>
      <c r="P80" s="187">
        <v>18.54</v>
      </c>
      <c r="Q80" s="187">
        <v>12.61</v>
      </c>
      <c r="R80" s="187"/>
      <c r="S80" s="187"/>
      <c r="T80" s="187">
        <v>4.5199999999999996</v>
      </c>
      <c r="U80" s="187"/>
      <c r="V80" s="187"/>
      <c r="W80" s="187"/>
      <c r="X80" s="187"/>
      <c r="Y80" s="187">
        <v>3.75</v>
      </c>
      <c r="Z80" s="187">
        <v>1.28</v>
      </c>
      <c r="AA80" s="187"/>
      <c r="AB80" s="187"/>
      <c r="AC80" s="187"/>
      <c r="AD80" s="187">
        <v>4.7</v>
      </c>
      <c r="AE80" s="187"/>
      <c r="AF80" s="187"/>
      <c r="AG80" s="187">
        <v>39.42</v>
      </c>
      <c r="AH80" s="187"/>
      <c r="AI80" s="187"/>
      <c r="AJ80" s="187">
        <v>10.25</v>
      </c>
      <c r="AK80" s="187"/>
      <c r="AL80" s="187"/>
      <c r="AM80" s="187"/>
      <c r="AN80" s="187"/>
      <c r="AO80" s="187"/>
      <c r="AP80" s="187">
        <v>41.79</v>
      </c>
      <c r="AQ80" s="187"/>
      <c r="AR80" s="187"/>
      <c r="AS80" s="187"/>
      <c r="AT80" s="187"/>
      <c r="AU80" s="187"/>
      <c r="AV80" s="187">
        <v>20.05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342.43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1278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1267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/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1268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1269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1270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1271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1272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8082</v>
      </c>
      <c r="D111" s="174">
        <v>34930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927</v>
      </c>
      <c r="D114" s="174">
        <v>2108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89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21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15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137</v>
      </c>
    </row>
    <row r="128" spans="1:5" ht="12.6" customHeight="1" x14ac:dyDescent="0.25">
      <c r="A128" s="173" t="s">
        <v>292</v>
      </c>
      <c r="B128" s="172" t="s">
        <v>256</v>
      </c>
      <c r="C128" s="189">
        <v>137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3965.0291999999999</v>
      </c>
      <c r="C138" s="189">
        <v>1696.4118000000001</v>
      </c>
      <c r="D138" s="174">
        <v>2421</v>
      </c>
      <c r="E138" s="175">
        <f>SUM(B138:D138)</f>
        <v>8082.4409999999998</v>
      </c>
    </row>
    <row r="139" spans="1:6" ht="12.6" customHeight="1" x14ac:dyDescent="0.25">
      <c r="A139" s="173" t="s">
        <v>215</v>
      </c>
      <c r="B139" s="174">
        <v>17136.657999999999</v>
      </c>
      <c r="C139" s="189">
        <v>7331.8069999999998</v>
      </c>
      <c r="D139" s="174">
        <v>10462</v>
      </c>
      <c r="E139" s="175">
        <f>SUM(B139:D139)</f>
        <v>34930.464999999997</v>
      </c>
    </row>
    <row r="140" spans="1:6" ht="12.6" customHeight="1" x14ac:dyDescent="0.25">
      <c r="A140" s="173" t="s">
        <v>298</v>
      </c>
      <c r="B140" s="174">
        <v>94224.145399999994</v>
      </c>
      <c r="C140" s="174">
        <v>40313.184099999999</v>
      </c>
      <c r="D140" s="174">
        <v>57522</v>
      </c>
      <c r="E140" s="175">
        <f>SUM(B140:D140)</f>
        <v>192059.32949999999</v>
      </c>
    </row>
    <row r="141" spans="1:6" ht="12.6" customHeight="1" x14ac:dyDescent="0.25">
      <c r="A141" s="173" t="s">
        <v>245</v>
      </c>
      <c r="B141" s="174">
        <f>267077395-20643160</f>
        <v>246434235</v>
      </c>
      <c r="C141" s="189">
        <f>99535704-8753714</f>
        <v>90781990</v>
      </c>
      <c r="D141" s="174">
        <f>99383235-25132355</f>
        <v>74250880</v>
      </c>
      <c r="E141" s="175">
        <f>SUM(B141:D141)</f>
        <v>411467105</v>
      </c>
      <c r="F141" s="199"/>
    </row>
    <row r="142" spans="1:6" ht="12.6" customHeight="1" x14ac:dyDescent="0.25">
      <c r="A142" s="173" t="s">
        <v>246</v>
      </c>
      <c r="B142" s="174">
        <f>406345289-32907823</f>
        <v>373437466</v>
      </c>
      <c r="C142" s="189">
        <f>188537781-31955024</f>
        <v>156582757</v>
      </c>
      <c r="D142" s="174">
        <f>311723548-44606849</f>
        <v>267116699</v>
      </c>
      <c r="E142" s="175">
        <f>SUM(B142:D142)</f>
        <v>797136922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f>12239864-1504101</f>
        <v>10735763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167945-40708</f>
        <v>127237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858383</f>
        <v>858383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15254505-1787268</f>
        <v>13467237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365024-37011</f>
        <v>328013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7872006-912618</f>
        <v>6959388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3243085-307952</f>
        <v>2935133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35411154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7154283-521882</f>
        <v>6632401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1790319-173370</f>
        <v>1616949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8249350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3308753-147336</f>
        <v>3161417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997657</f>
        <v>997657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4159074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f>1821514-26480</f>
        <v>1795034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2703222-494207</f>
        <v>2209015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4004049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f>6038006-55466</f>
        <v>5982540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5982540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f>10066771</f>
        <v>10066771</v>
      </c>
      <c r="C195" s="189">
        <v>1645559</v>
      </c>
      <c r="D195" s="174"/>
      <c r="E195" s="175">
        <f t="shared" ref="E195:E203" si="10">SUM(B195:C195)-D195</f>
        <v>11712330</v>
      </c>
    </row>
    <row r="196" spans="1:8" ht="12.6" customHeight="1" x14ac:dyDescent="0.25">
      <c r="A196" s="173" t="s">
        <v>333</v>
      </c>
      <c r="B196" s="174">
        <f>7340456-20184</f>
        <v>7320272</v>
      </c>
      <c r="C196" s="189"/>
      <c r="D196" s="174"/>
      <c r="E196" s="175">
        <f t="shared" si="10"/>
        <v>7320272</v>
      </c>
    </row>
    <row r="197" spans="1:8" ht="12.6" customHeight="1" x14ac:dyDescent="0.25">
      <c r="A197" s="173" t="s">
        <v>334</v>
      </c>
      <c r="B197" s="174">
        <f>130103736-30339</f>
        <v>130073397</v>
      </c>
      <c r="C197" s="189">
        <f>380508-36910</f>
        <v>343598</v>
      </c>
      <c r="D197" s="174">
        <v>5000</v>
      </c>
      <c r="E197" s="175">
        <f t="shared" si="10"/>
        <v>130411995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f>22957049-43188</f>
        <v>22913861</v>
      </c>
      <c r="C199" s="189">
        <f>223110-94553</f>
        <v>128557</v>
      </c>
      <c r="D199" s="174">
        <f>37142</f>
        <v>37142</v>
      </c>
      <c r="E199" s="175">
        <f t="shared" si="10"/>
        <v>23005276</v>
      </c>
    </row>
    <row r="200" spans="1:8" ht="12.6" customHeight="1" x14ac:dyDescent="0.25">
      <c r="A200" s="173" t="s">
        <v>337</v>
      </c>
      <c r="B200" s="174">
        <f>131353239-2363693</f>
        <v>128989546</v>
      </c>
      <c r="C200" s="189">
        <f>10081870-1274694</f>
        <v>8807176</v>
      </c>
      <c r="D200" s="174">
        <f>542440</f>
        <v>542440</v>
      </c>
      <c r="E200" s="175">
        <f t="shared" si="10"/>
        <v>137254282</v>
      </c>
    </row>
    <row r="201" spans="1:8" ht="12.6" customHeight="1" x14ac:dyDescent="0.25">
      <c r="A201" s="173" t="s">
        <v>338</v>
      </c>
      <c r="B201" s="174">
        <f>4330437</f>
        <v>4330437</v>
      </c>
      <c r="C201" s="189"/>
      <c r="D201" s="174"/>
      <c r="E201" s="175">
        <f t="shared" si="10"/>
        <v>4330437</v>
      </c>
    </row>
    <row r="202" spans="1:8" ht="12.6" customHeight="1" x14ac:dyDescent="0.25">
      <c r="A202" s="173" t="s">
        <v>339</v>
      </c>
      <c r="B202" s="174">
        <f>9223485</f>
        <v>9223485</v>
      </c>
      <c r="C202" s="189">
        <f>305213-76910</f>
        <v>228303</v>
      </c>
      <c r="D202" s="174"/>
      <c r="E202" s="175">
        <f t="shared" si="10"/>
        <v>9451788</v>
      </c>
    </row>
    <row r="203" spans="1:8" ht="12.6" customHeight="1" x14ac:dyDescent="0.25">
      <c r="A203" s="173" t="s">
        <v>340</v>
      </c>
      <c r="B203" s="174">
        <f>108520</f>
        <v>108520</v>
      </c>
      <c r="C203" s="189">
        <f>2169996</f>
        <v>2169996</v>
      </c>
      <c r="D203" s="174"/>
      <c r="E203" s="175">
        <f t="shared" si="10"/>
        <v>2278516</v>
      </c>
    </row>
    <row r="204" spans="1:8" ht="12.6" customHeight="1" x14ac:dyDescent="0.25">
      <c r="A204" s="173" t="s">
        <v>203</v>
      </c>
      <c r="B204" s="175">
        <f>SUM(B195:B203)</f>
        <v>313026289</v>
      </c>
      <c r="C204" s="191">
        <f>SUM(C195:C203)</f>
        <v>13323189</v>
      </c>
      <c r="D204" s="175">
        <f>SUM(D195:D203)</f>
        <v>584582</v>
      </c>
      <c r="E204" s="175">
        <f>SUM(E195:E203)</f>
        <v>325764896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f>3451122-1682</f>
        <v>3449440</v>
      </c>
      <c r="C209" s="189">
        <f>264587-1346</f>
        <v>263241</v>
      </c>
      <c r="D209" s="174"/>
      <c r="E209" s="175">
        <f t="shared" ref="E209:E216" si="11">SUM(B209:C209)-D209</f>
        <v>3712681</v>
      </c>
      <c r="H209" s="259"/>
    </row>
    <row r="210" spans="1:8" ht="12.6" customHeight="1" x14ac:dyDescent="0.25">
      <c r="A210" s="173" t="s">
        <v>334</v>
      </c>
      <c r="B210" s="174">
        <f>57172326-1053</f>
        <v>57171273</v>
      </c>
      <c r="C210" s="189">
        <f>4748931-4252</f>
        <v>4744679</v>
      </c>
      <c r="D210" s="174">
        <v>5000</v>
      </c>
      <c r="E210" s="175">
        <f t="shared" si="11"/>
        <v>61910952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f>18557315-1783</f>
        <v>18555532</v>
      </c>
      <c r="C212" s="189">
        <f>600419-7989</f>
        <v>592430</v>
      </c>
      <c r="D212" s="174">
        <f>37142</f>
        <v>37142</v>
      </c>
      <c r="E212" s="175">
        <f t="shared" si="11"/>
        <v>19110820</v>
      </c>
      <c r="H212" s="259"/>
    </row>
    <row r="213" spans="1:8" ht="12.6" customHeight="1" x14ac:dyDescent="0.25">
      <c r="A213" s="173" t="s">
        <v>337</v>
      </c>
      <c r="B213" s="174">
        <f>75631779-170875</f>
        <v>75460904</v>
      </c>
      <c r="C213" s="189">
        <f>9647160-527936</f>
        <v>9119224</v>
      </c>
      <c r="D213" s="174">
        <f>542440</f>
        <v>542440</v>
      </c>
      <c r="E213" s="175">
        <f t="shared" si="11"/>
        <v>84037688</v>
      </c>
      <c r="H213" s="259"/>
    </row>
    <row r="214" spans="1:8" ht="12.6" customHeight="1" x14ac:dyDescent="0.25">
      <c r="A214" s="173" t="s">
        <v>338</v>
      </c>
      <c r="B214" s="174">
        <f>2561133</f>
        <v>2561133</v>
      </c>
      <c r="C214" s="189">
        <f>721899</f>
        <v>721899</v>
      </c>
      <c r="D214" s="174"/>
      <c r="E214" s="175">
        <f t="shared" si="11"/>
        <v>3283032</v>
      </c>
      <c r="H214" s="259"/>
    </row>
    <row r="215" spans="1:8" ht="12.6" customHeight="1" x14ac:dyDescent="0.25">
      <c r="A215" s="173" t="s">
        <v>339</v>
      </c>
      <c r="B215" s="174">
        <f>4367562</f>
        <v>4367562</v>
      </c>
      <c r="C215" s="189">
        <f>574370-1282</f>
        <v>573088</v>
      </c>
      <c r="D215" s="174"/>
      <c r="E215" s="175">
        <f t="shared" si="11"/>
        <v>4940650</v>
      </c>
      <c r="H215" s="259"/>
    </row>
    <row r="216" spans="1:8" ht="12.6" customHeight="1" x14ac:dyDescent="0.25">
      <c r="A216" s="173" t="s">
        <v>340</v>
      </c>
      <c r="B216" s="174"/>
      <c r="C216" s="174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161565844</v>
      </c>
      <c r="C217" s="191">
        <f>SUM(C208:C216)</f>
        <v>16014561</v>
      </c>
      <c r="D217" s="175">
        <f>SUM(D208:D216)</f>
        <v>584582</v>
      </c>
      <c r="E217" s="175">
        <f>SUM(E208:E216)</f>
        <v>176995823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f>21677341-5245874</f>
        <v>16431467</v>
      </c>
      <c r="D221" s="172">
        <f>C221</f>
        <v>16431467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519015778-43060475</f>
        <v>475955303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221430225-34138146</f>
        <v>187292079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f>12359203-1573612</f>
        <v>10785591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40128408-5048355</f>
        <v>35080053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156178338-20156968</f>
        <v>136021370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845134396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f>7679002-1004881</f>
        <v>6674121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492659-7443</f>
        <v>485216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7159337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f>5081317-1462749</f>
        <v>3618568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f>13725504-2508444</f>
        <v>11217060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14835628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883560828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870845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31771503.68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172918102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130424132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5607469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3565767.6799999997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3706732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88016287.360000014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121141584.26000001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121141584.26000001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11712333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7320272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130677519.91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22790029.289999999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141799966.37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9177386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2278516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325756022.56999999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176995823.17000002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148760199.39999998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12253486.039999999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12253486.039999999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320000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5490506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5810506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375982063.06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18273805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44917500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650318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7089398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4983404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9290692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85205117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690481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690481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4375340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1639794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169481612.63999999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233744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175730490.63999999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9290692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166439798.63999999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f>123646666-C336</f>
        <v>123577513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69153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375982062.63999999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375982063.06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f>465996335-54529229</f>
        <v>411467106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906606618-109469696</f>
        <v>797136922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1208604028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f>21677341-5245874</f>
        <v>16431467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967918519-107948748</f>
        <v>859969771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8171661-1012324</f>
        <v>7159337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883560575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325043453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23812302-2394307</f>
        <v>21417995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21417995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346461448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176381740-23401366</f>
        <v>152980374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40000808-4589658</f>
        <v>35411150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17185235-2248814</f>
        <v>14936421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>58816600-6805433</f>
        <v>52011167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f>3843078-795553</f>
        <v>3047525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55246793-4559398</f>
        <v>50687395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16557366-542805</f>
        <v>16014561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8944606-695250</f>
        <v>8249356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4306409-147336</f>
        <v>4159073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4524737-520687</f>
        <v>4004050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f>6038007-55468</f>
        <v>5982539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3352879-12878903</f>
        <v>-9526024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337957587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8503861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5342461-375342</f>
        <v>4967119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13470980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f>11251694-2011331</f>
        <v>9240363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22711343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SKAGIT REGIONAL HEALTH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8082</v>
      </c>
      <c r="C414" s="194">
        <f>E138</f>
        <v>8082.4409999999998</v>
      </c>
      <c r="D414" s="179"/>
    </row>
    <row r="415" spans="1:5" ht="12.6" customHeight="1" x14ac:dyDescent="0.25">
      <c r="A415" s="179" t="s">
        <v>464</v>
      </c>
      <c r="B415" s="179">
        <f>D111</f>
        <v>34930</v>
      </c>
      <c r="C415" s="179">
        <f>E139</f>
        <v>34930.464999999997</v>
      </c>
      <c r="D415" s="194">
        <f>SUM(C59:H59)+N59</f>
        <v>34905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927</v>
      </c>
    </row>
    <row r="424" spans="1:7" ht="12.6" customHeight="1" x14ac:dyDescent="0.25">
      <c r="A424" s="179" t="s">
        <v>1244</v>
      </c>
      <c r="B424" s="179">
        <f>D114</f>
        <v>2108</v>
      </c>
      <c r="D424" s="179">
        <f>J59</f>
        <v>2108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152980374</v>
      </c>
      <c r="C427" s="179">
        <f t="shared" ref="C427:C434" si="13">CE61</f>
        <v>155160523.55000001</v>
      </c>
      <c r="D427" s="179"/>
    </row>
    <row r="428" spans="1:7" ht="12.6" customHeight="1" x14ac:dyDescent="0.25">
      <c r="A428" s="179" t="s">
        <v>3</v>
      </c>
      <c r="B428" s="179">
        <f t="shared" si="12"/>
        <v>35411150</v>
      </c>
      <c r="C428" s="179">
        <f t="shared" si="13"/>
        <v>35411153</v>
      </c>
      <c r="D428" s="179">
        <f>D173</f>
        <v>35411154</v>
      </c>
    </row>
    <row r="429" spans="1:7" ht="12.6" customHeight="1" x14ac:dyDescent="0.25">
      <c r="A429" s="179" t="s">
        <v>236</v>
      </c>
      <c r="B429" s="179">
        <f t="shared" si="12"/>
        <v>14936421</v>
      </c>
      <c r="C429" s="179">
        <f t="shared" si="13"/>
        <v>12756227</v>
      </c>
      <c r="D429" s="179"/>
    </row>
    <row r="430" spans="1:7" ht="12.6" customHeight="1" x14ac:dyDescent="0.25">
      <c r="A430" s="179" t="s">
        <v>237</v>
      </c>
      <c r="B430" s="179">
        <f t="shared" si="12"/>
        <v>52011167</v>
      </c>
      <c r="C430" s="179">
        <f t="shared" si="13"/>
        <v>52011431.330000006</v>
      </c>
      <c r="D430" s="179"/>
    </row>
    <row r="431" spans="1:7" ht="12.6" customHeight="1" x14ac:dyDescent="0.25">
      <c r="A431" s="179" t="s">
        <v>444</v>
      </c>
      <c r="B431" s="179">
        <f t="shared" si="12"/>
        <v>3047525</v>
      </c>
      <c r="C431" s="179">
        <f t="shared" si="13"/>
        <v>3047489</v>
      </c>
      <c r="D431" s="179"/>
    </row>
    <row r="432" spans="1:7" ht="12.6" customHeight="1" x14ac:dyDescent="0.25">
      <c r="A432" s="179" t="s">
        <v>445</v>
      </c>
      <c r="B432" s="179">
        <f t="shared" si="12"/>
        <v>50687395</v>
      </c>
      <c r="C432" s="179">
        <f t="shared" si="13"/>
        <v>50687390.049999997</v>
      </c>
      <c r="D432" s="179"/>
    </row>
    <row r="433" spans="1:7" ht="12.6" customHeight="1" x14ac:dyDescent="0.25">
      <c r="A433" s="179" t="s">
        <v>6</v>
      </c>
      <c r="B433" s="179">
        <f t="shared" si="12"/>
        <v>16014561</v>
      </c>
      <c r="C433" s="179">
        <f t="shared" si="13"/>
        <v>16014556</v>
      </c>
      <c r="D433" s="179">
        <f>C217</f>
        <v>16014561</v>
      </c>
    </row>
    <row r="434" spans="1:7" ht="12.6" customHeight="1" x14ac:dyDescent="0.25">
      <c r="A434" s="179" t="s">
        <v>474</v>
      </c>
      <c r="B434" s="179">
        <f t="shared" si="12"/>
        <v>8249356</v>
      </c>
      <c r="C434" s="179">
        <f t="shared" si="13"/>
        <v>8249349.3799999999</v>
      </c>
      <c r="D434" s="179">
        <f>D177</f>
        <v>8249350</v>
      </c>
    </row>
    <row r="435" spans="1:7" ht="12.6" customHeight="1" x14ac:dyDescent="0.25">
      <c r="A435" s="179" t="s">
        <v>447</v>
      </c>
      <c r="B435" s="179">
        <f t="shared" si="12"/>
        <v>4159073</v>
      </c>
      <c r="C435" s="179"/>
      <c r="D435" s="179">
        <f>D181</f>
        <v>4159074</v>
      </c>
    </row>
    <row r="436" spans="1:7" ht="12.6" customHeight="1" x14ac:dyDescent="0.25">
      <c r="A436" s="179" t="s">
        <v>475</v>
      </c>
      <c r="B436" s="179">
        <f t="shared" si="12"/>
        <v>4004050</v>
      </c>
      <c r="C436" s="179"/>
      <c r="D436" s="179">
        <f>D186</f>
        <v>4004049</v>
      </c>
    </row>
    <row r="437" spans="1:7" ht="12.6" customHeight="1" x14ac:dyDescent="0.25">
      <c r="A437" s="194" t="s">
        <v>449</v>
      </c>
      <c r="B437" s="194">
        <f t="shared" si="12"/>
        <v>5982539</v>
      </c>
      <c r="C437" s="194"/>
      <c r="D437" s="194">
        <f>D190</f>
        <v>5982540</v>
      </c>
    </row>
    <row r="438" spans="1:7" ht="12.6" customHeight="1" x14ac:dyDescent="0.25">
      <c r="A438" s="194" t="s">
        <v>476</v>
      </c>
      <c r="B438" s="194">
        <f>C386+C387+C388</f>
        <v>14145662</v>
      </c>
      <c r="C438" s="194">
        <f>CD69</f>
        <v>0</v>
      </c>
      <c r="D438" s="194">
        <f>D181+D186+D190</f>
        <v>14145663</v>
      </c>
    </row>
    <row r="439" spans="1:7" ht="12.6" customHeight="1" x14ac:dyDescent="0.25">
      <c r="A439" s="179" t="s">
        <v>451</v>
      </c>
      <c r="B439" s="194">
        <f>C389</f>
        <v>-9526024</v>
      </c>
      <c r="C439" s="194">
        <f>SUM(C69:CC69)</f>
        <v>4619638.4800000004</v>
      </c>
      <c r="D439" s="179"/>
    </row>
    <row r="440" spans="1:7" ht="12.6" customHeight="1" x14ac:dyDescent="0.25">
      <c r="A440" s="179" t="s">
        <v>477</v>
      </c>
      <c r="B440" s="194">
        <f>B438+B439</f>
        <v>4619638</v>
      </c>
      <c r="C440" s="194">
        <f>CE69</f>
        <v>4619638.4800000004</v>
      </c>
      <c r="D440" s="179"/>
    </row>
    <row r="441" spans="1:7" ht="12.6" customHeight="1" x14ac:dyDescent="0.25">
      <c r="A441" s="179" t="s">
        <v>478</v>
      </c>
      <c r="B441" s="179">
        <f>D390</f>
        <v>337957587</v>
      </c>
      <c r="C441" s="179">
        <f>SUM(C427:C437)+C440</f>
        <v>337957757.79000002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16431467</v>
      </c>
      <c r="C444" s="179">
        <f>C363</f>
        <v>16431467</v>
      </c>
      <c r="D444" s="179"/>
    </row>
    <row r="445" spans="1:7" ht="12.6" customHeight="1" x14ac:dyDescent="0.25">
      <c r="A445" s="179" t="s">
        <v>343</v>
      </c>
      <c r="B445" s="179">
        <f>D229</f>
        <v>845134396</v>
      </c>
      <c r="C445" s="179">
        <f>C364</f>
        <v>859969771</v>
      </c>
      <c r="D445" s="179"/>
    </row>
    <row r="446" spans="1:7" ht="12.6" customHeight="1" x14ac:dyDescent="0.25">
      <c r="A446" s="179" t="s">
        <v>351</v>
      </c>
      <c r="B446" s="179">
        <f>D236</f>
        <v>7159337</v>
      </c>
      <c r="C446" s="179">
        <f>C365</f>
        <v>7159337</v>
      </c>
      <c r="D446" s="179"/>
    </row>
    <row r="447" spans="1:7" ht="12.6" customHeight="1" x14ac:dyDescent="0.25">
      <c r="A447" s="179" t="s">
        <v>356</v>
      </c>
      <c r="B447" s="179">
        <f>D240</f>
        <v>14835628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883560828</v>
      </c>
      <c r="C448" s="179">
        <f>D367</f>
        <v>883560575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6674121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485216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21417995</v>
      </c>
      <c r="C458" s="194">
        <f>CE70</f>
        <v>21417995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411467106</v>
      </c>
      <c r="C463" s="194">
        <f>CE73</f>
        <v>411467112.11000007</v>
      </c>
      <c r="D463" s="194">
        <f>E141+E147+E153</f>
        <v>411467105</v>
      </c>
    </row>
    <row r="464" spans="1:7" ht="12.6" customHeight="1" x14ac:dyDescent="0.25">
      <c r="A464" s="179" t="s">
        <v>246</v>
      </c>
      <c r="B464" s="194">
        <f>C360</f>
        <v>797136922</v>
      </c>
      <c r="C464" s="194">
        <f>CE74</f>
        <v>797136923.91999996</v>
      </c>
      <c r="D464" s="194">
        <f>E142+E148+E154</f>
        <v>797136922</v>
      </c>
    </row>
    <row r="465" spans="1:7" ht="12.6" customHeight="1" x14ac:dyDescent="0.25">
      <c r="A465" s="179" t="s">
        <v>247</v>
      </c>
      <c r="B465" s="194">
        <f>D361</f>
        <v>1208604028</v>
      </c>
      <c r="C465" s="194">
        <f>CE75</f>
        <v>1208604036.03</v>
      </c>
      <c r="D465" s="194">
        <f>D463+D464</f>
        <v>1208604027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11712333</v>
      </c>
      <c r="C468" s="179">
        <f>E195</f>
        <v>11712330</v>
      </c>
      <c r="D468" s="179"/>
    </row>
    <row r="469" spans="1:7" ht="12.6" customHeight="1" x14ac:dyDescent="0.25">
      <c r="A469" s="179" t="s">
        <v>333</v>
      </c>
      <c r="B469" s="179">
        <f t="shared" si="14"/>
        <v>7320272</v>
      </c>
      <c r="C469" s="179">
        <f>E196</f>
        <v>7320272</v>
      </c>
      <c r="D469" s="179"/>
    </row>
    <row r="470" spans="1:7" ht="12.6" customHeight="1" x14ac:dyDescent="0.25">
      <c r="A470" s="179" t="s">
        <v>334</v>
      </c>
      <c r="B470" s="179">
        <f t="shared" si="14"/>
        <v>130677519.91</v>
      </c>
      <c r="C470" s="179">
        <f>E197</f>
        <v>130411995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22790029.289999999</v>
      </c>
      <c r="C472" s="179">
        <f>E199</f>
        <v>23005276</v>
      </c>
      <c r="D472" s="179"/>
    </row>
    <row r="473" spans="1:7" ht="12.6" customHeight="1" x14ac:dyDescent="0.25">
      <c r="A473" s="179" t="s">
        <v>495</v>
      </c>
      <c r="B473" s="179">
        <f t="shared" si="14"/>
        <v>141799966.37</v>
      </c>
      <c r="C473" s="179">
        <f>SUM(E200:E201)</f>
        <v>141584719</v>
      </c>
      <c r="D473" s="179"/>
    </row>
    <row r="474" spans="1:7" ht="12.6" customHeight="1" x14ac:dyDescent="0.25">
      <c r="A474" s="179" t="s">
        <v>339</v>
      </c>
      <c r="B474" s="179">
        <f t="shared" si="14"/>
        <v>9177386</v>
      </c>
      <c r="C474" s="179">
        <f>E202</f>
        <v>9451788</v>
      </c>
      <c r="D474" s="179"/>
    </row>
    <row r="475" spans="1:7" ht="12.6" customHeight="1" x14ac:dyDescent="0.25">
      <c r="A475" s="179" t="s">
        <v>340</v>
      </c>
      <c r="B475" s="179">
        <f t="shared" si="14"/>
        <v>2278516</v>
      </c>
      <c r="C475" s="179">
        <f>E203</f>
        <v>2278516</v>
      </c>
      <c r="D475" s="179"/>
    </row>
    <row r="476" spans="1:7" ht="12.6" customHeight="1" x14ac:dyDescent="0.25">
      <c r="A476" s="179" t="s">
        <v>203</v>
      </c>
      <c r="B476" s="179">
        <f>D275</f>
        <v>325756022.56999999</v>
      </c>
      <c r="C476" s="179">
        <f>E204</f>
        <v>325764896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176995823.17000002</v>
      </c>
      <c r="C478" s="179">
        <f>E217</f>
        <v>176995823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375982063.06</v>
      </c>
    </row>
    <row r="482" spans="1:12" ht="12.6" customHeight="1" x14ac:dyDescent="0.25">
      <c r="A482" s="180" t="s">
        <v>499</v>
      </c>
      <c r="C482" s="180">
        <f>D339</f>
        <v>375982062.63999999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207</v>
      </c>
      <c r="B493" s="261" t="s">
        <v>1280</v>
      </c>
      <c r="C493" s="261" t="str">
        <f>RIGHT(C82,4)</f>
        <v>2018</v>
      </c>
      <c r="D493" s="261" t="s">
        <v>1280</v>
      </c>
      <c r="E493" s="261" t="str">
        <f>RIGHT(C82,4)</f>
        <v>2018</v>
      </c>
      <c r="F493" s="261" t="s">
        <v>1280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3357288</v>
      </c>
      <c r="C496" s="240">
        <f>C71</f>
        <v>3577761</v>
      </c>
      <c r="D496" s="240">
        <v>1952</v>
      </c>
      <c r="E496" s="180">
        <f>C59</f>
        <v>2210</v>
      </c>
      <c r="F496" s="263">
        <f t="shared" ref="F496:G511" si="15">IF(B496=0,"",IF(D496=0,"",B496/D496))</f>
        <v>1719.922131147541</v>
      </c>
      <c r="G496" s="264">
        <f t="shared" si="15"/>
        <v>1618.8963800904978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20987079</v>
      </c>
      <c r="C498" s="240">
        <f>E71</f>
        <v>21705831.240000002</v>
      </c>
      <c r="D498" s="240">
        <v>25204</v>
      </c>
      <c r="E498" s="180">
        <f>E59</f>
        <v>26742</v>
      </c>
      <c r="F498" s="263">
        <f t="shared" si="15"/>
        <v>832.68842247262342</v>
      </c>
      <c r="G498" s="263">
        <f t="shared" si="15"/>
        <v>811.67568768229762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4756443</v>
      </c>
      <c r="C499" s="240">
        <f>F71</f>
        <v>3662530</v>
      </c>
      <c r="D499" s="240">
        <v>1942</v>
      </c>
      <c r="E499" s="180">
        <f>F59</f>
        <v>1797</v>
      </c>
      <c r="F499" s="263">
        <f t="shared" si="15"/>
        <v>2449.2497425334705</v>
      </c>
      <c r="G499" s="263">
        <f t="shared" si="15"/>
        <v>2038.1357818586532</v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3177435</v>
      </c>
      <c r="C501" s="240">
        <f>H71</f>
        <v>3074878</v>
      </c>
      <c r="D501" s="240">
        <v>3836</v>
      </c>
      <c r="E501" s="180">
        <f>H59</f>
        <v>4156</v>
      </c>
      <c r="F501" s="263">
        <f t="shared" si="15"/>
        <v>828.31986444212725</v>
      </c>
      <c r="G501" s="263">
        <f t="shared" si="15"/>
        <v>739.86477382098167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1140832</v>
      </c>
      <c r="C503" s="240">
        <f>J71</f>
        <v>1451331</v>
      </c>
      <c r="D503" s="240">
        <v>2039</v>
      </c>
      <c r="E503" s="180">
        <f>J59</f>
        <v>2108</v>
      </c>
      <c r="F503" s="263">
        <f t="shared" si="15"/>
        <v>559.50564001961743</v>
      </c>
      <c r="G503" s="263">
        <f t="shared" si="15"/>
        <v>688.4871916508539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1718675</v>
      </c>
      <c r="C508" s="240">
        <f>O71</f>
        <v>2585549</v>
      </c>
      <c r="D508" s="240">
        <v>989</v>
      </c>
      <c r="E508" s="180">
        <f>O59</f>
        <v>927</v>
      </c>
      <c r="F508" s="263">
        <f t="shared" si="15"/>
        <v>1737.7906976744187</v>
      </c>
      <c r="G508" s="263">
        <f t="shared" si="15"/>
        <v>2789.1574973031284</v>
      </c>
      <c r="H508" s="265">
        <f t="shared" si="16"/>
        <v>0.60500197235241915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11628318</v>
      </c>
      <c r="C509" s="240">
        <f>P71</f>
        <v>13146639</v>
      </c>
      <c r="D509" s="240">
        <v>391509</v>
      </c>
      <c r="E509" s="180">
        <f>P59</f>
        <v>571389</v>
      </c>
      <c r="F509" s="263">
        <f t="shared" si="15"/>
        <v>29.701278897803114</v>
      </c>
      <c r="G509" s="263">
        <f t="shared" si="15"/>
        <v>23.008211568651131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2407229</v>
      </c>
      <c r="C510" s="240">
        <f>Q71</f>
        <v>2518956</v>
      </c>
      <c r="D510" s="240">
        <v>232356</v>
      </c>
      <c r="E510" s="180">
        <f>Q59</f>
        <v>235023</v>
      </c>
      <c r="F510" s="263">
        <f t="shared" si="15"/>
        <v>10.360089689958512</v>
      </c>
      <c r="G510" s="263">
        <f t="shared" si="15"/>
        <v>10.717912714925774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2133400</v>
      </c>
      <c r="C511" s="240">
        <f>R71</f>
        <v>1992206</v>
      </c>
      <c r="D511" s="240">
        <v>585586.66666666674</v>
      </c>
      <c r="E511" s="180">
        <f>R59</f>
        <v>664142</v>
      </c>
      <c r="F511" s="263">
        <f t="shared" si="15"/>
        <v>3.6431840433525347</v>
      </c>
      <c r="G511" s="263">
        <f t="shared" si="15"/>
        <v>2.9996687455393576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1490637</v>
      </c>
      <c r="C512" s="240">
        <f>S71</f>
        <v>1733809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766149</v>
      </c>
      <c r="C513" s="240">
        <f>T71</f>
        <v>700444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12886992</v>
      </c>
      <c r="C514" s="240">
        <f>U71</f>
        <v>14052994</v>
      </c>
      <c r="D514" s="240">
        <v>746091</v>
      </c>
      <c r="E514" s="180">
        <f>U59</f>
        <v>721845</v>
      </c>
      <c r="F514" s="263">
        <f t="shared" si="17"/>
        <v>17.272681214489921</v>
      </c>
      <c r="G514" s="263">
        <f t="shared" si="17"/>
        <v>19.468160062063184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242957</v>
      </c>
      <c r="C515" s="240">
        <f>V71</f>
        <v>209267</v>
      </c>
      <c r="D515" s="240">
        <v>1421</v>
      </c>
      <c r="E515" s="180">
        <f>V59</f>
        <v>2015</v>
      </c>
      <c r="F515" s="263">
        <f t="shared" si="17"/>
        <v>170.97607318789585</v>
      </c>
      <c r="G515" s="263">
        <f t="shared" si="17"/>
        <v>103.85459057071961</v>
      </c>
      <c r="H515" s="265">
        <f t="shared" si="16"/>
        <v>-0.39257822083334681</v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3400955</v>
      </c>
      <c r="C516" s="240">
        <f>W71</f>
        <v>3589903</v>
      </c>
      <c r="D516" s="240">
        <v>78353.333333333328</v>
      </c>
      <c r="E516" s="180">
        <f>W59</f>
        <v>85632</v>
      </c>
      <c r="F516" s="263">
        <f t="shared" si="17"/>
        <v>43.405364587764829</v>
      </c>
      <c r="G516" s="263">
        <f t="shared" si="17"/>
        <v>41.922447215994019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4617961</v>
      </c>
      <c r="C517" s="240">
        <f>X71</f>
        <v>5032871</v>
      </c>
      <c r="D517" s="240">
        <v>39727</v>
      </c>
      <c r="E517" s="180">
        <f>X59</f>
        <v>128543</v>
      </c>
      <c r="F517" s="263">
        <f t="shared" si="17"/>
        <v>116.24237923830141</v>
      </c>
      <c r="G517" s="263">
        <f t="shared" si="17"/>
        <v>39.153209431863267</v>
      </c>
      <c r="H517" s="265">
        <f t="shared" si="16"/>
        <v>-0.66317611796642884</v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13069903</v>
      </c>
      <c r="C518" s="240">
        <f>Y71</f>
        <v>12943698.200000001</v>
      </c>
      <c r="D518" s="240">
        <v>132498</v>
      </c>
      <c r="E518" s="180">
        <f>Y59</f>
        <v>152347</v>
      </c>
      <c r="F518" s="263">
        <f t="shared" si="17"/>
        <v>98.642266298359218</v>
      </c>
      <c r="G518" s="263">
        <f t="shared" si="17"/>
        <v>84.961950021989281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3344790</v>
      </c>
      <c r="C519" s="240">
        <f>Z71</f>
        <v>3307864</v>
      </c>
      <c r="D519" s="240">
        <v>110557</v>
      </c>
      <c r="E519" s="180">
        <f>Z59</f>
        <v>13651</v>
      </c>
      <c r="F519" s="263">
        <f t="shared" si="17"/>
        <v>30.253986631330445</v>
      </c>
      <c r="G519" s="263">
        <f t="shared" si="17"/>
        <v>242.3166068419896</v>
      </c>
      <c r="H519" s="265">
        <f t="shared" si="16"/>
        <v>7.009410785917753</v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1068882</v>
      </c>
      <c r="C520" s="240">
        <f>AA71</f>
        <v>1255009</v>
      </c>
      <c r="D520" s="240">
        <v>16640</v>
      </c>
      <c r="E520" s="180">
        <f>AA59</f>
        <v>27793</v>
      </c>
      <c r="F520" s="263">
        <f t="shared" si="17"/>
        <v>64.23569711538461</v>
      </c>
      <c r="G520" s="263">
        <f t="shared" si="17"/>
        <v>45.155578742848917</v>
      </c>
      <c r="H520" s="265">
        <f t="shared" si="16"/>
        <v>-0.29703294631118682</v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27567653</v>
      </c>
      <c r="C521" s="240">
        <f>AB71</f>
        <v>31199375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2027205</v>
      </c>
      <c r="C522" s="240">
        <f>AC71</f>
        <v>1910921.24</v>
      </c>
      <c r="D522" s="240">
        <v>0</v>
      </c>
      <c r="E522" s="180">
        <f>AC59</f>
        <v>43391</v>
      </c>
      <c r="F522" s="263" t="str">
        <f t="shared" si="17"/>
        <v/>
      </c>
      <c r="G522" s="263">
        <f t="shared" si="17"/>
        <v>44.039575948929503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4394304</v>
      </c>
      <c r="C523" s="240">
        <f>AD71</f>
        <v>4903362</v>
      </c>
      <c r="D523" s="240">
        <v>0</v>
      </c>
      <c r="E523" s="180">
        <f>AD59</f>
        <v>28450</v>
      </c>
      <c r="F523" s="263" t="str">
        <f t="shared" si="17"/>
        <v/>
      </c>
      <c r="G523" s="263">
        <f t="shared" si="17"/>
        <v>172.350158172232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1227928</v>
      </c>
      <c r="C524" s="240">
        <f>AE71</f>
        <v>1314133.71</v>
      </c>
      <c r="D524" s="240">
        <v>0</v>
      </c>
      <c r="E524" s="180">
        <f>AE59</f>
        <v>30833</v>
      </c>
      <c r="F524" s="263" t="str">
        <f t="shared" si="17"/>
        <v/>
      </c>
      <c r="G524" s="263">
        <f t="shared" si="17"/>
        <v>42.621013524470534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10225081</v>
      </c>
      <c r="C526" s="240">
        <f>AG71</f>
        <v>7195949</v>
      </c>
      <c r="D526" s="240">
        <v>34571</v>
      </c>
      <c r="E526" s="180">
        <f>AG59</f>
        <v>34324</v>
      </c>
      <c r="F526" s="263">
        <f t="shared" si="17"/>
        <v>295.77047236122763</v>
      </c>
      <c r="G526" s="263">
        <f t="shared" si="17"/>
        <v>209.64773919123644</v>
      </c>
      <c r="H526" s="265">
        <f t="shared" si="16"/>
        <v>-0.29118097044118918</v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6911663</v>
      </c>
      <c r="C529" s="240">
        <f>AJ71</f>
        <v>5946030.7299999995</v>
      </c>
      <c r="D529" s="240">
        <v>134982</v>
      </c>
      <c r="E529" s="180">
        <f>AJ59</f>
        <v>31727</v>
      </c>
      <c r="F529" s="263">
        <f t="shared" si="18"/>
        <v>51.20433094783008</v>
      </c>
      <c r="G529" s="263">
        <f t="shared" si="18"/>
        <v>187.41232168184825</v>
      </c>
      <c r="H529" s="265">
        <f t="shared" si="16"/>
        <v>2.6600873053647498</v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175197</v>
      </c>
      <c r="C530" s="240">
        <f>AK71</f>
        <v>174709</v>
      </c>
      <c r="D530" s="240">
        <v>0</v>
      </c>
      <c r="E530" s="180">
        <f>AK59</f>
        <v>4543</v>
      </c>
      <c r="F530" s="263" t="str">
        <f t="shared" si="18"/>
        <v/>
      </c>
      <c r="G530" s="263">
        <f t="shared" si="18"/>
        <v>38.456746643187323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256648</v>
      </c>
      <c r="C531" s="240">
        <f>AL71</f>
        <v>289341</v>
      </c>
      <c r="D531" s="240">
        <v>0</v>
      </c>
      <c r="E531" s="180">
        <f>AL59</f>
        <v>3798</v>
      </c>
      <c r="F531" s="263" t="str">
        <f t="shared" si="18"/>
        <v/>
      </c>
      <c r="G531" s="263">
        <f t="shared" si="18"/>
        <v>76.182464454976298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1015555</v>
      </c>
      <c r="C534" s="240">
        <f>AO71</f>
        <v>1071007</v>
      </c>
      <c r="D534" s="240">
        <v>0</v>
      </c>
      <c r="E534" s="180">
        <f>AO59</f>
        <v>5333</v>
      </c>
      <c r="F534" s="263" t="str">
        <f t="shared" si="18"/>
        <v/>
      </c>
      <c r="G534" s="263">
        <f t="shared" si="18"/>
        <v>200.82636414775922</v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71139626</v>
      </c>
      <c r="C535" s="240">
        <f>AP71</f>
        <v>79189806</v>
      </c>
      <c r="D535" s="240">
        <v>263943</v>
      </c>
      <c r="E535" s="180">
        <f>AP59</f>
        <v>303646</v>
      </c>
      <c r="F535" s="263">
        <f t="shared" si="18"/>
        <v>269.52647351890369</v>
      </c>
      <c r="G535" s="263">
        <f t="shared" si="18"/>
        <v>260.7964735250917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5006732</v>
      </c>
      <c r="C541" s="240">
        <f>AV71</f>
        <v>11565732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5602348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372588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2269668</v>
      </c>
      <c r="C544" s="240">
        <f>AY71</f>
        <v>2205301</v>
      </c>
      <c r="D544" s="240">
        <v>0</v>
      </c>
      <c r="E544" s="180">
        <f>AY59</f>
        <v>404444</v>
      </c>
      <c r="F544" s="263" t="str">
        <f t="shared" ref="F544:G550" si="19">IF(B544=0,"",IF(D544=0,"",B544/D544))</f>
        <v/>
      </c>
      <c r="G544" s="263">
        <f t="shared" si="19"/>
        <v>5.4526732996409883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14036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839095</v>
      </c>
      <c r="C546" s="240">
        <f>BA71</f>
        <v>831440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19083</v>
      </c>
      <c r="C548" s="240">
        <f>BC71</f>
        <v>22202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1036141</v>
      </c>
      <c r="C549" s="240">
        <f>BD71</f>
        <v>852041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8827456</v>
      </c>
      <c r="C550" s="240">
        <f>BE71</f>
        <v>9903903.2199999988</v>
      </c>
      <c r="D550" s="240">
        <v>794314</v>
      </c>
      <c r="E550" s="180">
        <f>BE59</f>
        <v>794314</v>
      </c>
      <c r="F550" s="263">
        <f t="shared" si="19"/>
        <v>11.113307835440393</v>
      </c>
      <c r="G550" s="263">
        <f t="shared" si="19"/>
        <v>12.46849888079525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2115509</v>
      </c>
      <c r="C551" s="240">
        <f>BF71</f>
        <v>2214979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1058842</v>
      </c>
      <c r="C552" s="240">
        <f>BG71</f>
        <v>1383662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24290465</v>
      </c>
      <c r="C553" s="240">
        <f>BH71</f>
        <v>26122794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2169942</v>
      </c>
      <c r="C554" s="240">
        <f>BI71</f>
        <v>556808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2092118</v>
      </c>
      <c r="C555" s="240">
        <f>BJ71</f>
        <v>2021338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7044265</v>
      </c>
      <c r="C556" s="240">
        <f>BK71</f>
        <v>5795559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3330108</v>
      </c>
      <c r="C557" s="240">
        <f>BL71</f>
        <v>3481668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1890244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6392124</v>
      </c>
      <c r="C559" s="240">
        <f>BN71</f>
        <v>6706370.4499999993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187042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1902836</v>
      </c>
      <c r="C561" s="240">
        <f>BP71</f>
        <v>2949984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2551661</v>
      </c>
      <c r="C563" s="240">
        <f>BR71</f>
        <v>1934572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529087</v>
      </c>
      <c r="C564" s="240">
        <f>BS71</f>
        <v>531344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4498157</v>
      </c>
      <c r="C567" s="240">
        <f>BV71</f>
        <v>4352164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1022418</v>
      </c>
      <c r="C568" s="240">
        <f>BW71</f>
        <v>942539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5655353</v>
      </c>
      <c r="C569" s="240">
        <f>BX71</f>
        <v>5383474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1975862</v>
      </c>
      <c r="C570" s="240">
        <f>BY71</f>
        <v>1374408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778773</v>
      </c>
      <c r="C571" s="240">
        <f>BZ71</f>
        <v>683588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14250</v>
      </c>
      <c r="C573" s="240">
        <f>CB71</f>
        <v>11480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19162405</v>
      </c>
      <c r="C574" s="240">
        <f>CC71</f>
        <v>13944358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-9298092</v>
      </c>
      <c r="C575" s="240">
        <f>CD71</f>
        <v>-21417995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570246</v>
      </c>
      <c r="E612" s="180">
        <f>SUM(C624:D647)+SUM(C668:D713)</f>
        <v>291530452.96215791</v>
      </c>
      <c r="F612" s="180">
        <f>CE64-(AX64+BD64+BE64+BG64+BJ64+BN64+BP64+BQ64+CB64+CC64+CD64)</f>
        <v>51030804.930000007</v>
      </c>
      <c r="G612" s="180">
        <f>CE77-(AX77+AY77+BD77+BE77+BG77+BJ77+BN77+BP77+BQ77+CB77+CC77+CD77)</f>
        <v>404444</v>
      </c>
      <c r="H612" s="197">
        <f>CE60-(AX60+AY60+AZ60+BD60+BE60+BG60+BJ60+BN60+BO60+BP60+BQ60+BR60+CB60+CC60+CD60)</f>
        <v>1529.65</v>
      </c>
      <c r="I612" s="180">
        <f>CE78-(AX78+AY78+AZ78+BD78+BE78+BF78+BG78+BJ78+BN78+BO78+BP78+BQ78+BR78+CB78+CC78+CD78)</f>
        <v>55629.352984144811</v>
      </c>
      <c r="J612" s="180">
        <f>CE79-(AX79+AY79+AZ79+BA79+BD79+BE79+BF79+BG79+BJ79+BN79+BO79+BP79+BQ79+BR79+CB79+CC79+CD79)</f>
        <v>772830.20000000007</v>
      </c>
      <c r="K612" s="180">
        <f>CE75-(AW75+AX75+AY75+AZ75+BA75+BB75+BC75+BD75+BE75+BF75+BG75+BH75+BI75+BJ75+BK75+BL75+BM75+BN75+BO75+BP75+BQ75+BR75+BS75+BT75+BU75+BV75+BW75+BX75+CB75+CC75+CD75)</f>
        <v>1208604036.03</v>
      </c>
      <c r="L612" s="197">
        <f>CE80-(AW80+AX80+AY80+AZ80+BA80+BB80+BC80+BD80+BE80+BF80+BG80+BH80+BI80+BJ80+BK80+BL80+BM80+BN80+BO80+BP80+BQ80+BR80+BS80+BT80+BU80+BV80+BW80+BX80+BY80+BZ80+CA80+CB80+CC80+CD80)</f>
        <v>342.43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9903903.2199999988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-21417995</v>
      </c>
      <c r="D615" s="266">
        <f>SUM(C614:C615)</f>
        <v>-11514091.780000001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372588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2021338</v>
      </c>
      <c r="D617" s="180">
        <f>(D615/D612)*BJ76</f>
        <v>-197896.37022579729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1383662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6706370.4499999993</v>
      </c>
      <c r="D619" s="180">
        <f>(D615/D612)*BN76</f>
        <v>-101199.53143267994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13944358</v>
      </c>
      <c r="D620" s="180">
        <f>(D615/D612)*CC76</f>
        <v>-2071945.3148372809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2949984</v>
      </c>
      <c r="D621" s="180">
        <f>(D615/D612)*BP76</f>
        <v>-9429.4056622229709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11480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25009309.827842016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852041</v>
      </c>
      <c r="D624" s="180">
        <f>(D615/D612)*BD76</f>
        <v>-122562.08216208445</v>
      </c>
      <c r="E624" s="180">
        <f>(E623/E612)*SUM(C624:D624)</f>
        <v>62579.274596247662</v>
      </c>
      <c r="F624" s="180">
        <f>SUM(C624:E624)</f>
        <v>792058.1924341633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2205301</v>
      </c>
      <c r="D625" s="180">
        <f>(D615/D612)*AY76</f>
        <v>-179966.36545480374</v>
      </c>
      <c r="E625" s="180">
        <f>(E623/E612)*SUM(C625:D625)</f>
        <v>173745.90155415054</v>
      </c>
      <c r="F625" s="180">
        <f>(F624/F612)*AY64</f>
        <v>-7729.1584743459071</v>
      </c>
      <c r="G625" s="180">
        <f>SUM(C625:F625)</f>
        <v>2191351.3776250011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1934572</v>
      </c>
      <c r="D626" s="180">
        <f>(D615/D612)*BR76</f>
        <v>-71962.31644574448</v>
      </c>
      <c r="E626" s="180">
        <f>(E623/E612)*SUM(C626:D626)</f>
        <v>159786.3351531025</v>
      </c>
      <c r="F626" s="180">
        <f>(F624/F612)*BR64</f>
        <v>212.98160065259208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187042</v>
      </c>
      <c r="D627" s="180">
        <f>(D615/D612)*BO76</f>
        <v>0</v>
      </c>
      <c r="E627" s="180">
        <f>(E623/E612)*SUM(C627:D627)</f>
        <v>16045.635305984404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2225696.6356139951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2214979</v>
      </c>
      <c r="D629" s="180">
        <f>(D615/D612)*BF76</f>
        <v>-68247.090231934999</v>
      </c>
      <c r="E629" s="180">
        <f>(E623/E612)*SUM(C629:D629)</f>
        <v>184160.1208491023</v>
      </c>
      <c r="F629" s="180">
        <f>(F624/F612)*BF64</f>
        <v>3347.4834408938814</v>
      </c>
      <c r="G629" s="180">
        <f>(G625/G612)*BF77</f>
        <v>0</v>
      </c>
      <c r="H629" s="180">
        <f>(H628/H612)*BF60</f>
        <v>49252.986706458163</v>
      </c>
      <c r="I629" s="180">
        <f>SUM(C629:H629)</f>
        <v>2383492.500764519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831440</v>
      </c>
      <c r="D630" s="180">
        <f>(D615/D612)*BA76</f>
        <v>-25340.26575179835</v>
      </c>
      <c r="E630" s="180">
        <f>(E623/E612)*SUM(C630:D630)</f>
        <v>69152.288555498715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3770.4436383982165</v>
      </c>
      <c r="J630" s="180">
        <f>SUM(C630:I630)</f>
        <v>879022.46644209849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22202</v>
      </c>
      <c r="D633" s="180">
        <f>(D615/D612)*BC76</f>
        <v>0</v>
      </c>
      <c r="E633" s="180">
        <f>(E623/E612)*SUM(C633:D633)</f>
        <v>1904.6267419267638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556808</v>
      </c>
      <c r="D634" s="180">
        <f>(D615/D612)*BI76</f>
        <v>-30590.041923485656</v>
      </c>
      <c r="E634" s="180">
        <f>(E623/E612)*SUM(C634:D634)</f>
        <v>45142.275247032958</v>
      </c>
      <c r="F634" s="180">
        <f>(F624/F612)*BI64</f>
        <v>0</v>
      </c>
      <c r="G634" s="180">
        <f>(G625/G612)*BI77</f>
        <v>0</v>
      </c>
      <c r="H634" s="180">
        <f>(H628/H612)*BI60</f>
        <v>16601.966863240403</v>
      </c>
      <c r="I634" s="180">
        <f>(I629/I612)*BI78</f>
        <v>4546.0211275230813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5795559</v>
      </c>
      <c r="D635" s="180">
        <f>(D615/D612)*BK76</f>
        <v>-39353.129840840622</v>
      </c>
      <c r="E635" s="180">
        <f>(E623/E612)*SUM(C635:D635)</f>
        <v>493803.42457170307</v>
      </c>
      <c r="F635" s="180">
        <f>(F624/F612)*BK64</f>
        <v>393.32216456328058</v>
      </c>
      <c r="G635" s="180">
        <f>(G625/G612)*BK77</f>
        <v>0</v>
      </c>
      <c r="H635" s="180">
        <f>(H628/H612)*BK60</f>
        <v>94984.784998451665</v>
      </c>
      <c r="I635" s="180">
        <f>(I629/I612)*BK78</f>
        <v>5848.313648542894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26122794</v>
      </c>
      <c r="D636" s="180">
        <f>(D615/D612)*BH76</f>
        <v>-179946.17400798955</v>
      </c>
      <c r="E636" s="180">
        <f>(E623/E612)*SUM(C636:D636)</f>
        <v>2225540.1194091067</v>
      </c>
      <c r="F636" s="180">
        <f>(F624/F612)*BH64</f>
        <v>6083.9757209009176</v>
      </c>
      <c r="G636" s="180">
        <f>(G625/G612)*BH77</f>
        <v>0</v>
      </c>
      <c r="H636" s="180">
        <f>(H628/H612)*BH60</f>
        <v>182170.5741698246</v>
      </c>
      <c r="I636" s="180">
        <f>(I629/I612)*BH78</f>
        <v>26742.006791079668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3481668</v>
      </c>
      <c r="D637" s="180">
        <f>(D615/D612)*BL76</f>
        <v>-55102.458355902541</v>
      </c>
      <c r="E637" s="180">
        <f>(E623/E612)*SUM(C637:D637)</f>
        <v>293952.27292947093</v>
      </c>
      <c r="F637" s="180">
        <f>(F624/F612)*BL64</f>
        <v>387.95183707269632</v>
      </c>
      <c r="G637" s="180">
        <f>(G625/G612)*BL77</f>
        <v>0</v>
      </c>
      <c r="H637" s="180">
        <f>(H628/H612)*BL60</f>
        <v>83300.841623182569</v>
      </c>
      <c r="I637" s="180">
        <f>(I629/I612)*BL78</f>
        <v>8188.8393775646782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1890244</v>
      </c>
      <c r="D638" s="180">
        <f>(D615/D612)*BM76</f>
        <v>0</v>
      </c>
      <c r="E638" s="180">
        <f>(E623/E612)*SUM(C638:D638)</f>
        <v>162156.98005434708</v>
      </c>
      <c r="F638" s="180">
        <f>(F624/F612)*BM64</f>
        <v>9.6696937185953118</v>
      </c>
      <c r="G638" s="180">
        <f>(G625/G612)*BM77</f>
        <v>0</v>
      </c>
      <c r="H638" s="180">
        <f>(H628/H612)*BM60</f>
        <v>42923.577779631189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531344</v>
      </c>
      <c r="D639" s="180">
        <f>(D615/D612)*BS76</f>
        <v>-76808.263681148135</v>
      </c>
      <c r="E639" s="180">
        <f>(E623/E612)*SUM(C639:D639)</f>
        <v>38992.924896597491</v>
      </c>
      <c r="F639" s="180">
        <f>(F624/F612)*BS64</f>
        <v>465.0610479779636</v>
      </c>
      <c r="G639" s="180">
        <f>(G625/G612)*BS77</f>
        <v>0</v>
      </c>
      <c r="H639" s="180">
        <f>(H628/H612)*BS60</f>
        <v>5674.6424861207333</v>
      </c>
      <c r="I639" s="180">
        <f>(I629/I612)*BS78</f>
        <v>11397.022816067338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4352164</v>
      </c>
      <c r="D642" s="180">
        <f>(D615/D612)*BV76</f>
        <v>-136696.09493201182</v>
      </c>
      <c r="E642" s="180">
        <f>(E623/E612)*SUM(C642:D642)</f>
        <v>361629.26320721023</v>
      </c>
      <c r="F642" s="180">
        <f>(F624/F612)*BV64</f>
        <v>402.09162997420572</v>
      </c>
      <c r="G642" s="180">
        <f>(G625/G612)*BV77</f>
        <v>0</v>
      </c>
      <c r="H642" s="180">
        <f>(H628/H612)*BV60</f>
        <v>83024.384681551048</v>
      </c>
      <c r="I642" s="180">
        <f>(I629/I612)*BV78</f>
        <v>20308.98050682676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942539</v>
      </c>
      <c r="D643" s="180">
        <f>(D615/D612)*BW76</f>
        <v>-20110.681026925224</v>
      </c>
      <c r="E643" s="180">
        <f>(E623/E612)*SUM(C643:D643)</f>
        <v>79131.683804462169</v>
      </c>
      <c r="F643" s="180">
        <f>(F624/F612)*BW64</f>
        <v>411.97862018085931</v>
      </c>
      <c r="G643" s="180">
        <f>(G625/G612)*BW77</f>
        <v>0</v>
      </c>
      <c r="H643" s="180">
        <f>(H628/H612)*BW60</f>
        <v>8730.219209416513</v>
      </c>
      <c r="I643" s="180">
        <f>(I629/I612)*BW78</f>
        <v>2999.2165305440362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5383474</v>
      </c>
      <c r="D644" s="180">
        <f>(D615/D612)*BX76</f>
        <v>-44138.502735801747</v>
      </c>
      <c r="E644" s="180">
        <f>(E623/E612)*SUM(C644:D644)</f>
        <v>458041.67066967959</v>
      </c>
      <c r="F644" s="180">
        <f>(F624/F612)*BX64</f>
        <v>272.69157133547515</v>
      </c>
      <c r="G644" s="180">
        <f>(G625/G612)*BX77</f>
        <v>0</v>
      </c>
      <c r="H644" s="180">
        <f>(H628/H612)*BX60</f>
        <v>41017.479918908582</v>
      </c>
      <c r="I644" s="180">
        <f>(I629/I612)*BX78</f>
        <v>6555.430416760536</v>
      </c>
      <c r="J644" s="180">
        <f>(J630/J612)*BX79</f>
        <v>0</v>
      </c>
      <c r="K644" s="180">
        <f>SUM(C631:J644)</f>
        <v>53309786.940258384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1374408</v>
      </c>
      <c r="D645" s="180">
        <f>(D615/D612)*BY76</f>
        <v>-35577.329286588596</v>
      </c>
      <c r="E645" s="180">
        <f>(E623/E612)*SUM(C645:D645)</f>
        <v>114853.28791786815</v>
      </c>
      <c r="F645" s="180">
        <f>(F624/F612)*BY64</f>
        <v>283.2149298285853</v>
      </c>
      <c r="G645" s="180">
        <f>(G625/G612)*BY77</f>
        <v>0</v>
      </c>
      <c r="H645" s="180">
        <f>(H628/H612)*BY60</f>
        <v>15641.642750204586</v>
      </c>
      <c r="I645" s="180">
        <f>(I629/I612)*BY78</f>
        <v>985.45686003589753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683588</v>
      </c>
      <c r="D646" s="180">
        <f>(D615/D612)*BZ76</f>
        <v>0</v>
      </c>
      <c r="E646" s="180">
        <f>(E623/E612)*SUM(C646:D646)</f>
        <v>58642.463978931293</v>
      </c>
      <c r="F646" s="180">
        <f>(F624/F612)*BZ64</f>
        <v>95.175861769544866</v>
      </c>
      <c r="G646" s="180">
        <f>(G625/G612)*BZ77</f>
        <v>0</v>
      </c>
      <c r="H646" s="180">
        <f>(H628/H612)*BZ60</f>
        <v>9297.6834580285868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2222217.5964700775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75237855.670000002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3577761</v>
      </c>
      <c r="D668" s="180">
        <f>(D615/D612)*C76</f>
        <v>-79130.280064779072</v>
      </c>
      <c r="E668" s="180">
        <f>(E623/E612)*SUM(C668:D668)</f>
        <v>300134.47569205961</v>
      </c>
      <c r="F668" s="180">
        <f>(F624/F612)*C64</f>
        <v>6243.2850890031041</v>
      </c>
      <c r="G668" s="180">
        <f>(G625/G612)*C77</f>
        <v>131483.03320317745</v>
      </c>
      <c r="H668" s="180">
        <f>(H628/H612)*C60</f>
        <v>38340.212694687521</v>
      </c>
      <c r="I668" s="180">
        <f>(I629/I612)*C78</f>
        <v>149700.97919452394</v>
      </c>
      <c r="J668" s="180">
        <f>(J630/J612)*C79</f>
        <v>29119.051907165936</v>
      </c>
      <c r="K668" s="180">
        <f>(K644/K612)*C75</f>
        <v>732668.98636377288</v>
      </c>
      <c r="L668" s="180">
        <f>(L647/L612)*C80</f>
        <v>147377.74615493813</v>
      </c>
      <c r="M668" s="180">
        <f t="shared" ref="M668:M713" si="20">ROUND(SUM(D668:L668),0)</f>
        <v>1455937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21705831.240000002</v>
      </c>
      <c r="D670" s="180">
        <f>(D615/D612)*E76</f>
        <v>-763458.7954910337</v>
      </c>
      <c r="E670" s="180">
        <f>(E623/E612)*SUM(C670:D670)</f>
        <v>1796567.993748399</v>
      </c>
      <c r="F670" s="180">
        <f>(F624/F612)*E64</f>
        <v>18809.062475506784</v>
      </c>
      <c r="G670" s="180">
        <f>(G625/G612)*E77</f>
        <v>1687341.2109531432</v>
      </c>
      <c r="H670" s="180">
        <f>(H628/H612)*E60</f>
        <v>307376.46799820638</v>
      </c>
      <c r="I670" s="180">
        <f>(I629/I612)*E78</f>
        <v>901068.17051435797</v>
      </c>
      <c r="J670" s="180">
        <f>(J630/J612)*E79</f>
        <v>337914.0719157377</v>
      </c>
      <c r="K670" s="180">
        <f>(K644/K612)*E75</f>
        <v>5158155.0481747501</v>
      </c>
      <c r="L670" s="180">
        <f>(L647/L612)*E80</f>
        <v>770309.92816341505</v>
      </c>
      <c r="M670" s="180">
        <f t="shared" si="20"/>
        <v>10214083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3662530</v>
      </c>
      <c r="D671" s="180">
        <f>(D615/D612)*F76</f>
        <v>-268586.62552224833</v>
      </c>
      <c r="E671" s="180">
        <f>(E623/E612)*SUM(C671:D671)</f>
        <v>291153.73892511876</v>
      </c>
      <c r="F671" s="180">
        <f>(F624/F612)*F64</f>
        <v>2639.5159616221513</v>
      </c>
      <c r="G671" s="180">
        <f>(G625/G612)*F77</f>
        <v>109566.48524476262</v>
      </c>
      <c r="H671" s="180">
        <f>(H628/H612)*F60</f>
        <v>41715.897455661907</v>
      </c>
      <c r="I671" s="180">
        <f>(I629/I612)*F78</f>
        <v>97285.693336119919</v>
      </c>
      <c r="J671" s="180">
        <f>(J630/J612)*F79</f>
        <v>65486.445923207662</v>
      </c>
      <c r="K671" s="180">
        <f>(K644/K612)*F75</f>
        <v>344437.76760242489</v>
      </c>
      <c r="L671" s="180">
        <f>(L647/L612)*F80</f>
        <v>128298.46065535565</v>
      </c>
      <c r="M671" s="180">
        <f t="shared" si="20"/>
        <v>811997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3074878</v>
      </c>
      <c r="D673" s="180">
        <f>(D615/D612)*H76</f>
        <v>-140714.19284803403</v>
      </c>
      <c r="E673" s="180">
        <f>(E623/E612)*SUM(C673:D673)</f>
        <v>251710.9653317394</v>
      </c>
      <c r="F673" s="180">
        <f>(F624/F612)*H64</f>
        <v>472.69746741544174</v>
      </c>
      <c r="G673" s="180">
        <f>(G625/G612)*H77</f>
        <v>262960.6482239177</v>
      </c>
      <c r="H673" s="180">
        <f>(H628/H612)*H60</f>
        <v>32651.01984321776</v>
      </c>
      <c r="I673" s="180">
        <f>(I629/I612)*H78</f>
        <v>153648.45163839796</v>
      </c>
      <c r="J673" s="180">
        <f>(J630/J612)*H79</f>
        <v>14052.128698299961</v>
      </c>
      <c r="K673" s="180">
        <f>(K644/K612)*H75</f>
        <v>649543.88570898841</v>
      </c>
      <c r="L673" s="180">
        <f>(L647/L612)*H80</f>
        <v>56069.736978364839</v>
      </c>
      <c r="M673" s="180">
        <f t="shared" si="20"/>
        <v>1280395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1451331</v>
      </c>
      <c r="D675" s="180">
        <f>(D615/D612)*J76</f>
        <v>-16314.689025859017</v>
      </c>
      <c r="E675" s="180">
        <f>(E623/E612)*SUM(C675:D675)</f>
        <v>123104.69511676613</v>
      </c>
      <c r="F675" s="180">
        <f>(F624/F612)*J64</f>
        <v>750.16956148819997</v>
      </c>
      <c r="G675" s="180">
        <f>(G625/G612)*J77</f>
        <v>0</v>
      </c>
      <c r="H675" s="180">
        <f>(H628/H612)*J60</f>
        <v>7566.1899814943117</v>
      </c>
      <c r="I675" s="180">
        <f>(I629/I612)*J78</f>
        <v>2424.5446013456431</v>
      </c>
      <c r="J675" s="180">
        <f>(J630/J612)*J79</f>
        <v>3366.645052297335</v>
      </c>
      <c r="K675" s="180">
        <f>(K644/K612)*J75</f>
        <v>206312.86201557241</v>
      </c>
      <c r="L675" s="180">
        <f>(L647/L612)*J80</f>
        <v>26607.166853159237</v>
      </c>
      <c r="M675" s="180">
        <f t="shared" si="20"/>
        <v>353818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2585549</v>
      </c>
      <c r="D680" s="180">
        <f>(D615/D612)*O76</f>
        <v>-29923.724178617653</v>
      </c>
      <c r="E680" s="180">
        <f>(E623/E612)*SUM(C680:D680)</f>
        <v>219237.55709726</v>
      </c>
      <c r="F680" s="180">
        <f>(F624/F612)*O64</f>
        <v>3083.4216443698651</v>
      </c>
      <c r="G680" s="180">
        <f>(G625/G612)*O77</f>
        <v>0</v>
      </c>
      <c r="H680" s="180">
        <f>(H628/H612)*O60</f>
        <v>20137.705643054091</v>
      </c>
      <c r="I680" s="180">
        <f>(I629/I612)*O78</f>
        <v>4446.99888514139</v>
      </c>
      <c r="J680" s="180">
        <f>(J630/J612)*O79</f>
        <v>0</v>
      </c>
      <c r="K680" s="180">
        <f>(K644/K612)*O75</f>
        <v>541547.06924421957</v>
      </c>
      <c r="L680" s="180">
        <f>(L647/L612)*O80</f>
        <v>75278.813535767607</v>
      </c>
      <c r="M680" s="180">
        <f t="shared" si="20"/>
        <v>833808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13146639</v>
      </c>
      <c r="D681" s="180">
        <f>(D615/D612)*P76</f>
        <v>-306203.29093706928</v>
      </c>
      <c r="E681" s="180">
        <f>(E623/E612)*SUM(C681:D681)</f>
        <v>1101533.0704203497</v>
      </c>
      <c r="F681" s="180">
        <f>(F624/F612)*P64</f>
        <v>132626.6786687308</v>
      </c>
      <c r="G681" s="180">
        <f>(G625/G612)*P77</f>
        <v>0</v>
      </c>
      <c r="H681" s="180">
        <f>(H628/H612)*P60</f>
        <v>46095.557425719191</v>
      </c>
      <c r="I681" s="180">
        <f>(I629/I612)*P78</f>
        <v>45505.221385404308</v>
      </c>
      <c r="J681" s="180">
        <f>(J630/J612)*P79</f>
        <v>57677.578278855486</v>
      </c>
      <c r="K681" s="180">
        <f>(K644/K612)*P75</f>
        <v>5239999.0226823809</v>
      </c>
      <c r="L681" s="180">
        <f>(L647/L612)*P80</f>
        <v>120316.31059940787</v>
      </c>
      <c r="M681" s="180">
        <f t="shared" si="20"/>
        <v>6437550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2518956</v>
      </c>
      <c r="D682" s="180">
        <f>(D615/D612)*Q76</f>
        <v>-116585.41390508659</v>
      </c>
      <c r="E682" s="180">
        <f>(E623/E612)*SUM(C682:D682)</f>
        <v>206090.40907551776</v>
      </c>
      <c r="F682" s="180">
        <f>(F624/F612)*Q64</f>
        <v>4503.6559691413368</v>
      </c>
      <c r="G682" s="180">
        <f>(G625/G612)*Q77</f>
        <v>0</v>
      </c>
      <c r="H682" s="180">
        <f>(H628/H612)*Q60</f>
        <v>23731.645884263886</v>
      </c>
      <c r="I682" s="180">
        <f>(I629/I612)*Q78</f>
        <v>17325.891742784337</v>
      </c>
      <c r="J682" s="180">
        <f>(J630/J612)*Q79</f>
        <v>24714.102141956249</v>
      </c>
      <c r="K682" s="180">
        <f>(K644/K612)*Q75</f>
        <v>586543.05214887997</v>
      </c>
      <c r="L682" s="180">
        <f>(L647/L612)*Q80</f>
        <v>81833.261955692185</v>
      </c>
      <c r="M682" s="180">
        <f t="shared" si="20"/>
        <v>828157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1992206</v>
      </c>
      <c r="D683" s="180">
        <f>(D615/D612)*R76</f>
        <v>-6279.5399592105869</v>
      </c>
      <c r="E683" s="180">
        <f>(E623/E612)*SUM(C683:D683)</f>
        <v>170365.22129959642</v>
      </c>
      <c r="F683" s="180">
        <f>(F624/F612)*R64</f>
        <v>4745.1654944404427</v>
      </c>
      <c r="G683" s="180">
        <f>(G625/G612)*R77</f>
        <v>0</v>
      </c>
      <c r="H683" s="180">
        <f>(H628/H612)*R60</f>
        <v>7493.4381547491748</v>
      </c>
      <c r="I683" s="180">
        <f>(I629/I612)*R78</f>
        <v>933.20961759714726</v>
      </c>
      <c r="J683" s="180">
        <f>(J630/J612)*R79</f>
        <v>0</v>
      </c>
      <c r="K683" s="180">
        <f>(K644/K612)*R75</f>
        <v>1087776.4829651564</v>
      </c>
      <c r="L683" s="180">
        <f>(L647/L612)*R80</f>
        <v>0</v>
      </c>
      <c r="M683" s="180">
        <f t="shared" si="20"/>
        <v>1265034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1733809</v>
      </c>
      <c r="D684" s="180">
        <f>(D615/D612)*S76</f>
        <v>-115919.09616021859</v>
      </c>
      <c r="E684" s="180">
        <f>(E623/E612)*SUM(C684:D684)</f>
        <v>138792.73832747355</v>
      </c>
      <c r="F684" s="180">
        <f>(F624/F612)*S64</f>
        <v>3924.576349643628</v>
      </c>
      <c r="G684" s="180">
        <f>(G625/G612)*S77</f>
        <v>0</v>
      </c>
      <c r="H684" s="180">
        <f>(H628/H612)*S60</f>
        <v>34906.326472317021</v>
      </c>
      <c r="I684" s="180">
        <f>(I629/I612)*S78</f>
        <v>17226.869500402641</v>
      </c>
      <c r="J684" s="180">
        <f>(J630/J612)*S79</f>
        <v>8107.5165959766164</v>
      </c>
      <c r="K684" s="180">
        <f>(K644/K612)*S75</f>
        <v>1046625.3111480755</v>
      </c>
      <c r="L684" s="180">
        <f>(L647/L612)*S80</f>
        <v>0</v>
      </c>
      <c r="M684" s="180">
        <f t="shared" si="20"/>
        <v>1133664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700444</v>
      </c>
      <c r="D685" s="180">
        <f>(D615/D612)*T76</f>
        <v>-3795.9920010662067</v>
      </c>
      <c r="E685" s="180">
        <f>(E623/E612)*SUM(C685:D685)</f>
        <v>59762.833336851603</v>
      </c>
      <c r="F685" s="180">
        <f>(F624/F612)*T64</f>
        <v>1681.4867881284479</v>
      </c>
      <c r="G685" s="180">
        <f>(G625/G612)*T77</f>
        <v>0</v>
      </c>
      <c r="H685" s="180">
        <f>(H628/H612)*T60</f>
        <v>9486.8382075659447</v>
      </c>
      <c r="I685" s="180">
        <f>(I629/I612)*T78</f>
        <v>564.12671417448132</v>
      </c>
      <c r="J685" s="180">
        <f>(J630/J612)*T79</f>
        <v>0</v>
      </c>
      <c r="K685" s="180">
        <f>(K644/K612)*T75</f>
        <v>110026.20732746278</v>
      </c>
      <c r="L685" s="180">
        <f>(L647/L612)*T80</f>
        <v>29332.779067385305</v>
      </c>
      <c r="M685" s="180">
        <f t="shared" si="20"/>
        <v>207058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14052994</v>
      </c>
      <c r="D686" s="180">
        <f>(D615/D612)*U76</f>
        <v>-143965.01578511731</v>
      </c>
      <c r="E686" s="180">
        <f>(E623/E612)*SUM(C686:D686)</f>
        <v>1193203.7004580721</v>
      </c>
      <c r="F686" s="180">
        <f>(F624/F612)*U64</f>
        <v>28761.316595866294</v>
      </c>
      <c r="G686" s="180">
        <f>(G625/G612)*U77</f>
        <v>0</v>
      </c>
      <c r="H686" s="180">
        <f>(H628/H612)*U60</f>
        <v>71631.448613262488</v>
      </c>
      <c r="I686" s="180">
        <f>(I629/I612)*U78</f>
        <v>21394.805702468359</v>
      </c>
      <c r="J686" s="180">
        <f>(J630/J612)*U79</f>
        <v>0</v>
      </c>
      <c r="K686" s="180">
        <f>(K644/K612)*U75</f>
        <v>4315675.4033256974</v>
      </c>
      <c r="L686" s="180">
        <f>(L647/L612)*U80</f>
        <v>0</v>
      </c>
      <c r="M686" s="180">
        <f t="shared" si="20"/>
        <v>5486702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209267</v>
      </c>
      <c r="D687" s="180">
        <f>(D615/D612)*V76</f>
        <v>0</v>
      </c>
      <c r="E687" s="180">
        <f>(E623/E612)*SUM(C687:D687)</f>
        <v>17952.23513209567</v>
      </c>
      <c r="F687" s="180">
        <f>(F624/F612)*V64</f>
        <v>688.55048594594734</v>
      </c>
      <c r="G687" s="180">
        <f>(G625/G612)*V77</f>
        <v>0</v>
      </c>
      <c r="H687" s="180">
        <f>(H628/H612)*V60</f>
        <v>7566.1899814943117</v>
      </c>
      <c r="I687" s="180">
        <f>(I629/I612)*V78</f>
        <v>0</v>
      </c>
      <c r="J687" s="180">
        <f>(J630/J612)*V79</f>
        <v>4652.5746395599808</v>
      </c>
      <c r="K687" s="180">
        <f>(K644/K612)*V75</f>
        <v>103422.53796674278</v>
      </c>
      <c r="L687" s="180">
        <f>(L647/L612)*V80</f>
        <v>0</v>
      </c>
      <c r="M687" s="180">
        <f t="shared" si="20"/>
        <v>134282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3589903</v>
      </c>
      <c r="D688" s="180">
        <f>(D615/D612)*W76</f>
        <v>-41251.125841373723</v>
      </c>
      <c r="E688" s="180">
        <f>(E623/E612)*SUM(C688:D688)</f>
        <v>304425.60387852666</v>
      </c>
      <c r="F688" s="180">
        <f>(F624/F612)*W64</f>
        <v>1823.3193101196582</v>
      </c>
      <c r="G688" s="180">
        <f>(G625/G612)*W77</f>
        <v>0</v>
      </c>
      <c r="H688" s="180">
        <f>(H628/H612)*W60</f>
        <v>4408.7607007553388</v>
      </c>
      <c r="I688" s="180">
        <f>(I629/I612)*W78</f>
        <v>6130.3770056301346</v>
      </c>
      <c r="J688" s="180">
        <f>(J630/J612)*W79</f>
        <v>13280.466304499902</v>
      </c>
      <c r="K688" s="180">
        <f>(K644/K612)*W75</f>
        <v>1656107.5065394405</v>
      </c>
      <c r="L688" s="180">
        <f>(L647/L612)*W80</f>
        <v>0</v>
      </c>
      <c r="M688" s="180">
        <f t="shared" si="20"/>
        <v>1944925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5032871</v>
      </c>
      <c r="D689" s="180">
        <f>(D615/D612)*X76</f>
        <v>-33497.61026472786</v>
      </c>
      <c r="E689" s="180">
        <f>(E623/E612)*SUM(C689:D689)</f>
        <v>428877.58990031766</v>
      </c>
      <c r="F689" s="180">
        <f>(F624/F612)*X64</f>
        <v>1384.3804042418485</v>
      </c>
      <c r="G689" s="180">
        <f>(G625/G612)*X77</f>
        <v>0</v>
      </c>
      <c r="H689" s="180">
        <f>(H628/H612)*X60</f>
        <v>0</v>
      </c>
      <c r="I689" s="180">
        <f>(I629/I612)*X78</f>
        <v>4978.1181851886404</v>
      </c>
      <c r="J689" s="180">
        <f>(J630/J612)*X79</f>
        <v>27674.943130725514</v>
      </c>
      <c r="K689" s="180">
        <f>(K644/K612)*X75</f>
        <v>3227310.8817634643</v>
      </c>
      <c r="L689" s="180">
        <f>(L647/L612)*X80</f>
        <v>0</v>
      </c>
      <c r="M689" s="180">
        <f t="shared" si="20"/>
        <v>3656728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12943698.200000001</v>
      </c>
      <c r="D690" s="180">
        <f>(D615/D612)*Y76</f>
        <v>-272463.38331057125</v>
      </c>
      <c r="E690" s="180">
        <f>(E623/E612)*SUM(C690:D690)</f>
        <v>1087017.9571705326</v>
      </c>
      <c r="F690" s="180">
        <f>(F624/F612)*Y64</f>
        <v>83037.928285450515</v>
      </c>
      <c r="G690" s="180">
        <f>(G625/G612)*Y77</f>
        <v>0</v>
      </c>
      <c r="H690" s="180">
        <f>(H628/H612)*Y60</f>
        <v>75458.194700056731</v>
      </c>
      <c r="I690" s="180">
        <f>(I629/I612)*Y78</f>
        <v>40491.095112076866</v>
      </c>
      <c r="J690" s="180">
        <f>(J630/J612)*Y79</f>
        <v>25751.644792189745</v>
      </c>
      <c r="K690" s="180">
        <f>(K644/K612)*Y75</f>
        <v>5094497.6282234816</v>
      </c>
      <c r="L690" s="180">
        <f>(L647/L612)*Y80</f>
        <v>24335.823341304182</v>
      </c>
      <c r="M690" s="180">
        <f t="shared" si="20"/>
        <v>6158127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3307864</v>
      </c>
      <c r="D691" s="180">
        <f>(D615/D612)*Z76</f>
        <v>-131951.10493067905</v>
      </c>
      <c r="E691" s="180">
        <f>(E623/E612)*SUM(C691:D691)</f>
        <v>272449.71759206726</v>
      </c>
      <c r="F691" s="180">
        <f>(F624/F612)*Z64</f>
        <v>580.22818664887404</v>
      </c>
      <c r="G691" s="180">
        <f>(G625/G612)*Z77</f>
        <v>0</v>
      </c>
      <c r="H691" s="180">
        <f>(H628/H612)*Z60</f>
        <v>22989.577251463485</v>
      </c>
      <c r="I691" s="180">
        <f>(I629/I612)*Z78</f>
        <v>19609.404665586357</v>
      </c>
      <c r="J691" s="180">
        <f>(J630/J612)*Z79</f>
        <v>15741.871886869771</v>
      </c>
      <c r="K691" s="180">
        <f>(K644/K612)*Z75</f>
        <v>1662459.5806583425</v>
      </c>
      <c r="L691" s="180">
        <f>(L647/L612)*Z80</f>
        <v>8306.627700498495</v>
      </c>
      <c r="M691" s="180">
        <f t="shared" si="20"/>
        <v>1870186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1255009</v>
      </c>
      <c r="D692" s="180">
        <f>(D615/D612)*AA76</f>
        <v>-37980.111457476247</v>
      </c>
      <c r="E692" s="180">
        <f>(E623/E612)*SUM(C692:D692)</f>
        <v>104404.3674811052</v>
      </c>
      <c r="F692" s="180">
        <f>(F624/F612)*AA64</f>
        <v>2355.35423995274</v>
      </c>
      <c r="G692" s="180">
        <f>(G625/G612)*AA77</f>
        <v>0</v>
      </c>
      <c r="H692" s="180">
        <f>(H628/H612)*AA60</f>
        <v>0</v>
      </c>
      <c r="I692" s="180">
        <f>(I629/I612)*AA78</f>
        <v>5644.2678157563796</v>
      </c>
      <c r="J692" s="180">
        <f>(J630/J612)*AA79</f>
        <v>8796.9672130184226</v>
      </c>
      <c r="K692" s="180">
        <f>(K644/K612)*AA75</f>
        <v>463054.69093307981</v>
      </c>
      <c r="L692" s="180">
        <f>(L647/L612)*AA80</f>
        <v>0</v>
      </c>
      <c r="M692" s="180">
        <f t="shared" si="20"/>
        <v>546276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31199375</v>
      </c>
      <c r="D693" s="180">
        <f>(D615/D612)*AB76</f>
        <v>-158926.87787442614</v>
      </c>
      <c r="E693" s="180">
        <f>(E623/E612)*SUM(C693:D693)</f>
        <v>2662844.229114078</v>
      </c>
      <c r="F693" s="180">
        <f>(F624/F612)*AB64</f>
        <v>379985.73229930055</v>
      </c>
      <c r="G693" s="180">
        <f>(G625/G612)*AB77</f>
        <v>0</v>
      </c>
      <c r="H693" s="180">
        <f>(H628/H612)*AB60</f>
        <v>68139.360929495888</v>
      </c>
      <c r="I693" s="180">
        <f>(I629/I612)*AB78</f>
        <v>23618.305145039056</v>
      </c>
      <c r="J693" s="180">
        <f>(J630/J612)*AB79</f>
        <v>0</v>
      </c>
      <c r="K693" s="180">
        <f>(K644/K612)*AB75</f>
        <v>4288012.5144273443</v>
      </c>
      <c r="L693" s="180">
        <f>(L647/L612)*AB80</f>
        <v>0</v>
      </c>
      <c r="M693" s="180">
        <f t="shared" si="20"/>
        <v>7263673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1910921.24</v>
      </c>
      <c r="D694" s="180">
        <f>(D615/D612)*AC76</f>
        <v>-34244.693796852589</v>
      </c>
      <c r="E694" s="180">
        <f>(E623/E612)*SUM(C694:D694)</f>
        <v>160993.07881475869</v>
      </c>
      <c r="F694" s="180">
        <f>(F624/F612)*AC64</f>
        <v>2246.7252421839503</v>
      </c>
      <c r="G694" s="180">
        <f>(G625/G612)*AC77</f>
        <v>0</v>
      </c>
      <c r="H694" s="180">
        <f>(H628/H612)*AC60</f>
        <v>26219.758358947594</v>
      </c>
      <c r="I694" s="180">
        <f>(I629/I612)*AC78</f>
        <v>5089.1431236165972</v>
      </c>
      <c r="J694" s="180">
        <f>(J630/J612)*AC79</f>
        <v>0</v>
      </c>
      <c r="K694" s="180">
        <f>(K644/K612)*AC75</f>
        <v>1014777.8040878904</v>
      </c>
      <c r="L694" s="180">
        <f>(L647/L612)*AC80</f>
        <v>0</v>
      </c>
      <c r="M694" s="180">
        <f t="shared" si="20"/>
        <v>1175082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4903362</v>
      </c>
      <c r="D695" s="180">
        <f>(D615/D612)*AD76</f>
        <v>-127690.70965288665</v>
      </c>
      <c r="E695" s="180">
        <f>(E623/E612)*SUM(C695:D695)</f>
        <v>409687.02145063534</v>
      </c>
      <c r="F695" s="180">
        <f>(F624/F612)*AD64</f>
        <v>22602.668488961906</v>
      </c>
      <c r="G695" s="180">
        <f>(G625/G612)*AD77</f>
        <v>0</v>
      </c>
      <c r="H695" s="180">
        <f>(H628/H612)*AD60</f>
        <v>13997.451465764476</v>
      </c>
      <c r="I695" s="180">
        <f>(I629/I612)*AD78</f>
        <v>18976.262449145852</v>
      </c>
      <c r="J695" s="180">
        <f>(J630/J612)*AD79</f>
        <v>0</v>
      </c>
      <c r="K695" s="180">
        <f>(K644/K612)*AD75</f>
        <v>1420073.4317510978</v>
      </c>
      <c r="L695" s="180">
        <f>(L647/L612)*AD80</f>
        <v>30500.898587767908</v>
      </c>
      <c r="M695" s="180">
        <f t="shared" si="20"/>
        <v>1788147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1314133.71</v>
      </c>
      <c r="D696" s="180">
        <f>(D615/D612)*AE76</f>
        <v>-43027.973161021735</v>
      </c>
      <c r="E696" s="180">
        <f>(E623/E612)*SUM(C696:D696)</f>
        <v>109043.41852986405</v>
      </c>
      <c r="F696" s="180">
        <f>(F624/F612)*AE64</f>
        <v>125.22486183246706</v>
      </c>
      <c r="G696" s="180">
        <f>(G625/G612)*AE77</f>
        <v>0</v>
      </c>
      <c r="H696" s="180">
        <f>(H628/H612)*AE60</f>
        <v>20923.42537190158</v>
      </c>
      <c r="I696" s="180">
        <f>(I629/I612)*AE78</f>
        <v>6394.4363186479768</v>
      </c>
      <c r="J696" s="180">
        <f>(J630/J612)*AE79</f>
        <v>2546.2561433295482</v>
      </c>
      <c r="K696" s="180">
        <f>(K644/K612)*AE75</f>
        <v>227092.09715824222</v>
      </c>
      <c r="L696" s="180">
        <f>(L647/L612)*AE80</f>
        <v>0</v>
      </c>
      <c r="M696" s="180">
        <f t="shared" si="20"/>
        <v>323097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7195949</v>
      </c>
      <c r="D698" s="180">
        <f>(D615/D612)*AG76</f>
        <v>-191798.55328791434</v>
      </c>
      <c r="E698" s="180">
        <f>(E623/E612)*SUM(C698:D698)</f>
        <v>600859.93357743125</v>
      </c>
      <c r="F698" s="180">
        <f>(F624/F612)*AG64</f>
        <v>10719.437531227344</v>
      </c>
      <c r="G698" s="180">
        <f>(G625/G612)*AG77</f>
        <v>0</v>
      </c>
      <c r="H698" s="180">
        <f>(H628/H612)*AG60</f>
        <v>85366.993502744474</v>
      </c>
      <c r="I698" s="180">
        <f>(I629/I612)*AG78</f>
        <v>28503.402435869135</v>
      </c>
      <c r="J698" s="180">
        <f>(J630/J612)*AG79</f>
        <v>189133.39038227161</v>
      </c>
      <c r="K698" s="180">
        <f>(K644/K612)*AG75</f>
        <v>4934467.5215968387</v>
      </c>
      <c r="L698" s="180">
        <f>(L647/L612)*AG80</f>
        <v>255818.17496378958</v>
      </c>
      <c r="M698" s="180">
        <f t="shared" si="20"/>
        <v>5913070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5946030.7299999995</v>
      </c>
      <c r="D701" s="180">
        <f>(D615/D612)*AJ76</f>
        <v>-347898.62860835501</v>
      </c>
      <c r="E701" s="180">
        <f>(E623/E612)*SUM(C701:D701)</f>
        <v>480242.86573953676</v>
      </c>
      <c r="F701" s="180">
        <f>(F624/F612)*AJ64</f>
        <v>3526.9628898647497</v>
      </c>
      <c r="G701" s="180">
        <f>(G625/G612)*AJ77</f>
        <v>0</v>
      </c>
      <c r="H701" s="180">
        <f>(H628/H612)*AJ60</f>
        <v>51144.534201831739</v>
      </c>
      <c r="I701" s="180">
        <f>(I629/I612)*AJ78</f>
        <v>51701.613219288898</v>
      </c>
      <c r="J701" s="180">
        <f>(J630/J612)*AJ79</f>
        <v>0</v>
      </c>
      <c r="K701" s="180">
        <f>(K644/K612)*AJ75</f>
        <v>615017.80413503223</v>
      </c>
      <c r="L701" s="180">
        <f>(L647/L612)*AJ80</f>
        <v>66517.917132898103</v>
      </c>
      <c r="M701" s="180">
        <f t="shared" si="20"/>
        <v>920253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174709</v>
      </c>
      <c r="D702" s="180">
        <f>(D615/D612)*AK76</f>
        <v>-5370.9248525723988</v>
      </c>
      <c r="E702" s="180">
        <f>(E623/E612)*SUM(C702:D702)</f>
        <v>14526.881648148568</v>
      </c>
      <c r="F702" s="180">
        <f>(F624/F612)*AK64</f>
        <v>62.224401473272238</v>
      </c>
      <c r="G702" s="180">
        <f>(G625/G612)*AK77</f>
        <v>0</v>
      </c>
      <c r="H702" s="180">
        <f>(H628/H612)*AK60</f>
        <v>2240.7562637502383</v>
      </c>
      <c r="I702" s="180">
        <f>(I629/I612)*AK78</f>
        <v>798.17928707665976</v>
      </c>
      <c r="J702" s="180">
        <f>(J630/J612)*AK79</f>
        <v>0</v>
      </c>
      <c r="K702" s="180">
        <f>(K644/K612)*AK75</f>
        <v>39358.246959188189</v>
      </c>
      <c r="L702" s="180">
        <f>(L647/L612)*AK80</f>
        <v>0</v>
      </c>
      <c r="M702" s="180">
        <f t="shared" si="20"/>
        <v>51615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289341</v>
      </c>
      <c r="D703" s="180">
        <f>(D615/D612)*AL76</f>
        <v>-2544.1222985869258</v>
      </c>
      <c r="E703" s="180">
        <f>(E623/E612)*SUM(C703:D703)</f>
        <v>24603.234067706104</v>
      </c>
      <c r="F703" s="180">
        <f>(F624/F612)*AL64</f>
        <v>45.725389558558248</v>
      </c>
      <c r="G703" s="180">
        <f>(G625/G612)*AL77</f>
        <v>0</v>
      </c>
      <c r="H703" s="180">
        <f>(H628/H612)*AL60</f>
        <v>4568.8147195946422</v>
      </c>
      <c r="I703" s="180">
        <f>(I629/I612)*AL78</f>
        <v>378.08492545736516</v>
      </c>
      <c r="J703" s="180">
        <f>(J630/J612)*AL79</f>
        <v>0</v>
      </c>
      <c r="K703" s="180">
        <f>(K644/K612)*AL75</f>
        <v>76592.975382814286</v>
      </c>
      <c r="L703" s="180">
        <f>(L647/L612)*AL80</f>
        <v>0</v>
      </c>
      <c r="M703" s="180">
        <f t="shared" si="20"/>
        <v>103645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1071007</v>
      </c>
      <c r="D706" s="180">
        <f>(D615/D612)*AO76</f>
        <v>-49347.896013860685</v>
      </c>
      <c r="E706" s="180">
        <f>(E623/E612)*SUM(C706:D706)</f>
        <v>87644.322609897179</v>
      </c>
      <c r="F706" s="180">
        <f>(F624/F612)*AO64</f>
        <v>1615.5683463581843</v>
      </c>
      <c r="G706" s="180">
        <f>(G625/G612)*AO77</f>
        <v>0</v>
      </c>
      <c r="H706" s="180">
        <f>(H628/H612)*AO60</f>
        <v>0</v>
      </c>
      <c r="I706" s="180">
        <f>(I629/I612)*AO78</f>
        <v>7333.6472842682579</v>
      </c>
      <c r="J706" s="180">
        <f>(J630/J612)*AO79</f>
        <v>0</v>
      </c>
      <c r="K706" s="180">
        <f>(K644/K612)*AO75</f>
        <v>28568.54266960108</v>
      </c>
      <c r="L706" s="180">
        <f>(L647/L612)*AO80</f>
        <v>0</v>
      </c>
      <c r="M706" s="180">
        <f t="shared" si="20"/>
        <v>75814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79189806</v>
      </c>
      <c r="D707" s="180">
        <f>(D615/D612)*AP76</f>
        <v>-4112997.7160488633</v>
      </c>
      <c r="E707" s="180">
        <f>(E623/E612)*SUM(C707:D707)</f>
        <v>6440559.2629547836</v>
      </c>
      <c r="F707" s="180">
        <f>(F624/F612)*AP64</f>
        <v>50402.727506369054</v>
      </c>
      <c r="G707" s="180">
        <f>(G625/G612)*AP77</f>
        <v>0</v>
      </c>
      <c r="H707" s="180">
        <f>(H628/H612)*AP60</f>
        <v>437689.54006409692</v>
      </c>
      <c r="I707" s="180">
        <f>(I629/I612)*AP78</f>
        <v>611237.29615607369</v>
      </c>
      <c r="J707" s="180">
        <f>(J630/J612)*AP79</f>
        <v>0</v>
      </c>
      <c r="K707" s="180">
        <f>(K644/K612)*AP75</f>
        <v>6326828.9006044772</v>
      </c>
      <c r="L707" s="180">
        <f>(L647/L612)*AP80</f>
        <v>271198.41531549382</v>
      </c>
      <c r="M707" s="180">
        <f t="shared" si="20"/>
        <v>10024918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11565732</v>
      </c>
      <c r="D713" s="180">
        <f>(D615/D612)*AV76</f>
        <v>-465352.27472645143</v>
      </c>
      <c r="E713" s="180">
        <f>(E623/E612)*SUM(C713:D713)</f>
        <v>952260.15990891191</v>
      </c>
      <c r="F713" s="180">
        <f>(F624/F612)*AV64</f>
        <v>17977.962854794365</v>
      </c>
      <c r="G713" s="180">
        <f>(G625/G612)*AV77</f>
        <v>0</v>
      </c>
      <c r="H713" s="180">
        <f>(H628/H612)*AV60</f>
        <v>131229.74508287924</v>
      </c>
      <c r="I713" s="180">
        <f>(I629/I612)*AV78</f>
        <v>49742.173089736003</v>
      </c>
      <c r="J713" s="180">
        <f>(J630/J612)*AV79</f>
        <v>51006.811436136864</v>
      </c>
      <c r="K713" s="180">
        <f>(K644/K612)*AV75</f>
        <v>2112833.1766939298</v>
      </c>
      <c r="L713" s="180">
        <f>(L647/L612)*AV80</f>
        <v>130115.5354648397</v>
      </c>
      <c r="M713" s="180">
        <f t="shared" si="20"/>
        <v>2979813</v>
      </c>
      <c r="N713" s="199" t="s">
        <v>741</v>
      </c>
    </row>
    <row r="715" spans="1:83" ht="12.6" customHeight="1" x14ac:dyDescent="0.25">
      <c r="C715" s="180">
        <f>SUM(C614:C647)+SUM(C668:C713)</f>
        <v>316539762.79000002</v>
      </c>
      <c r="D715" s="180">
        <f>SUM(D616:D647)+SUM(D668:D713)</f>
        <v>-11514091.780000001</v>
      </c>
      <c r="E715" s="180">
        <f>SUM(E624:E647)+SUM(E668:E713)</f>
        <v>25009309.827842023</v>
      </c>
      <c r="F715" s="180">
        <f>SUM(F625:F648)+SUM(F668:F713)</f>
        <v>792058.19243416307</v>
      </c>
      <c r="G715" s="180">
        <f>SUM(G626:G647)+SUM(G668:G713)</f>
        <v>2191351.3776250007</v>
      </c>
      <c r="H715" s="180">
        <f>SUM(H629:H647)+SUM(H668:H713)</f>
        <v>2225696.6356139947</v>
      </c>
      <c r="I715" s="180">
        <f>SUM(I630:I647)+SUM(I668:I713)</f>
        <v>2383492.500764519</v>
      </c>
      <c r="J715" s="180">
        <f>SUM(J631:J647)+SUM(J668:J713)</f>
        <v>879022.46644209826</v>
      </c>
      <c r="K715" s="180">
        <f>SUM(K668:K713)</f>
        <v>53309786.940258399</v>
      </c>
      <c r="L715" s="180">
        <f>SUM(L668:L713)</f>
        <v>2222217.5964700775</v>
      </c>
      <c r="M715" s="180">
        <f>SUM(M668:M713)</f>
        <v>75237854</v>
      </c>
      <c r="N715" s="198" t="s">
        <v>742</v>
      </c>
    </row>
    <row r="716" spans="1:83" ht="12.6" customHeight="1" x14ac:dyDescent="0.25">
      <c r="C716" s="180">
        <f>CE71</f>
        <v>316539762.79000002</v>
      </c>
      <c r="D716" s="180">
        <f>D615</f>
        <v>-11514091.780000001</v>
      </c>
      <c r="E716" s="180">
        <f>E623</f>
        <v>25009309.827842016</v>
      </c>
      <c r="F716" s="180">
        <f>F624</f>
        <v>792058.1924341633</v>
      </c>
      <c r="G716" s="180">
        <f>G625</f>
        <v>2191351.3776250011</v>
      </c>
      <c r="H716" s="180">
        <f>H628</f>
        <v>2225696.6356139951</v>
      </c>
      <c r="I716" s="180">
        <f>I629</f>
        <v>2383492.500764519</v>
      </c>
      <c r="J716" s="180">
        <f>J630</f>
        <v>879022.46644209849</v>
      </c>
      <c r="K716" s="180">
        <f>K644</f>
        <v>53309786.940258384</v>
      </c>
      <c r="L716" s="180">
        <f>L647</f>
        <v>2222217.5964700775</v>
      </c>
      <c r="M716" s="180">
        <f>C648</f>
        <v>75237855.670000002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207*2018*A</v>
      </c>
      <c r="B722" s="276">
        <f>ROUND(C165,0)</f>
        <v>10735763</v>
      </c>
      <c r="C722" s="276">
        <f>ROUND(C166,0)</f>
        <v>127237</v>
      </c>
      <c r="D722" s="276">
        <f>ROUND(C167,0)</f>
        <v>858383</v>
      </c>
      <c r="E722" s="276">
        <f>ROUND(C168,0)</f>
        <v>13467237</v>
      </c>
      <c r="F722" s="276">
        <f>ROUND(C169,0)</f>
        <v>328013</v>
      </c>
      <c r="G722" s="276">
        <f>ROUND(C170,0)</f>
        <v>6959388</v>
      </c>
      <c r="H722" s="276">
        <f>ROUND(C171+C172,0)</f>
        <v>2935133</v>
      </c>
      <c r="I722" s="276">
        <f>ROUND(C175,0)</f>
        <v>6632401</v>
      </c>
      <c r="J722" s="276">
        <f>ROUND(C176,0)</f>
        <v>1616949</v>
      </c>
      <c r="K722" s="276">
        <f>ROUND(C179,0)</f>
        <v>3161417</v>
      </c>
      <c r="L722" s="276">
        <f>ROUND(C180,0)</f>
        <v>997657</v>
      </c>
      <c r="M722" s="276">
        <f>ROUND(C183,0)</f>
        <v>1795034</v>
      </c>
      <c r="N722" s="276">
        <f>ROUND(C184,0)</f>
        <v>2209015</v>
      </c>
      <c r="O722" s="276">
        <f>ROUND(C185,0)</f>
        <v>0</v>
      </c>
      <c r="P722" s="276">
        <f>ROUND(C188,0)</f>
        <v>0</v>
      </c>
      <c r="Q722" s="276">
        <f>ROUND(C189,0)</f>
        <v>5982540</v>
      </c>
      <c r="R722" s="276">
        <f>ROUND(B195,0)</f>
        <v>10066771</v>
      </c>
      <c r="S722" s="276">
        <f>ROUND(C195,0)</f>
        <v>1645559</v>
      </c>
      <c r="T722" s="276">
        <f>ROUND(D195,0)</f>
        <v>0</v>
      </c>
      <c r="U722" s="276">
        <f>ROUND(B196,0)</f>
        <v>7320272</v>
      </c>
      <c r="V722" s="276">
        <f>ROUND(C196,0)</f>
        <v>0</v>
      </c>
      <c r="W722" s="276">
        <f>ROUND(D196,0)</f>
        <v>0</v>
      </c>
      <c r="X722" s="276">
        <f>ROUND(B197,0)</f>
        <v>130073397</v>
      </c>
      <c r="Y722" s="276">
        <f>ROUND(C197,0)</f>
        <v>343598</v>
      </c>
      <c r="Z722" s="276">
        <f>ROUND(D197,0)</f>
        <v>5000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22913861</v>
      </c>
      <c r="AE722" s="276">
        <f>ROUND(C199,0)</f>
        <v>128557</v>
      </c>
      <c r="AF722" s="276">
        <f>ROUND(D199,0)</f>
        <v>37142</v>
      </c>
      <c r="AG722" s="276">
        <f>ROUND(B200,0)</f>
        <v>128989546</v>
      </c>
      <c r="AH722" s="276">
        <f>ROUND(C200,0)</f>
        <v>8807176</v>
      </c>
      <c r="AI722" s="276">
        <f>ROUND(D200,0)</f>
        <v>542440</v>
      </c>
      <c r="AJ722" s="276">
        <f>ROUND(B201,0)</f>
        <v>4330437</v>
      </c>
      <c r="AK722" s="276">
        <f>ROUND(C201,0)</f>
        <v>0</v>
      </c>
      <c r="AL722" s="276">
        <f>ROUND(D201,0)</f>
        <v>0</v>
      </c>
      <c r="AM722" s="276">
        <f>ROUND(B202,0)</f>
        <v>9223485</v>
      </c>
      <c r="AN722" s="276">
        <f>ROUND(C202,0)</f>
        <v>228303</v>
      </c>
      <c r="AO722" s="276">
        <f>ROUND(D202,0)</f>
        <v>0</v>
      </c>
      <c r="AP722" s="276">
        <f>ROUND(B203,0)</f>
        <v>108520</v>
      </c>
      <c r="AQ722" s="276">
        <f>ROUND(C203,0)</f>
        <v>2169996</v>
      </c>
      <c r="AR722" s="276">
        <f>ROUND(D203,0)</f>
        <v>0</v>
      </c>
      <c r="AS722" s="276"/>
      <c r="AT722" s="276"/>
      <c r="AU722" s="276"/>
      <c r="AV722" s="276">
        <f>ROUND(B209,0)</f>
        <v>3449440</v>
      </c>
      <c r="AW722" s="276">
        <f>ROUND(C209,0)</f>
        <v>263241</v>
      </c>
      <c r="AX722" s="276">
        <f>ROUND(D209,0)</f>
        <v>0</v>
      </c>
      <c r="AY722" s="276">
        <f>ROUND(B210,0)</f>
        <v>57171273</v>
      </c>
      <c r="AZ722" s="276">
        <f>ROUND(C210,0)</f>
        <v>4744679</v>
      </c>
      <c r="BA722" s="276">
        <f>ROUND(D210,0)</f>
        <v>5000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18555532</v>
      </c>
      <c r="BF722" s="276">
        <f>ROUND(C212,0)</f>
        <v>592430</v>
      </c>
      <c r="BG722" s="276">
        <f>ROUND(D212,0)</f>
        <v>37142</v>
      </c>
      <c r="BH722" s="276">
        <f>ROUND(B213,0)</f>
        <v>75460904</v>
      </c>
      <c r="BI722" s="276">
        <f>ROUND(C213,0)</f>
        <v>9119224</v>
      </c>
      <c r="BJ722" s="276">
        <f>ROUND(D213,0)</f>
        <v>542440</v>
      </c>
      <c r="BK722" s="276">
        <f>ROUND(B214,0)</f>
        <v>2561133</v>
      </c>
      <c r="BL722" s="276">
        <f>ROUND(C214,0)</f>
        <v>721899</v>
      </c>
      <c r="BM722" s="276">
        <f>ROUND(D214,0)</f>
        <v>0</v>
      </c>
      <c r="BN722" s="276">
        <f>ROUND(B215,0)</f>
        <v>4367562</v>
      </c>
      <c r="BO722" s="276">
        <f>ROUND(C215,0)</f>
        <v>573088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475955303</v>
      </c>
      <c r="BU722" s="276">
        <f>ROUND(C224,0)</f>
        <v>187292079</v>
      </c>
      <c r="BV722" s="276">
        <f>ROUND(C225,0)</f>
        <v>10785591</v>
      </c>
      <c r="BW722" s="276">
        <f>ROUND(C226,0)</f>
        <v>35080053</v>
      </c>
      <c r="BX722" s="276">
        <f>ROUND(C227,0)</f>
        <v>136021370</v>
      </c>
      <c r="BY722" s="276">
        <f>ROUND(C228,0)</f>
        <v>0</v>
      </c>
      <c r="BZ722" s="276">
        <f>ROUND(C231,0)</f>
        <v>0</v>
      </c>
      <c r="CA722" s="276">
        <f>ROUND(C233,0)</f>
        <v>6674121</v>
      </c>
      <c r="CB722" s="276">
        <f>ROUND(C234,0)</f>
        <v>485216</v>
      </c>
      <c r="CC722" s="276">
        <f>ROUND(C238+C239,0)</f>
        <v>14835628</v>
      </c>
      <c r="CD722" s="276">
        <f>D221</f>
        <v>16431467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207*2018*A</v>
      </c>
      <c r="B726" s="276">
        <f>ROUND(C111,0)</f>
        <v>8082</v>
      </c>
      <c r="C726" s="276">
        <f>ROUND(C112,0)</f>
        <v>0</v>
      </c>
      <c r="D726" s="276">
        <f>ROUND(C113,0)</f>
        <v>0</v>
      </c>
      <c r="E726" s="276">
        <f>ROUND(C114,0)</f>
        <v>927</v>
      </c>
      <c r="F726" s="276">
        <f>ROUND(D111,0)</f>
        <v>34930</v>
      </c>
      <c r="G726" s="276">
        <f>ROUND(D112,0)</f>
        <v>0</v>
      </c>
      <c r="H726" s="276">
        <f>ROUND(D113,0)</f>
        <v>0</v>
      </c>
      <c r="I726" s="276">
        <f>ROUND(D114,0)</f>
        <v>2108</v>
      </c>
      <c r="J726" s="276">
        <f>ROUND(C116,0)</f>
        <v>12</v>
      </c>
      <c r="K726" s="276">
        <f>ROUND(C117,0)</f>
        <v>0</v>
      </c>
      <c r="L726" s="276">
        <f>ROUND(C118,0)</f>
        <v>89</v>
      </c>
      <c r="M726" s="276">
        <f>ROUND(C119,0)</f>
        <v>0</v>
      </c>
      <c r="N726" s="276">
        <f>ROUND(C120,0)</f>
        <v>21</v>
      </c>
      <c r="O726" s="276">
        <f>ROUND(C121,0)</f>
        <v>0</v>
      </c>
      <c r="P726" s="276">
        <f>ROUND(C122,0)</f>
        <v>15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137</v>
      </c>
      <c r="W726" s="276">
        <f>ROUND(C129,0)</f>
        <v>21</v>
      </c>
      <c r="X726" s="276">
        <f>ROUND(B138,0)</f>
        <v>3965</v>
      </c>
      <c r="Y726" s="276">
        <f>ROUND(B139,0)</f>
        <v>17137</v>
      </c>
      <c r="Z726" s="276">
        <f>ROUND(B140,0)</f>
        <v>94224</v>
      </c>
      <c r="AA726" s="276">
        <f>ROUND(B141,0)</f>
        <v>246434235</v>
      </c>
      <c r="AB726" s="276">
        <f>ROUND(B142,0)</f>
        <v>373437466</v>
      </c>
      <c r="AC726" s="276">
        <f>ROUND(C138,0)</f>
        <v>1696</v>
      </c>
      <c r="AD726" s="276">
        <f>ROUND(C139,0)</f>
        <v>7332</v>
      </c>
      <c r="AE726" s="276">
        <f>ROUND(C140,0)</f>
        <v>40313</v>
      </c>
      <c r="AF726" s="276">
        <f>ROUND(C141,0)</f>
        <v>90781990</v>
      </c>
      <c r="AG726" s="276">
        <f>ROUND(C142,0)</f>
        <v>156582757</v>
      </c>
      <c r="AH726" s="276">
        <f>ROUND(D138,0)</f>
        <v>2421</v>
      </c>
      <c r="AI726" s="276">
        <f>ROUND(D139,0)</f>
        <v>10462</v>
      </c>
      <c r="AJ726" s="276">
        <f>ROUND(D140,0)</f>
        <v>57522</v>
      </c>
      <c r="AK726" s="276">
        <f>ROUND(D141,0)</f>
        <v>74250880</v>
      </c>
      <c r="AL726" s="276">
        <f>ROUND(D142,0)</f>
        <v>267116699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207*2018*A</v>
      </c>
      <c r="B730" s="276">
        <f>ROUND(C250,0)</f>
        <v>870845</v>
      </c>
      <c r="C730" s="276">
        <f>ROUND(C251,0)</f>
        <v>31771504</v>
      </c>
      <c r="D730" s="276">
        <f>ROUND(C252,0)</f>
        <v>172918102</v>
      </c>
      <c r="E730" s="276">
        <f>ROUND(C253,0)</f>
        <v>130424132</v>
      </c>
      <c r="F730" s="276">
        <f>ROUND(C254,0)</f>
        <v>0</v>
      </c>
      <c r="G730" s="276">
        <f>ROUND(C255,0)</f>
        <v>5607469</v>
      </c>
      <c r="H730" s="276">
        <f>ROUND(C256,0)</f>
        <v>0</v>
      </c>
      <c r="I730" s="276">
        <f>ROUND(C257,0)</f>
        <v>3565768</v>
      </c>
      <c r="J730" s="276">
        <f>ROUND(C258,0)</f>
        <v>3706732</v>
      </c>
      <c r="K730" s="276">
        <f>ROUND(C259,0)</f>
        <v>0</v>
      </c>
      <c r="L730" s="276">
        <f>ROUND(C262,0)</f>
        <v>0</v>
      </c>
      <c r="M730" s="276">
        <f>ROUND(C263,0)</f>
        <v>121141584</v>
      </c>
      <c r="N730" s="276">
        <f>ROUND(C264,0)</f>
        <v>0</v>
      </c>
      <c r="O730" s="276">
        <f>ROUND(C267,0)</f>
        <v>11712333</v>
      </c>
      <c r="P730" s="276">
        <f>ROUND(C268,0)</f>
        <v>7320272</v>
      </c>
      <c r="Q730" s="276">
        <f>ROUND(C269,0)</f>
        <v>130677520</v>
      </c>
      <c r="R730" s="276">
        <f>ROUND(C270,0)</f>
        <v>0</v>
      </c>
      <c r="S730" s="276">
        <f>ROUND(C271,0)</f>
        <v>22790029</v>
      </c>
      <c r="T730" s="276">
        <f>ROUND(C272,0)</f>
        <v>141799966</v>
      </c>
      <c r="U730" s="276">
        <f>ROUND(C273,0)</f>
        <v>9177386</v>
      </c>
      <c r="V730" s="276">
        <f>ROUND(C274,0)</f>
        <v>2278516</v>
      </c>
      <c r="W730" s="276">
        <f>ROUND(C275,0)</f>
        <v>0</v>
      </c>
      <c r="X730" s="276">
        <f>ROUND(C276,0)</f>
        <v>176995823</v>
      </c>
      <c r="Y730" s="276">
        <f>ROUND(C279,0)</f>
        <v>0</v>
      </c>
      <c r="Z730" s="276">
        <f>ROUND(C280,0)</f>
        <v>0</v>
      </c>
      <c r="AA730" s="276">
        <f>ROUND(C281,0)</f>
        <v>12253486</v>
      </c>
      <c r="AB730" s="276">
        <f>ROUND(C282,0)</f>
        <v>0</v>
      </c>
      <c r="AC730" s="276">
        <f>ROUND(C286,0)</f>
        <v>320000</v>
      </c>
      <c r="AD730" s="276">
        <f>ROUND(C287,0)</f>
        <v>0</v>
      </c>
      <c r="AE730" s="276">
        <f>ROUND(C288,0)</f>
        <v>0</v>
      </c>
      <c r="AF730" s="276">
        <f>ROUND(C289,0)</f>
        <v>5490506</v>
      </c>
      <c r="AG730" s="276">
        <f>ROUND(C304,0)</f>
        <v>0</v>
      </c>
      <c r="AH730" s="276">
        <f>ROUND(C305,0)</f>
        <v>18273805</v>
      </c>
      <c r="AI730" s="276">
        <f>ROUND(C306,0)</f>
        <v>44917500</v>
      </c>
      <c r="AJ730" s="276">
        <f>ROUND(C307,0)</f>
        <v>650318</v>
      </c>
      <c r="AK730" s="276">
        <f>ROUND(C308,0)</f>
        <v>0</v>
      </c>
      <c r="AL730" s="276">
        <f>ROUND(C309,0)</f>
        <v>7089398</v>
      </c>
      <c r="AM730" s="276">
        <f>ROUND(C310,0)</f>
        <v>0</v>
      </c>
      <c r="AN730" s="276">
        <f>ROUND(C311,0)</f>
        <v>0</v>
      </c>
      <c r="AO730" s="276">
        <f>ROUND(C312,0)</f>
        <v>4983404</v>
      </c>
      <c r="AP730" s="276">
        <f>ROUND(C313,0)</f>
        <v>9290692</v>
      </c>
      <c r="AQ730" s="276">
        <f>ROUND(C316,0)</f>
        <v>0</v>
      </c>
      <c r="AR730" s="276">
        <f>ROUND(C317,0)</f>
        <v>0</v>
      </c>
      <c r="AS730" s="276">
        <f>ROUND(C318,0)</f>
        <v>690481</v>
      </c>
      <c r="AT730" s="276">
        <f>ROUND(C321,0)</f>
        <v>0</v>
      </c>
      <c r="AU730" s="276">
        <f>ROUND(C322,0)</f>
        <v>0</v>
      </c>
      <c r="AV730" s="276">
        <f>ROUND(C323,0)</f>
        <v>4375340</v>
      </c>
      <c r="AW730" s="276">
        <f>ROUND(C324,0)</f>
        <v>1639794</v>
      </c>
      <c r="AX730" s="276">
        <f>ROUND(C325,0)</f>
        <v>169481613</v>
      </c>
      <c r="AY730" s="276">
        <f>ROUND(C326,0)</f>
        <v>0</v>
      </c>
      <c r="AZ730" s="276">
        <f>ROUND(C327,0)</f>
        <v>233744</v>
      </c>
      <c r="BA730" s="276">
        <f>ROUND(C328,0)</f>
        <v>0</v>
      </c>
      <c r="BB730" s="276">
        <f>ROUND(C332,0)</f>
        <v>123577513</v>
      </c>
      <c r="BC730" s="276"/>
      <c r="BD730" s="276"/>
      <c r="BE730" s="276">
        <f>ROUND(C337,0)</f>
        <v>0</v>
      </c>
      <c r="BF730" s="276">
        <f>ROUND(C336,0)</f>
        <v>69153</v>
      </c>
      <c r="BG730" s="276"/>
      <c r="BH730" s="276"/>
      <c r="BI730" s="276">
        <f>ROUND(CE60,2)</f>
        <v>1672.88</v>
      </c>
      <c r="BJ730" s="276">
        <f>ROUND(C359,0)</f>
        <v>411467106</v>
      </c>
      <c r="BK730" s="276">
        <f>ROUND(C360,0)</f>
        <v>797136922</v>
      </c>
      <c r="BL730" s="276">
        <f>ROUND(C364,0)</f>
        <v>859969771</v>
      </c>
      <c r="BM730" s="276">
        <f>ROUND(C365,0)</f>
        <v>7159337</v>
      </c>
      <c r="BN730" s="276">
        <f>ROUND(C366,0)</f>
        <v>0</v>
      </c>
      <c r="BO730" s="276">
        <f>ROUND(C370,0)</f>
        <v>21417995</v>
      </c>
      <c r="BP730" s="276">
        <f>ROUND(C371,0)</f>
        <v>0</v>
      </c>
      <c r="BQ730" s="276">
        <f>ROUND(C378,0)</f>
        <v>152980374</v>
      </c>
      <c r="BR730" s="276">
        <f>ROUND(C379,0)</f>
        <v>35411150</v>
      </c>
      <c r="BS730" s="276">
        <f>ROUND(C380,0)</f>
        <v>14936421</v>
      </c>
      <c r="BT730" s="276">
        <f>ROUND(C381,0)</f>
        <v>52011167</v>
      </c>
      <c r="BU730" s="276">
        <f>ROUND(C382,0)</f>
        <v>3047525</v>
      </c>
      <c r="BV730" s="276">
        <f>ROUND(C383,0)</f>
        <v>50687395</v>
      </c>
      <c r="BW730" s="276">
        <f>ROUND(C384,0)</f>
        <v>16014561</v>
      </c>
      <c r="BX730" s="276">
        <f>ROUND(C385,0)</f>
        <v>8249356</v>
      </c>
      <c r="BY730" s="276">
        <f>ROUND(C386,0)</f>
        <v>4159073</v>
      </c>
      <c r="BZ730" s="276">
        <f>ROUND(C387,0)</f>
        <v>4004050</v>
      </c>
      <c r="CA730" s="276">
        <f>ROUND(C388,0)</f>
        <v>5982539</v>
      </c>
      <c r="CB730" s="276">
        <f>C363</f>
        <v>16431467</v>
      </c>
      <c r="CC730" s="276">
        <f>ROUND(C389,0)</f>
        <v>-9526024</v>
      </c>
      <c r="CD730" s="276">
        <f>ROUND(C392,0)</f>
        <v>4967119</v>
      </c>
      <c r="CE730" s="276">
        <f>ROUND(C394,0)</f>
        <v>9240363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207*2018*6010*A</v>
      </c>
      <c r="B734" s="276">
        <f>ROUND(C59,0)</f>
        <v>2210</v>
      </c>
      <c r="C734" s="276">
        <f>ROUND(C60,2)</f>
        <v>26.35</v>
      </c>
      <c r="D734" s="276">
        <f>ROUND(C61,0)</f>
        <v>2503211</v>
      </c>
      <c r="E734" s="276">
        <f>ROUND(C62,0)</f>
        <v>571290</v>
      </c>
      <c r="F734" s="276">
        <f>ROUND(C63,0)</f>
        <v>20360</v>
      </c>
      <c r="G734" s="276">
        <f>ROUND(C64,0)</f>
        <v>402243</v>
      </c>
      <c r="H734" s="276">
        <f>ROUND(C65,0)</f>
        <v>0</v>
      </c>
      <c r="I734" s="276">
        <f>ROUND(C66,0)</f>
        <v>1644</v>
      </c>
      <c r="J734" s="276">
        <f>ROUND(C67,0)</f>
        <v>79013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16610584</v>
      </c>
      <c r="O734" s="276">
        <f>ROUND(C73,0)</f>
        <v>16500662</v>
      </c>
      <c r="P734" s="276">
        <f>IF(C76&gt;0,ROUND(C76,0),0)</f>
        <v>3919</v>
      </c>
      <c r="Q734" s="276">
        <f>IF(C77&gt;0,ROUND(C77,0),0)</f>
        <v>24267</v>
      </c>
      <c r="R734" s="276">
        <f>IF(C78&gt;0,ROUND(C78,0),0)</f>
        <v>3494</v>
      </c>
      <c r="S734" s="276">
        <f>IF(C79&gt;0,ROUND(C79,0),0)</f>
        <v>25601</v>
      </c>
      <c r="T734" s="276">
        <f>IF(C80&gt;0,ROUND(C80,2),0)</f>
        <v>22.71</v>
      </c>
      <c r="U734" s="276"/>
      <c r="V734" s="276"/>
      <c r="W734" s="276"/>
      <c r="X734" s="276"/>
      <c r="Y734" s="276">
        <f>IF(M668&lt;&gt;0,ROUND(M668,0),0)</f>
        <v>1455937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207*2018*6030*A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207*2018*6070*A</v>
      </c>
      <c r="B736" s="276">
        <f>ROUND(E59,0)</f>
        <v>26742</v>
      </c>
      <c r="C736" s="278">
        <f>ROUND(E60,2)</f>
        <v>211.25</v>
      </c>
      <c r="D736" s="276">
        <f>ROUND(E61,0)</f>
        <v>13869925</v>
      </c>
      <c r="E736" s="276">
        <f>ROUND(E62,0)</f>
        <v>3165432</v>
      </c>
      <c r="F736" s="276">
        <f>ROUND(E63,0)</f>
        <v>57191</v>
      </c>
      <c r="G736" s="276">
        <f>ROUND(E64,0)</f>
        <v>1211832</v>
      </c>
      <c r="H736" s="276">
        <f>ROUND(E65,0)</f>
        <v>0</v>
      </c>
      <c r="I736" s="276">
        <f>ROUND(E66,0)</f>
        <v>2603627</v>
      </c>
      <c r="J736" s="276">
        <f>ROUND(E67,0)</f>
        <v>762326</v>
      </c>
      <c r="K736" s="276">
        <f>ROUND(E68,0)</f>
        <v>245</v>
      </c>
      <c r="L736" s="276">
        <f>ROUND(E69,0)</f>
        <v>35253</v>
      </c>
      <c r="M736" s="276">
        <f>ROUND(E70,0)</f>
        <v>0</v>
      </c>
      <c r="N736" s="276">
        <f>ROUND(E75,0)</f>
        <v>116942261</v>
      </c>
      <c r="O736" s="276">
        <f>ROUND(E73,0)</f>
        <v>99241713</v>
      </c>
      <c r="P736" s="276">
        <f>IF(E76&gt;0,ROUND(E76,0),0)</f>
        <v>37811</v>
      </c>
      <c r="Q736" s="276">
        <f>IF(E77&gt;0,ROUND(E77,0),0)</f>
        <v>311422</v>
      </c>
      <c r="R736" s="276">
        <f>IF(E78&gt;0,ROUND(E78,0),0)</f>
        <v>21030</v>
      </c>
      <c r="S736" s="276">
        <f>IF(E79&gt;0,ROUND(E79,0),0)</f>
        <v>297092</v>
      </c>
      <c r="T736" s="278">
        <f>IF(E80&gt;0,ROUND(E80,2),0)</f>
        <v>118.7</v>
      </c>
      <c r="U736" s="276"/>
      <c r="V736" s="277"/>
      <c r="W736" s="276"/>
      <c r="X736" s="276"/>
      <c r="Y736" s="276">
        <f t="shared" si="21"/>
        <v>10214083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207*2018*6100*A</v>
      </c>
      <c r="B737" s="276">
        <f>ROUND(F59,0)</f>
        <v>1797</v>
      </c>
      <c r="C737" s="278">
        <f>ROUND(F60,2)</f>
        <v>28.67</v>
      </c>
      <c r="D737" s="276">
        <f>ROUND(F61,0)</f>
        <v>2598948</v>
      </c>
      <c r="E737" s="276">
        <f>ROUND(F62,0)</f>
        <v>593139</v>
      </c>
      <c r="F737" s="276">
        <f>ROUND(F63,0)</f>
        <v>0</v>
      </c>
      <c r="G737" s="276">
        <f>ROUND(F64,0)</f>
        <v>170059</v>
      </c>
      <c r="H737" s="276">
        <f>ROUND(F65,0)</f>
        <v>0</v>
      </c>
      <c r="I737" s="276">
        <f>ROUND(F66,0)</f>
        <v>13831</v>
      </c>
      <c r="J737" s="276">
        <f>ROUND(F67,0)</f>
        <v>268188</v>
      </c>
      <c r="K737" s="276">
        <f>ROUND(F68,0)</f>
        <v>3190</v>
      </c>
      <c r="L737" s="276">
        <f>ROUND(F69,0)</f>
        <v>15175</v>
      </c>
      <c r="M737" s="276">
        <f>ROUND(F70,0)</f>
        <v>0</v>
      </c>
      <c r="N737" s="276">
        <f>ROUND(F75,0)</f>
        <v>7808864</v>
      </c>
      <c r="O737" s="276">
        <f>ROUND(F73,0)</f>
        <v>7091297</v>
      </c>
      <c r="P737" s="276">
        <f>IF(F76&gt;0,ROUND(F76,0),0)</f>
        <v>13302</v>
      </c>
      <c r="Q737" s="276">
        <f>IF(F77&gt;0,ROUND(F77,0),0)</f>
        <v>20222</v>
      </c>
      <c r="R737" s="276">
        <f>IF(F78&gt;0,ROUND(F78,0),0)</f>
        <v>2271</v>
      </c>
      <c r="S737" s="276">
        <f>IF(F79&gt;0,ROUND(F79,0),0)</f>
        <v>57575</v>
      </c>
      <c r="T737" s="278">
        <f>IF(F80&gt;0,ROUND(F80,2),0)</f>
        <v>19.77</v>
      </c>
      <c r="U737" s="276"/>
      <c r="V737" s="277"/>
      <c r="W737" s="276"/>
      <c r="X737" s="276"/>
      <c r="Y737" s="276">
        <f t="shared" si="21"/>
        <v>811997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207*2018*6120*A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207*2018*6140*A</v>
      </c>
      <c r="B739" s="276">
        <f>ROUND(H59,0)</f>
        <v>4156</v>
      </c>
      <c r="C739" s="278">
        <f>ROUND(H60,2)</f>
        <v>22.44</v>
      </c>
      <c r="D739" s="276">
        <f>ROUND(H61,0)</f>
        <v>2358282</v>
      </c>
      <c r="E739" s="276">
        <f>ROUND(H62,0)</f>
        <v>538213</v>
      </c>
      <c r="F739" s="276">
        <f>ROUND(H63,0)</f>
        <v>0</v>
      </c>
      <c r="G739" s="276">
        <f>ROUND(H64,0)</f>
        <v>30455</v>
      </c>
      <c r="H739" s="276">
        <f>ROUND(H65,0)</f>
        <v>0</v>
      </c>
      <c r="I739" s="276">
        <f>ROUND(H66,0)</f>
        <v>4875</v>
      </c>
      <c r="J739" s="276">
        <f>ROUND(H67,0)</f>
        <v>140505</v>
      </c>
      <c r="K739" s="276">
        <f>ROUND(H68,0)</f>
        <v>1028</v>
      </c>
      <c r="L739" s="276">
        <f>ROUND(H69,0)</f>
        <v>1520</v>
      </c>
      <c r="M739" s="276">
        <f>ROUND(H70,0)</f>
        <v>0</v>
      </c>
      <c r="N739" s="276">
        <f>ROUND(H75,0)</f>
        <v>14726027</v>
      </c>
      <c r="O739" s="276">
        <f>ROUND(H73,0)</f>
        <v>13952291</v>
      </c>
      <c r="P739" s="276">
        <f>IF(H76&gt;0,ROUND(H76,0),0)</f>
        <v>6969</v>
      </c>
      <c r="Q739" s="276">
        <f>IF(H77&gt;0,ROUND(H77,0),0)</f>
        <v>48533</v>
      </c>
      <c r="R739" s="276">
        <f>IF(H78&gt;0,ROUND(H78,0),0)</f>
        <v>3586</v>
      </c>
      <c r="S739" s="276">
        <f>IF(H79&gt;0,ROUND(H79,0),0)</f>
        <v>12355</v>
      </c>
      <c r="T739" s="278">
        <f>IF(H80&gt;0,ROUND(H80,2),0)</f>
        <v>8.64</v>
      </c>
      <c r="U739" s="276"/>
      <c r="V739" s="277"/>
      <c r="W739" s="276"/>
      <c r="X739" s="276"/>
      <c r="Y739" s="276">
        <f t="shared" si="21"/>
        <v>1280395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207*2018*6150*A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207*2018*6170*A</v>
      </c>
      <c r="B741" s="276">
        <f>ROUND(J59,0)</f>
        <v>2108</v>
      </c>
      <c r="C741" s="278">
        <f>ROUND(J60,2)</f>
        <v>5.2</v>
      </c>
      <c r="D741" s="276">
        <f>ROUND(J61,0)</f>
        <v>513832</v>
      </c>
      <c r="E741" s="276">
        <f>ROUND(J62,0)</f>
        <v>117268</v>
      </c>
      <c r="F741" s="276">
        <f>ROUND(J63,0)</f>
        <v>739333</v>
      </c>
      <c r="G741" s="276">
        <f>ROUND(J64,0)</f>
        <v>48332</v>
      </c>
      <c r="H741" s="276">
        <f>ROUND(J65,0)</f>
        <v>0</v>
      </c>
      <c r="I741" s="276">
        <f>ROUND(J66,0)</f>
        <v>16276</v>
      </c>
      <c r="J741" s="276">
        <f>ROUND(J67,0)</f>
        <v>16290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4677388</v>
      </c>
      <c r="O741" s="276">
        <f>ROUND(J73,0)</f>
        <v>4670751</v>
      </c>
      <c r="P741" s="276">
        <f>IF(J76&gt;0,ROUND(J76,0),0)</f>
        <v>808</v>
      </c>
      <c r="Q741" s="276">
        <f>IF(J77&gt;0,ROUND(J77,0),0)</f>
        <v>0</v>
      </c>
      <c r="R741" s="276">
        <f>IF(J78&gt;0,ROUND(J78,0),0)</f>
        <v>57</v>
      </c>
      <c r="S741" s="276">
        <f>IF(J79&gt;0,ROUND(J79,0),0)</f>
        <v>2960</v>
      </c>
      <c r="T741" s="278">
        <f>IF(J80&gt;0,ROUND(J80,2),0)</f>
        <v>4.0999999999999996</v>
      </c>
      <c r="U741" s="276"/>
      <c r="V741" s="277"/>
      <c r="W741" s="276"/>
      <c r="X741" s="276"/>
      <c r="Y741" s="276">
        <f t="shared" si="21"/>
        <v>353818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207*2018*6200*A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207*2018*6210*A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207*2018*6330*A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207*2018*6400*A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207*2018*7010*A</v>
      </c>
      <c r="B746" s="276">
        <f>ROUND(O59,0)</f>
        <v>927</v>
      </c>
      <c r="C746" s="278">
        <f>ROUND(O60,2)</f>
        <v>13.84</v>
      </c>
      <c r="D746" s="276">
        <f>ROUND(O61,0)</f>
        <v>1712472</v>
      </c>
      <c r="E746" s="276">
        <f>ROUND(O62,0)</f>
        <v>390825</v>
      </c>
      <c r="F746" s="276">
        <f>ROUND(O63,0)</f>
        <v>248594</v>
      </c>
      <c r="G746" s="276">
        <f>ROUND(O64,0)</f>
        <v>198659</v>
      </c>
      <c r="H746" s="276">
        <f>ROUND(O65,0)</f>
        <v>0</v>
      </c>
      <c r="I746" s="276">
        <f>ROUND(O66,0)</f>
        <v>620</v>
      </c>
      <c r="J746" s="276">
        <f>ROUND(O67,0)</f>
        <v>29879</v>
      </c>
      <c r="K746" s="276">
        <f>ROUND(O68,0)</f>
        <v>0</v>
      </c>
      <c r="L746" s="276">
        <f>ROUND(O69,0)</f>
        <v>4500</v>
      </c>
      <c r="M746" s="276">
        <f>ROUND(O70,0)</f>
        <v>0</v>
      </c>
      <c r="N746" s="276">
        <f>ROUND(O75,0)</f>
        <v>12277595</v>
      </c>
      <c r="O746" s="276">
        <f>ROUND(O73,0)</f>
        <v>11650597</v>
      </c>
      <c r="P746" s="276">
        <f>IF(O76&gt;0,ROUND(O76,0),0)</f>
        <v>1482</v>
      </c>
      <c r="Q746" s="276">
        <f>IF(O77&gt;0,ROUND(O77,0),0)</f>
        <v>0</v>
      </c>
      <c r="R746" s="276">
        <f>IF(O78&gt;0,ROUND(O78,0),0)</f>
        <v>104</v>
      </c>
      <c r="S746" s="276">
        <f>IF(O79&gt;0,ROUND(O79,0),0)</f>
        <v>0</v>
      </c>
      <c r="T746" s="278">
        <f>IF(O80&gt;0,ROUND(O80,2),0)</f>
        <v>11.6</v>
      </c>
      <c r="U746" s="276"/>
      <c r="V746" s="277"/>
      <c r="W746" s="276"/>
      <c r="X746" s="276"/>
      <c r="Y746" s="276">
        <f t="shared" si="21"/>
        <v>833808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207*2018*7020*A</v>
      </c>
      <c r="B747" s="276">
        <f>ROUND(P59,0)</f>
        <v>571389</v>
      </c>
      <c r="C747" s="278">
        <f>ROUND(P60,2)</f>
        <v>31.68</v>
      </c>
      <c r="D747" s="276">
        <f>ROUND(P61,0)</f>
        <v>2981243</v>
      </c>
      <c r="E747" s="276">
        <f>ROUND(P62,0)</f>
        <v>680387</v>
      </c>
      <c r="F747" s="276">
        <f>ROUND(P63,0)</f>
        <v>179965</v>
      </c>
      <c r="G747" s="276">
        <f>ROUND(P64,0)</f>
        <v>8544885</v>
      </c>
      <c r="H747" s="276">
        <f>ROUND(P65,0)</f>
        <v>0</v>
      </c>
      <c r="I747" s="276">
        <f>ROUND(P66,0)</f>
        <v>423050</v>
      </c>
      <c r="J747" s="276">
        <f>ROUND(P67,0)</f>
        <v>305749</v>
      </c>
      <c r="K747" s="276">
        <f>ROUND(P68,0)</f>
        <v>24117</v>
      </c>
      <c r="L747" s="276">
        <f>ROUND(P69,0)</f>
        <v>7243</v>
      </c>
      <c r="M747" s="276">
        <f>ROUND(P70,0)</f>
        <v>0</v>
      </c>
      <c r="N747" s="276">
        <f>ROUND(P75,0)</f>
        <v>118797773</v>
      </c>
      <c r="O747" s="276">
        <f>ROUND(P73,0)</f>
        <v>45713987</v>
      </c>
      <c r="P747" s="276">
        <f>IF(P76&gt;0,ROUND(P76,0),0)</f>
        <v>15165</v>
      </c>
      <c r="Q747" s="276">
        <f>IF(P77&gt;0,ROUND(P77,0),0)</f>
        <v>0</v>
      </c>
      <c r="R747" s="276">
        <f>IF(P78&gt;0,ROUND(P78,0),0)</f>
        <v>1062</v>
      </c>
      <c r="S747" s="276">
        <f>IF(P79&gt;0,ROUND(P79,0),0)</f>
        <v>50710</v>
      </c>
      <c r="T747" s="278">
        <f>IF(P80&gt;0,ROUND(P80,2),0)</f>
        <v>18.54</v>
      </c>
      <c r="U747" s="276"/>
      <c r="V747" s="277"/>
      <c r="W747" s="276"/>
      <c r="X747" s="276"/>
      <c r="Y747" s="276">
        <f t="shared" si="21"/>
        <v>6437550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207*2018*7030*A</v>
      </c>
      <c r="B748" s="276">
        <f>ROUND(Q59,0)</f>
        <v>235023</v>
      </c>
      <c r="C748" s="278">
        <f>ROUND(Q60,2)</f>
        <v>16.309999999999999</v>
      </c>
      <c r="D748" s="276">
        <f>ROUND(Q61,0)</f>
        <v>1717923</v>
      </c>
      <c r="E748" s="276">
        <f>ROUND(Q62,0)</f>
        <v>392069</v>
      </c>
      <c r="F748" s="276">
        <f>ROUND(Q63,0)</f>
        <v>0</v>
      </c>
      <c r="G748" s="276">
        <f>ROUND(Q64,0)</f>
        <v>290162</v>
      </c>
      <c r="H748" s="276">
        <f>ROUND(Q65,0)</f>
        <v>0</v>
      </c>
      <c r="I748" s="276">
        <f>ROUND(Q66,0)</f>
        <v>1327</v>
      </c>
      <c r="J748" s="276">
        <f>ROUND(Q67,0)</f>
        <v>116412</v>
      </c>
      <c r="K748" s="276">
        <f>ROUND(Q68,0)</f>
        <v>0</v>
      </c>
      <c r="L748" s="276">
        <f>ROUND(Q69,0)</f>
        <v>1063</v>
      </c>
      <c r="M748" s="276">
        <f>ROUND(Q70,0)</f>
        <v>0</v>
      </c>
      <c r="N748" s="276">
        <f>ROUND(Q75,0)</f>
        <v>13297714</v>
      </c>
      <c r="O748" s="276">
        <f>ROUND(Q73,0)</f>
        <v>4989794</v>
      </c>
      <c r="P748" s="276">
        <f>IF(Q76&gt;0,ROUND(Q76,0),0)</f>
        <v>5774</v>
      </c>
      <c r="Q748" s="276">
        <f>IF(Q77&gt;0,ROUND(Q77,0),0)</f>
        <v>0</v>
      </c>
      <c r="R748" s="276">
        <f>IF(Q78&gt;0,ROUND(Q78,0),0)</f>
        <v>404</v>
      </c>
      <c r="S748" s="276">
        <f>IF(Q79&gt;0,ROUND(Q79,0),0)</f>
        <v>21728</v>
      </c>
      <c r="T748" s="278">
        <f>IF(Q80&gt;0,ROUND(Q80,2),0)</f>
        <v>12.61</v>
      </c>
      <c r="U748" s="276"/>
      <c r="V748" s="277"/>
      <c r="W748" s="276"/>
      <c r="X748" s="276"/>
      <c r="Y748" s="276">
        <f t="shared" si="21"/>
        <v>828157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207*2018*7040*A</v>
      </c>
      <c r="B749" s="276">
        <f>ROUND(R59,0)</f>
        <v>664142</v>
      </c>
      <c r="C749" s="278">
        <f>ROUND(R60,2)</f>
        <v>5.15</v>
      </c>
      <c r="D749" s="276">
        <f>ROUND(R61,0)</f>
        <v>111184</v>
      </c>
      <c r="E749" s="276">
        <f>ROUND(R62,0)</f>
        <v>25375</v>
      </c>
      <c r="F749" s="276">
        <f>ROUND(R63,0)</f>
        <v>1529235</v>
      </c>
      <c r="G749" s="276">
        <f>ROUND(R64,0)</f>
        <v>305722</v>
      </c>
      <c r="H749" s="276">
        <f>ROUND(R65,0)</f>
        <v>0</v>
      </c>
      <c r="I749" s="276">
        <f>ROUND(R66,0)</f>
        <v>10155</v>
      </c>
      <c r="J749" s="276">
        <f>ROUND(R67,0)</f>
        <v>6270</v>
      </c>
      <c r="K749" s="276">
        <f>ROUND(R68,0)</f>
        <v>4265</v>
      </c>
      <c r="L749" s="276">
        <f>ROUND(R69,0)</f>
        <v>0</v>
      </c>
      <c r="M749" s="276">
        <f>ROUND(R70,0)</f>
        <v>0</v>
      </c>
      <c r="N749" s="276">
        <f>ROUND(R75,0)</f>
        <v>24661345</v>
      </c>
      <c r="O749" s="276">
        <f>ROUND(R73,0)</f>
        <v>10239696</v>
      </c>
      <c r="P749" s="276">
        <f>IF(R76&gt;0,ROUND(R76,0),0)</f>
        <v>311</v>
      </c>
      <c r="Q749" s="276">
        <f>IF(R77&gt;0,ROUND(R77,0),0)</f>
        <v>0</v>
      </c>
      <c r="R749" s="276">
        <f>IF(R78&gt;0,ROUND(R78,0),0)</f>
        <v>22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1265034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207*2018*7050*A</v>
      </c>
      <c r="B750" s="276"/>
      <c r="C750" s="278">
        <f>ROUND(S60,2)</f>
        <v>23.99</v>
      </c>
      <c r="D750" s="276">
        <f>ROUND(S61,0)</f>
        <v>1028509</v>
      </c>
      <c r="E750" s="276">
        <f>ROUND(S62,0)</f>
        <v>234729</v>
      </c>
      <c r="F750" s="276">
        <f>ROUND(S63,0)</f>
        <v>0</v>
      </c>
      <c r="G750" s="276">
        <f>ROUND(S64,0)</f>
        <v>252853</v>
      </c>
      <c r="H750" s="276">
        <f>ROUND(S65,0)</f>
        <v>0</v>
      </c>
      <c r="I750" s="276">
        <f>ROUND(S66,0)</f>
        <v>34667</v>
      </c>
      <c r="J750" s="276">
        <f>ROUND(S67,0)</f>
        <v>115747</v>
      </c>
      <c r="K750" s="276">
        <f>ROUND(S68,0)</f>
        <v>64617</v>
      </c>
      <c r="L750" s="276">
        <f>ROUND(S69,0)</f>
        <v>2687</v>
      </c>
      <c r="M750" s="276">
        <f>ROUND(S70,0)</f>
        <v>0</v>
      </c>
      <c r="N750" s="276">
        <f>ROUND(S75,0)</f>
        <v>23728393</v>
      </c>
      <c r="O750" s="276">
        <f>ROUND(S73,0)</f>
        <v>10059127</v>
      </c>
      <c r="P750" s="276">
        <f>IF(S76&gt;0,ROUND(S76,0),0)</f>
        <v>5741</v>
      </c>
      <c r="Q750" s="276">
        <f>IF(S77&gt;0,ROUND(S77,0),0)</f>
        <v>0</v>
      </c>
      <c r="R750" s="276">
        <f>IF(S78&gt;0,ROUND(S78,0),0)</f>
        <v>402</v>
      </c>
      <c r="S750" s="276">
        <f>IF(S79&gt;0,ROUND(S79,0),0)</f>
        <v>7128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1133664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207*2018*7060*A</v>
      </c>
      <c r="B751" s="276"/>
      <c r="C751" s="278">
        <f>ROUND(T60,2)</f>
        <v>6.52</v>
      </c>
      <c r="D751" s="276">
        <f>ROUND(T61,0)</f>
        <v>477209</v>
      </c>
      <c r="E751" s="276">
        <f>ROUND(T62,0)</f>
        <v>108910</v>
      </c>
      <c r="F751" s="276">
        <f>ROUND(T63,0)</f>
        <v>0</v>
      </c>
      <c r="G751" s="276">
        <f>ROUND(T64,0)</f>
        <v>108335</v>
      </c>
      <c r="H751" s="276">
        <f>ROUND(T65,0)</f>
        <v>0</v>
      </c>
      <c r="I751" s="276">
        <f>ROUND(T66,0)</f>
        <v>-352</v>
      </c>
      <c r="J751" s="276">
        <f>ROUND(T67,0)</f>
        <v>3790</v>
      </c>
      <c r="K751" s="276">
        <f>ROUND(T68,0)</f>
        <v>0</v>
      </c>
      <c r="L751" s="276">
        <f>ROUND(T69,0)</f>
        <v>2552</v>
      </c>
      <c r="M751" s="276">
        <f>ROUND(T70,0)</f>
        <v>0</v>
      </c>
      <c r="N751" s="276">
        <f>ROUND(T75,0)</f>
        <v>2494441</v>
      </c>
      <c r="O751" s="276">
        <f>ROUND(T73,0)</f>
        <v>1531438</v>
      </c>
      <c r="P751" s="276">
        <f>IF(T76&gt;0,ROUND(T76,0),0)</f>
        <v>188</v>
      </c>
      <c r="Q751" s="276">
        <f>IF(T77&gt;0,ROUND(T77,0),0)</f>
        <v>0</v>
      </c>
      <c r="R751" s="276">
        <f>IF(T78&gt;0,ROUND(T78,0),0)</f>
        <v>13</v>
      </c>
      <c r="S751" s="276">
        <f>IF(T79&gt;0,ROUND(T79,0),0)</f>
        <v>0</v>
      </c>
      <c r="T751" s="278">
        <f>IF(T80&gt;0,ROUND(T80,2),0)</f>
        <v>4.5199999999999996</v>
      </c>
      <c r="U751" s="276"/>
      <c r="V751" s="277"/>
      <c r="W751" s="276"/>
      <c r="X751" s="276"/>
      <c r="Y751" s="276">
        <f t="shared" si="21"/>
        <v>207058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207*2018*7070*A</v>
      </c>
      <c r="B752" s="276">
        <f>ROUND(U59,0)</f>
        <v>721845</v>
      </c>
      <c r="C752" s="278">
        <f>ROUND(U60,2)</f>
        <v>49.23</v>
      </c>
      <c r="D752" s="276">
        <f>ROUND(U61,0)</f>
        <v>644438</v>
      </c>
      <c r="E752" s="276">
        <f>ROUND(U62,0)</f>
        <v>147075</v>
      </c>
      <c r="F752" s="276">
        <f>ROUND(U63,0)</f>
        <v>495493</v>
      </c>
      <c r="G752" s="276">
        <f>ROUND(U64,0)</f>
        <v>1853037</v>
      </c>
      <c r="H752" s="276">
        <f>ROUND(U65,0)</f>
        <v>0</v>
      </c>
      <c r="I752" s="276">
        <f>ROUND(U66,0)</f>
        <v>10765485</v>
      </c>
      <c r="J752" s="276">
        <f>ROUND(U67,0)</f>
        <v>143751</v>
      </c>
      <c r="K752" s="276">
        <f>ROUND(U68,0)</f>
        <v>0</v>
      </c>
      <c r="L752" s="276">
        <f>ROUND(U69,0)</f>
        <v>3715</v>
      </c>
      <c r="M752" s="276">
        <f>ROUND(U70,0)</f>
        <v>0</v>
      </c>
      <c r="N752" s="276">
        <f>ROUND(U75,0)</f>
        <v>97842123</v>
      </c>
      <c r="O752" s="276">
        <f>ROUND(U73,0)</f>
        <v>35784400</v>
      </c>
      <c r="P752" s="276">
        <f>IF(U76&gt;0,ROUND(U76,0),0)</f>
        <v>7130</v>
      </c>
      <c r="Q752" s="276">
        <f>IF(U77&gt;0,ROUND(U77,0),0)</f>
        <v>0</v>
      </c>
      <c r="R752" s="276">
        <f>IF(U78&gt;0,ROUND(U78,0),0)</f>
        <v>499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5486702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207*2018*7110*A</v>
      </c>
      <c r="B753" s="276">
        <f>ROUND(V59,0)</f>
        <v>2015</v>
      </c>
      <c r="C753" s="278">
        <f>ROUND(V60,2)</f>
        <v>5.2</v>
      </c>
      <c r="D753" s="276">
        <f>ROUND(V61,0)</f>
        <v>133307</v>
      </c>
      <c r="E753" s="276">
        <f>ROUND(V62,0)</f>
        <v>30424</v>
      </c>
      <c r="F753" s="276">
        <f>ROUND(V63,0)</f>
        <v>0</v>
      </c>
      <c r="G753" s="276">
        <f>ROUND(V64,0)</f>
        <v>44362</v>
      </c>
      <c r="H753" s="276">
        <f>ROUND(V65,0)</f>
        <v>0</v>
      </c>
      <c r="I753" s="276">
        <f>ROUND(V66,0)</f>
        <v>1174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2344727</v>
      </c>
      <c r="O753" s="276">
        <f>ROUND(V73,0)</f>
        <v>235710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4091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134282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207*2018*7120*A</v>
      </c>
      <c r="B754" s="276">
        <f>ROUND(W59,0)</f>
        <v>85632</v>
      </c>
      <c r="C754" s="278">
        <f>ROUND(W60,2)</f>
        <v>3.03</v>
      </c>
      <c r="D754" s="276">
        <f>ROUND(W61,0)</f>
        <v>107324</v>
      </c>
      <c r="E754" s="276">
        <f>ROUND(W62,0)</f>
        <v>24494</v>
      </c>
      <c r="F754" s="276">
        <f>ROUND(W63,0)</f>
        <v>12600</v>
      </c>
      <c r="G754" s="276">
        <f>ROUND(W64,0)</f>
        <v>117473</v>
      </c>
      <c r="H754" s="276">
        <f>ROUND(W65,0)</f>
        <v>0</v>
      </c>
      <c r="I754" s="276">
        <f>ROUND(W66,0)</f>
        <v>3286770</v>
      </c>
      <c r="J754" s="276">
        <f>ROUND(W67,0)</f>
        <v>41190</v>
      </c>
      <c r="K754" s="276">
        <f>ROUND(W68,0)</f>
        <v>0</v>
      </c>
      <c r="L754" s="276">
        <f>ROUND(W69,0)</f>
        <v>52</v>
      </c>
      <c r="M754" s="276">
        <f>ROUND(W70,0)</f>
        <v>0</v>
      </c>
      <c r="N754" s="276">
        <f>ROUND(W75,0)</f>
        <v>37546168</v>
      </c>
      <c r="O754" s="276">
        <f>ROUND(W73,0)</f>
        <v>5433855</v>
      </c>
      <c r="P754" s="276">
        <f>IF(W76&gt;0,ROUND(W76,0),0)</f>
        <v>2043</v>
      </c>
      <c r="Q754" s="276">
        <f>IF(W77&gt;0,ROUND(W77,0),0)</f>
        <v>0</v>
      </c>
      <c r="R754" s="276">
        <f>IF(W78&gt;0,ROUND(W78,0),0)</f>
        <v>143</v>
      </c>
      <c r="S754" s="276">
        <f>IF(W79&gt;0,ROUND(W79,0),0)</f>
        <v>11676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1944925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207*2018*7130*A</v>
      </c>
      <c r="B755" s="276">
        <f>ROUND(X59,0)</f>
        <v>128543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12600</v>
      </c>
      <c r="G755" s="276">
        <f>ROUND(X64,0)</f>
        <v>89193</v>
      </c>
      <c r="H755" s="276">
        <f>ROUND(X65,0)</f>
        <v>0</v>
      </c>
      <c r="I755" s="276">
        <f>ROUND(X66,0)</f>
        <v>4897630</v>
      </c>
      <c r="J755" s="276">
        <f>ROUND(X67,0)</f>
        <v>33448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73167446</v>
      </c>
      <c r="O755" s="276">
        <f>ROUND(X73,0)</f>
        <v>18475316</v>
      </c>
      <c r="P755" s="276">
        <f>IF(X76&gt;0,ROUND(X76,0),0)</f>
        <v>1659</v>
      </c>
      <c r="Q755" s="276">
        <f>IF(X77&gt;0,ROUND(X77,0),0)</f>
        <v>0</v>
      </c>
      <c r="R755" s="276">
        <f>IF(X78&gt;0,ROUND(X78,0),0)</f>
        <v>116</v>
      </c>
      <c r="S755" s="276">
        <f>IF(X79&gt;0,ROUND(X79,0),0)</f>
        <v>24332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3656728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207*2018*7140*A</v>
      </c>
      <c r="B756" s="276">
        <f>ROUND(Y59,0)</f>
        <v>152347</v>
      </c>
      <c r="C756" s="278">
        <f>ROUND(Y60,2)</f>
        <v>51.86</v>
      </c>
      <c r="D756" s="276">
        <f>ROUND(Y61,0)</f>
        <v>3425322</v>
      </c>
      <c r="E756" s="276">
        <f>ROUND(Y62,0)</f>
        <v>781736</v>
      </c>
      <c r="F756" s="276">
        <f>ROUND(Y63,0)</f>
        <v>32634</v>
      </c>
      <c r="G756" s="276">
        <f>ROUND(Y64,0)</f>
        <v>5349976</v>
      </c>
      <c r="H756" s="276">
        <f>ROUND(Y65,0)</f>
        <v>0</v>
      </c>
      <c r="I756" s="276">
        <f>ROUND(Y66,0)</f>
        <v>3055358</v>
      </c>
      <c r="J756" s="276">
        <f>ROUND(Y67,0)</f>
        <v>272059</v>
      </c>
      <c r="K756" s="276">
        <f>ROUND(Y68,0)</f>
        <v>8654</v>
      </c>
      <c r="L756" s="276">
        <f>ROUND(Y69,0)</f>
        <v>17958</v>
      </c>
      <c r="M756" s="276">
        <f>ROUND(Y70,0)</f>
        <v>0</v>
      </c>
      <c r="N756" s="276">
        <f>ROUND(Y75,0)</f>
        <v>115499062</v>
      </c>
      <c r="O756" s="276">
        <f>ROUND(Y73,0)</f>
        <v>40644447</v>
      </c>
      <c r="P756" s="276">
        <f>IF(Y76&gt;0,ROUND(Y76,0),0)</f>
        <v>13494</v>
      </c>
      <c r="Q756" s="276">
        <f>IF(Y77&gt;0,ROUND(Y77,0),0)</f>
        <v>0</v>
      </c>
      <c r="R756" s="276">
        <f>IF(Y78&gt;0,ROUND(Y78,0),0)</f>
        <v>945</v>
      </c>
      <c r="S756" s="276">
        <f>IF(Y79&gt;0,ROUND(Y79,0),0)</f>
        <v>22641</v>
      </c>
      <c r="T756" s="278">
        <f>IF(Y80&gt;0,ROUND(Y80,2),0)</f>
        <v>3.75</v>
      </c>
      <c r="U756" s="276"/>
      <c r="V756" s="277"/>
      <c r="W756" s="276"/>
      <c r="X756" s="276"/>
      <c r="Y756" s="276">
        <f t="shared" si="21"/>
        <v>6158127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207*2018*7150*A</v>
      </c>
      <c r="B757" s="276">
        <f>ROUND(Z59,0)</f>
        <v>13651</v>
      </c>
      <c r="C757" s="278">
        <f>ROUND(Z60,2)</f>
        <v>15.8</v>
      </c>
      <c r="D757" s="276">
        <f>ROUND(Z61,0)</f>
        <v>1214021</v>
      </c>
      <c r="E757" s="276">
        <f>ROUND(Z62,0)</f>
        <v>277067</v>
      </c>
      <c r="F757" s="276">
        <f>ROUND(Z63,0)</f>
        <v>52219</v>
      </c>
      <c r="G757" s="276">
        <f>ROUND(Z64,0)</f>
        <v>37383</v>
      </c>
      <c r="H757" s="276">
        <f>ROUND(Z65,0)</f>
        <v>0</v>
      </c>
      <c r="I757" s="276">
        <f>ROUND(Z66,0)</f>
        <v>1231528</v>
      </c>
      <c r="J757" s="276">
        <f>ROUND(Z67,0)</f>
        <v>131755</v>
      </c>
      <c r="K757" s="276">
        <f>ROUND(Z68,0)</f>
        <v>362996</v>
      </c>
      <c r="L757" s="276">
        <f>ROUND(Z69,0)</f>
        <v>895</v>
      </c>
      <c r="M757" s="276">
        <f>ROUND(Z70,0)</f>
        <v>0</v>
      </c>
      <c r="N757" s="276">
        <f>ROUND(Z75,0)</f>
        <v>37690178</v>
      </c>
      <c r="O757" s="276">
        <f>ROUND(Z73,0)</f>
        <v>402940</v>
      </c>
      <c r="P757" s="276">
        <f>IF(Z76&gt;0,ROUND(Z76,0),0)</f>
        <v>6535</v>
      </c>
      <c r="Q757" s="276">
        <f>IF(Z77&gt;0,ROUND(Z77,0),0)</f>
        <v>0</v>
      </c>
      <c r="R757" s="276">
        <f>IF(Z78&gt;0,ROUND(Z78,0),0)</f>
        <v>458</v>
      </c>
      <c r="S757" s="276">
        <f>IF(Z79&gt;0,ROUND(Z79,0),0)</f>
        <v>13840</v>
      </c>
      <c r="T757" s="278">
        <f>IF(Z80&gt;0,ROUND(Z80,2),0)</f>
        <v>1.28</v>
      </c>
      <c r="U757" s="276"/>
      <c r="V757" s="277"/>
      <c r="W757" s="276"/>
      <c r="X757" s="276"/>
      <c r="Y757" s="276">
        <f t="shared" si="21"/>
        <v>1870186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207*2018*7160*A</v>
      </c>
      <c r="B758" s="276">
        <f>ROUND(AA59,0)</f>
        <v>27793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151751</v>
      </c>
      <c r="H758" s="276">
        <f>ROUND(AA65,0)</f>
        <v>0</v>
      </c>
      <c r="I758" s="276">
        <f>ROUND(AA66,0)</f>
        <v>1065334</v>
      </c>
      <c r="J758" s="276">
        <f>ROUND(AA67,0)</f>
        <v>37924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10498068</v>
      </c>
      <c r="O758" s="276">
        <f>ROUND(AA73,0)</f>
        <v>1367487</v>
      </c>
      <c r="P758" s="276">
        <f>IF(AA76&gt;0,ROUND(AA76,0),0)</f>
        <v>1881</v>
      </c>
      <c r="Q758" s="276">
        <f>IF(AA77&gt;0,ROUND(AA77,0),0)</f>
        <v>0</v>
      </c>
      <c r="R758" s="276">
        <f>IF(AA78&gt;0,ROUND(AA78,0),0)</f>
        <v>132</v>
      </c>
      <c r="S758" s="276">
        <f>IF(AA79&gt;0,ROUND(AA79,0),0)</f>
        <v>7734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546276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207*2018*7170*A</v>
      </c>
      <c r="B759" s="276"/>
      <c r="C759" s="278">
        <f>ROUND(AB60,2)</f>
        <v>46.83</v>
      </c>
      <c r="D759" s="276">
        <f>ROUND(AB61,0)</f>
        <v>4746697</v>
      </c>
      <c r="E759" s="276">
        <f>ROUND(AB62,0)</f>
        <v>1083304</v>
      </c>
      <c r="F759" s="276">
        <f>ROUND(AB63,0)</f>
        <v>12075</v>
      </c>
      <c r="G759" s="276">
        <f>ROUND(AB64,0)</f>
        <v>24481759</v>
      </c>
      <c r="H759" s="276">
        <f>ROUND(AB65,0)</f>
        <v>22465</v>
      </c>
      <c r="I759" s="276">
        <f>ROUND(AB66,0)</f>
        <v>468417</v>
      </c>
      <c r="J759" s="276">
        <f>ROUND(AB67,0)</f>
        <v>158691</v>
      </c>
      <c r="K759" s="276">
        <f>ROUND(AB68,0)</f>
        <v>125377</v>
      </c>
      <c r="L759" s="276">
        <f>ROUND(AB69,0)</f>
        <v>100590</v>
      </c>
      <c r="M759" s="276">
        <f>ROUND(AB70,0)</f>
        <v>0</v>
      </c>
      <c r="N759" s="276">
        <f>ROUND(AB75,0)</f>
        <v>97214968</v>
      </c>
      <c r="O759" s="276">
        <f>ROUND(AB73,0)</f>
        <v>21456359</v>
      </c>
      <c r="P759" s="276">
        <f>IF(AB76&gt;0,ROUND(AB76,0),0)</f>
        <v>7871</v>
      </c>
      <c r="Q759" s="276">
        <f>IF(AB77&gt;0,ROUND(AB77,0),0)</f>
        <v>0</v>
      </c>
      <c r="R759" s="276">
        <f>IF(AB78&gt;0,ROUND(AB78,0),0)</f>
        <v>551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7263673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207*2018*7180*A</v>
      </c>
      <c r="B760" s="276">
        <f>ROUND(AC59,0)</f>
        <v>43391</v>
      </c>
      <c r="C760" s="278">
        <f>ROUND(AC60,2)</f>
        <v>18.02</v>
      </c>
      <c r="D760" s="276">
        <f>ROUND(AC61,0)</f>
        <v>1307901</v>
      </c>
      <c r="E760" s="276">
        <f>ROUND(AC62,0)</f>
        <v>298493</v>
      </c>
      <c r="F760" s="276">
        <f>ROUND(AC63,0)</f>
        <v>5525</v>
      </c>
      <c r="G760" s="276">
        <f>ROUND(AC64,0)</f>
        <v>144752</v>
      </c>
      <c r="H760" s="276">
        <f>ROUND(AC65,0)</f>
        <v>0</v>
      </c>
      <c r="I760" s="276">
        <f>ROUND(AC66,0)</f>
        <v>15521</v>
      </c>
      <c r="J760" s="276">
        <f>ROUND(AC67,0)</f>
        <v>34194</v>
      </c>
      <c r="K760" s="276">
        <f>ROUND(AC68,0)</f>
        <v>101828</v>
      </c>
      <c r="L760" s="276">
        <f>ROUND(AC69,0)</f>
        <v>2707</v>
      </c>
      <c r="M760" s="276">
        <f>ROUND(AC70,0)</f>
        <v>0</v>
      </c>
      <c r="N760" s="276">
        <f>ROUND(AC75,0)</f>
        <v>23006368</v>
      </c>
      <c r="O760" s="276">
        <f>ROUND(AC73,0)</f>
        <v>18720301</v>
      </c>
      <c r="P760" s="276">
        <f>IF(AC76&gt;0,ROUND(AC76,0),0)</f>
        <v>1696</v>
      </c>
      <c r="Q760" s="276">
        <f>IF(AC77&gt;0,ROUND(AC77,0),0)</f>
        <v>0</v>
      </c>
      <c r="R760" s="276">
        <f>IF(AC78&gt;0,ROUND(AC78,0),0)</f>
        <v>119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1175082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207*2018*7190*A</v>
      </c>
      <c r="B761" s="276">
        <f>ROUND(AD59,0)</f>
        <v>28450</v>
      </c>
      <c r="C761" s="278">
        <f>ROUND(AD60,2)</f>
        <v>9.6199999999999992</v>
      </c>
      <c r="D761" s="276">
        <f>ROUND(AD61,0)</f>
        <v>2301802</v>
      </c>
      <c r="E761" s="276">
        <f>ROUND(AD62,0)</f>
        <v>525323</v>
      </c>
      <c r="F761" s="276">
        <f>ROUND(AD63,0)</f>
        <v>117362</v>
      </c>
      <c r="G761" s="276">
        <f>ROUND(AD64,0)</f>
        <v>1456247</v>
      </c>
      <c r="H761" s="276">
        <f>ROUND(AD65,0)</f>
        <v>93290</v>
      </c>
      <c r="I761" s="276">
        <f>ROUND(AD66,0)</f>
        <v>200745</v>
      </c>
      <c r="J761" s="276">
        <f>ROUND(AD67,0)</f>
        <v>127501</v>
      </c>
      <c r="K761" s="276">
        <f>ROUND(AD68,0)</f>
        <v>32896</v>
      </c>
      <c r="L761" s="276">
        <f>ROUND(AD69,0)</f>
        <v>48196</v>
      </c>
      <c r="M761" s="276">
        <f>ROUND(AD70,0)</f>
        <v>0</v>
      </c>
      <c r="N761" s="276">
        <f>ROUND(AD75,0)</f>
        <v>32194960</v>
      </c>
      <c r="O761" s="276">
        <f>ROUND(AD73,0)</f>
        <v>2846370</v>
      </c>
      <c r="P761" s="276">
        <f>IF(AD76&gt;0,ROUND(AD76,0),0)</f>
        <v>6324</v>
      </c>
      <c r="Q761" s="276">
        <f>IF(AD77&gt;0,ROUND(AD77,0),0)</f>
        <v>0</v>
      </c>
      <c r="R761" s="276">
        <f>IF(AD78&gt;0,ROUND(AD78,0),0)</f>
        <v>443</v>
      </c>
      <c r="S761" s="276">
        <f>IF(AD79&gt;0,ROUND(AD79,0),0)</f>
        <v>0</v>
      </c>
      <c r="T761" s="278">
        <f>IF(AD80&gt;0,ROUND(AD80,2),0)</f>
        <v>4.7</v>
      </c>
      <c r="U761" s="276"/>
      <c r="V761" s="277"/>
      <c r="W761" s="276"/>
      <c r="X761" s="276"/>
      <c r="Y761" s="276">
        <f t="shared" si="21"/>
        <v>1788147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207*2018*7200*A</v>
      </c>
      <c r="B762" s="276">
        <f>ROUND(AE59,0)</f>
        <v>30833</v>
      </c>
      <c r="C762" s="278">
        <f>ROUND(AE60,2)</f>
        <v>14.38</v>
      </c>
      <c r="D762" s="276">
        <f>ROUND(AE61,0)</f>
        <v>1023245</v>
      </c>
      <c r="E762" s="276">
        <f>ROUND(AE62,0)</f>
        <v>233528</v>
      </c>
      <c r="F762" s="276">
        <f>ROUND(AE63,0)</f>
        <v>0</v>
      </c>
      <c r="G762" s="276">
        <f>ROUND(AE64,0)</f>
        <v>8068</v>
      </c>
      <c r="H762" s="276">
        <f>ROUND(AE65,0)</f>
        <v>0</v>
      </c>
      <c r="I762" s="276">
        <f>ROUND(AE66,0)</f>
        <v>6329</v>
      </c>
      <c r="J762" s="276">
        <f>ROUND(AE67,0)</f>
        <v>42964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5148481</v>
      </c>
      <c r="O762" s="276">
        <f>ROUND(AE73,0)</f>
        <v>2102030</v>
      </c>
      <c r="P762" s="276">
        <f>IF(AE76&gt;0,ROUND(AE76,0),0)</f>
        <v>2131</v>
      </c>
      <c r="Q762" s="276">
        <f>IF(AE77&gt;0,ROUND(AE77,0),0)</f>
        <v>0</v>
      </c>
      <c r="R762" s="276">
        <f>IF(AE78&gt;0,ROUND(AE78,0),0)</f>
        <v>149</v>
      </c>
      <c r="S762" s="276">
        <f>IF(AE79&gt;0,ROUND(AE79,0),0)</f>
        <v>2239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323097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207*2018*7220*A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207*2018*7230*A</v>
      </c>
      <c r="B764" s="276">
        <f>ROUND(AG59,0)</f>
        <v>34324</v>
      </c>
      <c r="C764" s="278">
        <f>ROUND(AG60,2)</f>
        <v>58.67</v>
      </c>
      <c r="D764" s="276">
        <f>ROUND(AG61,0)</f>
        <v>4785176</v>
      </c>
      <c r="E764" s="276">
        <f>ROUND(AG62,0)</f>
        <v>1092086</v>
      </c>
      <c r="F764" s="276">
        <f>ROUND(AG63,0)</f>
        <v>411091</v>
      </c>
      <c r="G764" s="276">
        <f>ROUND(AG64,0)</f>
        <v>690633</v>
      </c>
      <c r="H764" s="276">
        <f>ROUND(AG65,0)</f>
        <v>0</v>
      </c>
      <c r="I764" s="276">
        <f>ROUND(AG66,0)</f>
        <v>19280</v>
      </c>
      <c r="J764" s="276">
        <f>ROUND(AG67,0)</f>
        <v>191514</v>
      </c>
      <c r="K764" s="276">
        <f>ROUND(AG68,0)</f>
        <v>3190</v>
      </c>
      <c r="L764" s="276">
        <f>ROUND(AG69,0)</f>
        <v>2979</v>
      </c>
      <c r="M764" s="276">
        <f>ROUND(AG70,0)</f>
        <v>0</v>
      </c>
      <c r="N764" s="276">
        <f>ROUND(AG75,0)</f>
        <v>111870966</v>
      </c>
      <c r="O764" s="276">
        <f>ROUND(AG73,0)</f>
        <v>32582922</v>
      </c>
      <c r="P764" s="276">
        <f>IF(AG76&gt;0,ROUND(AG76,0),0)</f>
        <v>9499</v>
      </c>
      <c r="Q764" s="276">
        <f>IF(AG77&gt;0,ROUND(AG77,0),0)</f>
        <v>0</v>
      </c>
      <c r="R764" s="276">
        <f>IF(AG78&gt;0,ROUND(AG78,0),0)</f>
        <v>665</v>
      </c>
      <c r="S764" s="276">
        <f>IF(AG79&gt;0,ROUND(AG79,0),0)</f>
        <v>166285</v>
      </c>
      <c r="T764" s="278">
        <f>IF(AG80&gt;0,ROUND(AG80,2),0)</f>
        <v>39.42</v>
      </c>
      <c r="U764" s="276"/>
      <c r="V764" s="277"/>
      <c r="W764" s="276"/>
      <c r="X764" s="276"/>
      <c r="Y764" s="276">
        <f t="shared" si="21"/>
        <v>5913070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207*2018*7240*A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207*2018*7250*A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207*2018*7260*A</v>
      </c>
      <c r="B767" s="276">
        <f>ROUND(AJ59,0)</f>
        <v>31727</v>
      </c>
      <c r="C767" s="278">
        <f>ROUND(AJ60,2)</f>
        <v>35.15</v>
      </c>
      <c r="D767" s="276">
        <f>ROUND(AJ61,0)</f>
        <v>2076967</v>
      </c>
      <c r="E767" s="276">
        <f>ROUND(AJ62,0)</f>
        <v>474011</v>
      </c>
      <c r="F767" s="276">
        <f>ROUND(AJ63,0)</f>
        <v>2186739</v>
      </c>
      <c r="G767" s="276">
        <f>ROUND(AJ64,0)</f>
        <v>227236</v>
      </c>
      <c r="H767" s="276">
        <f>ROUND(AJ65,0)</f>
        <v>808</v>
      </c>
      <c r="I767" s="276">
        <f>ROUND(AJ66,0)</f>
        <v>41928</v>
      </c>
      <c r="J767" s="276">
        <f>ROUND(AJ67,0)</f>
        <v>347383</v>
      </c>
      <c r="K767" s="276">
        <f>ROUND(AJ68,0)</f>
        <v>471613</v>
      </c>
      <c r="L767" s="276">
        <f>ROUND(AJ69,0)</f>
        <v>119346</v>
      </c>
      <c r="M767" s="276">
        <f>ROUND(AJ70,0)</f>
        <v>0</v>
      </c>
      <c r="N767" s="276">
        <f>ROUND(AJ75,0)</f>
        <v>13943275</v>
      </c>
      <c r="O767" s="276">
        <f>ROUND(AJ73,0)</f>
        <v>144907</v>
      </c>
      <c r="P767" s="276">
        <f>IF(AJ76&gt;0,ROUND(AJ76,0),0)</f>
        <v>17230</v>
      </c>
      <c r="Q767" s="276">
        <f>IF(AJ77&gt;0,ROUND(AJ77,0),0)</f>
        <v>0</v>
      </c>
      <c r="R767" s="276">
        <f>IF(AJ78&gt;0,ROUND(AJ78,0),0)</f>
        <v>1207</v>
      </c>
      <c r="S767" s="276">
        <f>IF(AJ79&gt;0,ROUND(AJ79,0),0)</f>
        <v>0</v>
      </c>
      <c r="T767" s="278">
        <f>IF(AJ80&gt;0,ROUND(AJ80,2),0)</f>
        <v>10.25</v>
      </c>
      <c r="U767" s="276"/>
      <c r="V767" s="277"/>
      <c r="W767" s="276"/>
      <c r="X767" s="276"/>
      <c r="Y767" s="276">
        <f t="shared" si="21"/>
        <v>920253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207*2018*7310*A</v>
      </c>
      <c r="B768" s="276">
        <f>ROUND(AK59,0)</f>
        <v>4543</v>
      </c>
      <c r="C768" s="278">
        <f>ROUND(AK60,2)</f>
        <v>1.54</v>
      </c>
      <c r="D768" s="276">
        <f>ROUND(AK61,0)</f>
        <v>134533</v>
      </c>
      <c r="E768" s="276">
        <f>ROUND(AK62,0)</f>
        <v>30703</v>
      </c>
      <c r="F768" s="276">
        <f>ROUND(AK63,0)</f>
        <v>0</v>
      </c>
      <c r="G768" s="276">
        <f>ROUND(AK64,0)</f>
        <v>4009</v>
      </c>
      <c r="H768" s="276">
        <f>ROUND(AK65,0)</f>
        <v>0</v>
      </c>
      <c r="I768" s="276">
        <f>ROUND(AK66,0)</f>
        <v>0</v>
      </c>
      <c r="J768" s="276">
        <f>ROUND(AK67,0)</f>
        <v>5363</v>
      </c>
      <c r="K768" s="276">
        <f>ROUND(AK68,0)</f>
        <v>0</v>
      </c>
      <c r="L768" s="276">
        <f>ROUND(AK69,0)</f>
        <v>101</v>
      </c>
      <c r="M768" s="276">
        <f>ROUND(AK70,0)</f>
        <v>0</v>
      </c>
      <c r="N768" s="276">
        <f>ROUND(AK75,0)</f>
        <v>892304</v>
      </c>
      <c r="O768" s="276">
        <f>ROUND(AK73,0)</f>
        <v>397042</v>
      </c>
      <c r="P768" s="276">
        <f>IF(AK76&gt;0,ROUND(AK76,0),0)</f>
        <v>266</v>
      </c>
      <c r="Q768" s="276">
        <f>IF(AK77&gt;0,ROUND(AK77,0),0)</f>
        <v>0</v>
      </c>
      <c r="R768" s="276">
        <f>IF(AK78&gt;0,ROUND(AK78,0),0)</f>
        <v>19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51615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207*2018*7320*A</v>
      </c>
      <c r="B769" s="276">
        <f>ROUND(AL59,0)</f>
        <v>3798</v>
      </c>
      <c r="C769" s="278">
        <f>ROUND(AL60,2)</f>
        <v>3.14</v>
      </c>
      <c r="D769" s="276">
        <f>ROUND(AL61,0)</f>
        <v>229134</v>
      </c>
      <c r="E769" s="276">
        <f>ROUND(AL62,0)</f>
        <v>52294</v>
      </c>
      <c r="F769" s="276">
        <f>ROUND(AL63,0)</f>
        <v>0</v>
      </c>
      <c r="G769" s="276">
        <f>ROUND(AL64,0)</f>
        <v>2946</v>
      </c>
      <c r="H769" s="276">
        <f>ROUND(AL65,0)</f>
        <v>0</v>
      </c>
      <c r="I769" s="276">
        <f>ROUND(AL66,0)</f>
        <v>120</v>
      </c>
      <c r="J769" s="276">
        <f>ROUND(AL67,0)</f>
        <v>2540</v>
      </c>
      <c r="K769" s="276">
        <f>ROUND(AL68,0)</f>
        <v>0</v>
      </c>
      <c r="L769" s="276">
        <f>ROUND(AL69,0)</f>
        <v>2307</v>
      </c>
      <c r="M769" s="276">
        <f>ROUND(AL70,0)</f>
        <v>0</v>
      </c>
      <c r="N769" s="276">
        <f>ROUND(AL75,0)</f>
        <v>1736465</v>
      </c>
      <c r="O769" s="276">
        <f>ROUND(AL73,0)</f>
        <v>927306</v>
      </c>
      <c r="P769" s="276">
        <f>IF(AL76&gt;0,ROUND(AL76,0),0)</f>
        <v>126</v>
      </c>
      <c r="Q769" s="276">
        <f>IF(AL77&gt;0,ROUND(AL77,0),0)</f>
        <v>0</v>
      </c>
      <c r="R769" s="276">
        <f>IF(AL78&gt;0,ROUND(AL78,0),0)</f>
        <v>9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103645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207*2018*7330*A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207*2018*7340*A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207*2018*7350*A</v>
      </c>
      <c r="B772" s="276">
        <f>ROUND(AO59,0)</f>
        <v>5333</v>
      </c>
      <c r="C772" s="278">
        <f>ROUND(AO60,2)</f>
        <v>0</v>
      </c>
      <c r="D772" s="276">
        <f>ROUND(AO61,0)</f>
        <v>747132</v>
      </c>
      <c r="E772" s="276">
        <f>ROUND(AO62,0)</f>
        <v>170512</v>
      </c>
      <c r="F772" s="276">
        <f>ROUND(AO63,0)</f>
        <v>0</v>
      </c>
      <c r="G772" s="276">
        <f>ROUND(AO64,0)</f>
        <v>104088</v>
      </c>
      <c r="H772" s="276">
        <f>ROUND(AO65,0)</f>
        <v>0</v>
      </c>
      <c r="I772" s="276">
        <f>ROUND(AO66,0)</f>
        <v>0</v>
      </c>
      <c r="J772" s="276">
        <f>ROUND(AO67,0)</f>
        <v>49275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647687</v>
      </c>
      <c r="O772" s="276">
        <f>ROUND(AO73,0)</f>
        <v>86405</v>
      </c>
      <c r="P772" s="276">
        <f>IF(AO76&gt;0,ROUND(AO76,0),0)</f>
        <v>2444</v>
      </c>
      <c r="Q772" s="276">
        <f>IF(AO77&gt;0,ROUND(AO77,0),0)</f>
        <v>0</v>
      </c>
      <c r="R772" s="276">
        <f>IF(AO78&gt;0,ROUND(AO78,0),0)</f>
        <v>171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75814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207*2018*7380*A</v>
      </c>
      <c r="B773" s="276">
        <f>ROUND(AP59,0)</f>
        <v>303646</v>
      </c>
      <c r="C773" s="278">
        <f>ROUND(AP60,2)</f>
        <v>300.81</v>
      </c>
      <c r="D773" s="276">
        <f>ROUND(AP61,0)</f>
        <v>53034348</v>
      </c>
      <c r="E773" s="276">
        <f>ROUND(AP62,0)</f>
        <v>12103642</v>
      </c>
      <c r="F773" s="276">
        <f>ROUND(AP63,0)</f>
        <v>3025492</v>
      </c>
      <c r="G773" s="276">
        <f>ROUND(AP64,0)</f>
        <v>3247352</v>
      </c>
      <c r="H773" s="276">
        <f>ROUND(AP65,0)</f>
        <v>472052</v>
      </c>
      <c r="I773" s="276">
        <f>ROUND(AP66,0)</f>
        <v>764187</v>
      </c>
      <c r="J773" s="276">
        <f>ROUND(AP67,0)</f>
        <v>4106897</v>
      </c>
      <c r="K773" s="276">
        <f>ROUND(AP68,0)</f>
        <v>2309344</v>
      </c>
      <c r="L773" s="276">
        <f>ROUND(AP69,0)</f>
        <v>126492</v>
      </c>
      <c r="M773" s="276">
        <f>ROUND(AP70,0)</f>
        <v>0</v>
      </c>
      <c r="N773" s="276">
        <f>ROUND(AP75,0)</f>
        <v>143437657</v>
      </c>
      <c r="O773" s="276">
        <f>ROUND(AP73,0)</f>
        <v>254631</v>
      </c>
      <c r="P773" s="276">
        <f>IF(AP76&gt;0,ROUND(AP76,0),0)</f>
        <v>203700</v>
      </c>
      <c r="Q773" s="276">
        <f>IF(AP77&gt;0,ROUND(AP77,0),0)</f>
        <v>0</v>
      </c>
      <c r="R773" s="276">
        <f>IF(AP78&gt;0,ROUND(AP78,0),0)</f>
        <v>14266</v>
      </c>
      <c r="S773" s="276">
        <f>IF(AP79&gt;0,ROUND(AP79,0),0)</f>
        <v>0</v>
      </c>
      <c r="T773" s="278">
        <f>IF(AP80&gt;0,ROUND(AP80,2),0)</f>
        <v>41.79</v>
      </c>
      <c r="U773" s="276"/>
      <c r="V773" s="277"/>
      <c r="W773" s="276"/>
      <c r="X773" s="276"/>
      <c r="Y773" s="276">
        <f t="shared" si="21"/>
        <v>10024918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207*2018*7390*A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207*2018*7400*A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207*2018*7410*A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207*2018*7420*A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207*2018*7430*A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207*2018*7490*A</v>
      </c>
      <c r="B779" s="276"/>
      <c r="C779" s="278">
        <f>ROUND(AV60,2)</f>
        <v>90.19</v>
      </c>
      <c r="D779" s="276">
        <f>ROUND(AV61,0)</f>
        <v>7515682</v>
      </c>
      <c r="E779" s="276">
        <f>ROUND(AV62,0)</f>
        <v>1715249</v>
      </c>
      <c r="F779" s="276">
        <f>ROUND(AV63,0)</f>
        <v>142922</v>
      </c>
      <c r="G779" s="276">
        <f>ROUND(AV64,0)</f>
        <v>1158286</v>
      </c>
      <c r="H779" s="276">
        <f>ROUND(AV65,0)</f>
        <v>0</v>
      </c>
      <c r="I779" s="276">
        <f>ROUND(AV66,0)</f>
        <v>198338</v>
      </c>
      <c r="J779" s="276">
        <f>ROUND(AV67,0)</f>
        <v>464662</v>
      </c>
      <c r="K779" s="276">
        <f>ROUND(AV68,0)</f>
        <v>159378</v>
      </c>
      <c r="L779" s="276">
        <f>ROUND(AV69,0)</f>
        <v>211215</v>
      </c>
      <c r="M779" s="276">
        <f>ROUND(AV70,0)</f>
        <v>0</v>
      </c>
      <c r="N779" s="276">
        <f>ROUND(AV75,0)</f>
        <v>47900749</v>
      </c>
      <c r="O779" s="276">
        <f>ROUND(AV73,0)</f>
        <v>3963331</v>
      </c>
      <c r="P779" s="276">
        <f>IF(AV76&gt;0,ROUND(AV76,0),0)</f>
        <v>23047</v>
      </c>
      <c r="Q779" s="276">
        <f>IF(AV77&gt;0,ROUND(AV77,0),0)</f>
        <v>0</v>
      </c>
      <c r="R779" s="276">
        <f>IF(AV78&gt;0,ROUND(AV78,0),0)</f>
        <v>1161</v>
      </c>
      <c r="S779" s="276">
        <f>IF(AV79&gt;0,ROUND(AV79,0),0)</f>
        <v>44845</v>
      </c>
      <c r="T779" s="278">
        <f>IF(AV80&gt;0,ROUND(AV80,2),0)</f>
        <v>20.05</v>
      </c>
      <c r="U779" s="276"/>
      <c r="V779" s="277"/>
      <c r="W779" s="276"/>
      <c r="X779" s="276"/>
      <c r="Y779" s="276">
        <f t="shared" si="21"/>
        <v>2979813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207*2018*8200*A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207*2018*8310*A</v>
      </c>
      <c r="B781" s="276"/>
      <c r="C781" s="278">
        <f>ROUND(AX60,2)</f>
        <v>0</v>
      </c>
      <c r="D781" s="276">
        <f>ROUND(AX61,0)</f>
        <v>14193</v>
      </c>
      <c r="E781" s="276">
        <f>ROUND(AX62,0)</f>
        <v>3239</v>
      </c>
      <c r="F781" s="276">
        <f>ROUND(AX63,0)</f>
        <v>10156</v>
      </c>
      <c r="G781" s="276">
        <f>ROUND(AX64,0)</f>
        <v>15193</v>
      </c>
      <c r="H781" s="276">
        <f>ROUND(AX65,0)</f>
        <v>0</v>
      </c>
      <c r="I781" s="276">
        <f>ROUND(AX66,0)</f>
        <v>40085</v>
      </c>
      <c r="J781" s="276">
        <f>ROUND(AX67,0)</f>
        <v>0</v>
      </c>
      <c r="K781" s="276">
        <f>ROUND(AX68,0)</f>
        <v>289722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207*2018*8320*A</v>
      </c>
      <c r="B782" s="276">
        <f>ROUND(AY59,0)</f>
        <v>404444</v>
      </c>
      <c r="C782" s="278">
        <f>ROUND(AY60,2)</f>
        <v>32.869999999999997</v>
      </c>
      <c r="D782" s="276">
        <f>ROUND(AY61,0)</f>
        <v>1214093</v>
      </c>
      <c r="E782" s="276">
        <f>ROUND(AY62,0)</f>
        <v>277084</v>
      </c>
      <c r="F782" s="276">
        <f>ROUND(AY63,0)</f>
        <v>0</v>
      </c>
      <c r="G782" s="276">
        <f>ROUND(AY64,0)</f>
        <v>-497975</v>
      </c>
      <c r="H782" s="276">
        <f>ROUND(AY65,0)</f>
        <v>323</v>
      </c>
      <c r="I782" s="276">
        <f>ROUND(AY66,0)</f>
        <v>1031332</v>
      </c>
      <c r="J782" s="276">
        <f>ROUND(AY67,0)</f>
        <v>179699</v>
      </c>
      <c r="K782" s="276">
        <f>ROUND(AY68,0)</f>
        <v>236</v>
      </c>
      <c r="L782" s="276">
        <f>ROUND(AY69,0)</f>
        <v>509</v>
      </c>
      <c r="M782" s="276">
        <f>ROUND(AY70,0)</f>
        <v>0</v>
      </c>
      <c r="N782" s="276"/>
      <c r="O782" s="276"/>
      <c r="P782" s="276">
        <f>IF(AY76&gt;0,ROUND(AY76,0),0)</f>
        <v>8913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207*2018*8330*A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207*2018*8350*A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804890</v>
      </c>
      <c r="J784" s="276">
        <f>ROUND(BA67,0)</f>
        <v>25303</v>
      </c>
      <c r="K784" s="276">
        <f>ROUND(BA68,0)</f>
        <v>1247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1255</v>
      </c>
      <c r="Q784" s="276">
        <f>IF(BA77&gt;0,ROUND(BA77,0),0)</f>
        <v>0</v>
      </c>
      <c r="R784" s="276">
        <f>IF(BA78&gt;0,ROUND(BA78,0),0)</f>
        <v>88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207*2018*8360*A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207*2018*8370*A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22202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207*2018*8420*A</v>
      </c>
      <c r="B787" s="276"/>
      <c r="C787" s="278">
        <f>ROUND(BD60,2)</f>
        <v>9.4499999999999993</v>
      </c>
      <c r="D787" s="276">
        <f>ROUND(BD61,0)</f>
        <v>490741</v>
      </c>
      <c r="E787" s="276">
        <f>ROUND(BD62,0)</f>
        <v>111998</v>
      </c>
      <c r="F787" s="276">
        <f>ROUND(BD63,0)</f>
        <v>10092</v>
      </c>
      <c r="G787" s="276">
        <f>ROUND(BD64,0)</f>
        <v>29421</v>
      </c>
      <c r="H787" s="276">
        <f>ROUND(BD65,0)</f>
        <v>43</v>
      </c>
      <c r="I787" s="276">
        <f>ROUND(BD66,0)</f>
        <v>16696</v>
      </c>
      <c r="J787" s="276">
        <f>ROUND(BD67,0)</f>
        <v>122380</v>
      </c>
      <c r="K787" s="276">
        <f>ROUND(BD68,0)</f>
        <v>0</v>
      </c>
      <c r="L787" s="276">
        <f>ROUND(BD69,0)</f>
        <v>70670</v>
      </c>
      <c r="M787" s="276">
        <f>ROUND(BD70,0)</f>
        <v>0</v>
      </c>
      <c r="N787" s="276"/>
      <c r="O787" s="276"/>
      <c r="P787" s="276">
        <f>IF(BD76&gt;0,ROUND(BD76,0),0)</f>
        <v>6070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207*2018*8430*A</v>
      </c>
      <c r="B788" s="276">
        <f>ROUND(BE59,0)</f>
        <v>794314</v>
      </c>
      <c r="C788" s="278">
        <f>ROUND(BE60,2)</f>
        <v>21.72</v>
      </c>
      <c r="D788" s="276">
        <f>ROUND(BE61,0)</f>
        <v>1861244</v>
      </c>
      <c r="E788" s="276">
        <f>ROUND(BE62,0)</f>
        <v>424778</v>
      </c>
      <c r="F788" s="276">
        <f>ROUND(BE63,0)</f>
        <v>76436</v>
      </c>
      <c r="G788" s="276">
        <f>ROUND(BE64,0)</f>
        <v>305595</v>
      </c>
      <c r="H788" s="276">
        <f>ROUND(BE65,0)</f>
        <v>0</v>
      </c>
      <c r="I788" s="276">
        <f>ROUND(BE66,0)</f>
        <v>2702797</v>
      </c>
      <c r="J788" s="276">
        <f>ROUND(BE67,0)</f>
        <v>4517547</v>
      </c>
      <c r="K788" s="276">
        <f>ROUND(BE68,0)</f>
        <v>1255</v>
      </c>
      <c r="L788" s="276">
        <f>ROUND(BE69,0)</f>
        <v>14251</v>
      </c>
      <c r="M788" s="276">
        <f>ROUND(BE70,0)</f>
        <v>0</v>
      </c>
      <c r="N788" s="276"/>
      <c r="O788" s="276"/>
      <c r="P788" s="276">
        <f>IF(BE76&gt;0,ROUND(BE76,0),0)</f>
        <v>224068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207*2018*8460*A</v>
      </c>
      <c r="B789" s="276"/>
      <c r="C789" s="278">
        <f>ROUND(BF60,2)</f>
        <v>33.85</v>
      </c>
      <c r="D789" s="276">
        <f>ROUND(BF61,0)</f>
        <v>1259808</v>
      </c>
      <c r="E789" s="276">
        <f>ROUND(BF62,0)</f>
        <v>287517</v>
      </c>
      <c r="F789" s="276">
        <f>ROUND(BF63,0)</f>
        <v>0</v>
      </c>
      <c r="G789" s="276">
        <f>ROUND(BF64,0)</f>
        <v>215672</v>
      </c>
      <c r="H789" s="276">
        <f>ROUND(BF65,0)</f>
        <v>0</v>
      </c>
      <c r="I789" s="276">
        <f>ROUND(BF66,0)</f>
        <v>383784</v>
      </c>
      <c r="J789" s="276">
        <f>ROUND(BF67,0)</f>
        <v>68146</v>
      </c>
      <c r="K789" s="276">
        <f>ROUND(BF68,0)</f>
        <v>0</v>
      </c>
      <c r="L789" s="276">
        <f>ROUND(BF69,0)</f>
        <v>52</v>
      </c>
      <c r="M789" s="276">
        <f>ROUND(BF70,0)</f>
        <v>0</v>
      </c>
      <c r="N789" s="276"/>
      <c r="O789" s="276"/>
      <c r="P789" s="276">
        <f>IF(BF76&gt;0,ROUND(BF76,0),0)</f>
        <v>3380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207*2018*8470*A</v>
      </c>
      <c r="B790" s="276"/>
      <c r="C790" s="278">
        <f>ROUND(BG60,2)</f>
        <v>0</v>
      </c>
      <c r="D790" s="276">
        <f>ROUND(BG61,0)</f>
        <v>1109769</v>
      </c>
      <c r="E790" s="276">
        <f>ROUND(BG62,0)</f>
        <v>253274</v>
      </c>
      <c r="F790" s="276">
        <f>ROUND(BG63,0)</f>
        <v>0</v>
      </c>
      <c r="G790" s="276">
        <f>ROUND(BG64,0)</f>
        <v>15313</v>
      </c>
      <c r="H790" s="276">
        <f>ROUND(BG65,0)</f>
        <v>0</v>
      </c>
      <c r="I790" s="276">
        <f>ROUND(BG66,0)</f>
        <v>5296</v>
      </c>
      <c r="J790" s="276">
        <f>ROUND(BG67,0)</f>
        <v>0</v>
      </c>
      <c r="K790" s="276">
        <f>ROUND(BG68,0)</f>
        <v>0</v>
      </c>
      <c r="L790" s="276">
        <f>ROUND(BG69,0)</f>
        <v>10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207*2018*8480*A</v>
      </c>
      <c r="B791" s="276"/>
      <c r="C791" s="278">
        <f>ROUND(BH60,2)</f>
        <v>125.2</v>
      </c>
      <c r="D791" s="276">
        <f>ROUND(BH61,0)</f>
        <v>9979647</v>
      </c>
      <c r="E791" s="276">
        <f>ROUND(BH62,0)</f>
        <v>2277582</v>
      </c>
      <c r="F791" s="276">
        <f>ROUND(BH63,0)</f>
        <v>547793</v>
      </c>
      <c r="G791" s="276">
        <f>ROUND(BH64,0)</f>
        <v>391979</v>
      </c>
      <c r="H791" s="276">
        <f>ROUND(BH65,0)</f>
        <v>10191</v>
      </c>
      <c r="I791" s="276">
        <f>ROUND(BH66,0)</f>
        <v>10451154</v>
      </c>
      <c r="J791" s="276">
        <f>ROUND(BH67,0)</f>
        <v>179679</v>
      </c>
      <c r="K791" s="276">
        <f>ROUND(BH68,0)</f>
        <v>203943</v>
      </c>
      <c r="L791" s="276">
        <f>ROUND(BH69,0)</f>
        <v>2080826</v>
      </c>
      <c r="M791" s="276">
        <f>ROUND(BH70,0)</f>
        <v>0</v>
      </c>
      <c r="N791" s="276"/>
      <c r="O791" s="276"/>
      <c r="P791" s="276">
        <f>IF(BH76&gt;0,ROUND(BH76,0),0)</f>
        <v>8912</v>
      </c>
      <c r="Q791" s="276">
        <f>IF(BH77&gt;0,ROUND(BH77,0),0)</f>
        <v>0</v>
      </c>
      <c r="R791" s="276">
        <f>IF(BH78&gt;0,ROUND(BH78,0),0)</f>
        <v>624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207*2018*8490*A</v>
      </c>
      <c r="B792" s="276"/>
      <c r="C792" s="278">
        <f>ROUND(BI60,2)</f>
        <v>11.41</v>
      </c>
      <c r="D792" s="276">
        <f>ROUND(BI61,0)</f>
        <v>427256</v>
      </c>
      <c r="E792" s="276">
        <f>ROUND(BI62,0)</f>
        <v>97510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30545</v>
      </c>
      <c r="K792" s="276">
        <f>ROUND(BI68,0)</f>
        <v>0</v>
      </c>
      <c r="L792" s="276">
        <f>ROUND(BI69,0)</f>
        <v>1497</v>
      </c>
      <c r="M792" s="276">
        <f>ROUND(BI70,0)</f>
        <v>0</v>
      </c>
      <c r="N792" s="276"/>
      <c r="O792" s="276"/>
      <c r="P792" s="276">
        <f>IF(BI76&gt;0,ROUND(BI76,0),0)</f>
        <v>1515</v>
      </c>
      <c r="Q792" s="276">
        <f>IF(BI77&gt;0,ROUND(BI77,0),0)</f>
        <v>0</v>
      </c>
      <c r="R792" s="276">
        <f>IF(BI78&gt;0,ROUND(BI78,0),0)</f>
        <v>106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207*2018*8510*A</v>
      </c>
      <c r="B793" s="276"/>
      <c r="C793" s="278">
        <f>ROUND(BJ60,2)</f>
        <v>16.95</v>
      </c>
      <c r="D793" s="276">
        <f>ROUND(BJ61,0)</f>
        <v>1419809</v>
      </c>
      <c r="E793" s="276">
        <f>ROUND(BJ62,0)</f>
        <v>324033</v>
      </c>
      <c r="F793" s="276">
        <f>ROUND(BJ63,0)</f>
        <v>21770</v>
      </c>
      <c r="G793" s="276">
        <f>ROUND(BJ64,0)</f>
        <v>6595</v>
      </c>
      <c r="H793" s="276">
        <f>ROUND(BJ65,0)</f>
        <v>0</v>
      </c>
      <c r="I793" s="276">
        <f>ROUND(BJ66,0)</f>
        <v>49210</v>
      </c>
      <c r="J793" s="276">
        <f>ROUND(BJ67,0)</f>
        <v>197603</v>
      </c>
      <c r="K793" s="276">
        <f>ROUND(BJ68,0)</f>
        <v>0</v>
      </c>
      <c r="L793" s="276">
        <f>ROUND(BJ69,0)</f>
        <v>2318</v>
      </c>
      <c r="M793" s="276">
        <f>ROUND(BJ70,0)</f>
        <v>0</v>
      </c>
      <c r="N793" s="276"/>
      <c r="O793" s="276"/>
      <c r="P793" s="276">
        <f>IF(BJ76&gt;0,ROUND(BJ76,0),0)</f>
        <v>9801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207*2018*8530*A</v>
      </c>
      <c r="B794" s="276"/>
      <c r="C794" s="278">
        <f>ROUND(BK60,2)</f>
        <v>65.28</v>
      </c>
      <c r="D794" s="276">
        <f>ROUND(BK61,0)</f>
        <v>3326283</v>
      </c>
      <c r="E794" s="276">
        <f>ROUND(BK62,0)</f>
        <v>759133</v>
      </c>
      <c r="F794" s="276">
        <f>ROUND(BK63,0)</f>
        <v>9956</v>
      </c>
      <c r="G794" s="276">
        <f>ROUND(BK64,0)</f>
        <v>25341</v>
      </c>
      <c r="H794" s="276">
        <f>ROUND(BK65,0)</f>
        <v>0</v>
      </c>
      <c r="I794" s="276">
        <f>ROUND(BK66,0)</f>
        <v>1631931</v>
      </c>
      <c r="J794" s="276">
        <f>ROUND(BK67,0)</f>
        <v>39295</v>
      </c>
      <c r="K794" s="276">
        <f>ROUND(BK68,0)</f>
        <v>0</v>
      </c>
      <c r="L794" s="276">
        <f>ROUND(BK69,0)</f>
        <v>3620</v>
      </c>
      <c r="M794" s="276">
        <f>ROUND(BK70,0)</f>
        <v>0</v>
      </c>
      <c r="N794" s="276"/>
      <c r="O794" s="276"/>
      <c r="P794" s="276">
        <f>IF(BK76&gt;0,ROUND(BK76,0),0)</f>
        <v>1949</v>
      </c>
      <c r="Q794" s="276">
        <f>IF(BK77&gt;0,ROUND(BK77,0),0)</f>
        <v>0</v>
      </c>
      <c r="R794" s="276">
        <f>IF(BK78&gt;0,ROUND(BK78,0),0)</f>
        <v>136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207*2018*8560*A</v>
      </c>
      <c r="B795" s="276"/>
      <c r="C795" s="278">
        <f>ROUND(BL60,2)</f>
        <v>57.25</v>
      </c>
      <c r="D795" s="276">
        <f>ROUND(BL61,0)</f>
        <v>2604250</v>
      </c>
      <c r="E795" s="276">
        <f>ROUND(BL62,0)</f>
        <v>594349</v>
      </c>
      <c r="F795" s="276">
        <f>ROUND(BL63,0)</f>
        <v>0</v>
      </c>
      <c r="G795" s="276">
        <f>ROUND(BL64,0)</f>
        <v>24995</v>
      </c>
      <c r="H795" s="276">
        <f>ROUND(BL65,0)</f>
        <v>0</v>
      </c>
      <c r="I795" s="276">
        <f>ROUND(BL66,0)</f>
        <v>187676</v>
      </c>
      <c r="J795" s="276">
        <f>ROUND(BL67,0)</f>
        <v>55021</v>
      </c>
      <c r="K795" s="276">
        <f>ROUND(BL68,0)</f>
        <v>0</v>
      </c>
      <c r="L795" s="276">
        <f>ROUND(BL69,0)</f>
        <v>15377</v>
      </c>
      <c r="M795" s="276">
        <f>ROUND(BL70,0)</f>
        <v>0</v>
      </c>
      <c r="N795" s="276"/>
      <c r="O795" s="276"/>
      <c r="P795" s="276">
        <f>IF(BL76&gt;0,ROUND(BL76,0),0)</f>
        <v>2729</v>
      </c>
      <c r="Q795" s="276">
        <f>IF(BL77&gt;0,ROUND(BL77,0),0)</f>
        <v>0</v>
      </c>
      <c r="R795" s="276">
        <f>IF(BL78&gt;0,ROUND(BL78,0),0)</f>
        <v>191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207*2018*8590*A</v>
      </c>
      <c r="B796" s="276"/>
      <c r="C796" s="278">
        <f>ROUND(BM60,2)</f>
        <v>29.5</v>
      </c>
      <c r="D796" s="276">
        <f>ROUND(BM61,0)</f>
        <v>754971</v>
      </c>
      <c r="E796" s="276">
        <f>ROUND(BM62,0)</f>
        <v>172302</v>
      </c>
      <c r="F796" s="276">
        <f>ROUND(BM63,0)</f>
        <v>542513</v>
      </c>
      <c r="G796" s="276">
        <f>ROUND(BM64,0)</f>
        <v>623</v>
      </c>
      <c r="H796" s="276">
        <f>ROUND(BM65,0)</f>
        <v>0</v>
      </c>
      <c r="I796" s="276">
        <f>ROUND(BM66,0)</f>
        <v>409601</v>
      </c>
      <c r="J796" s="276">
        <f>ROUND(BM67,0)</f>
        <v>0</v>
      </c>
      <c r="K796" s="276">
        <f>ROUND(BM68,0)</f>
        <v>0</v>
      </c>
      <c r="L796" s="276">
        <f>ROUND(BM69,0)</f>
        <v>10234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207*2018*8610*A</v>
      </c>
      <c r="B797" s="276"/>
      <c r="C797" s="278">
        <f>ROUND(BN60,2)</f>
        <v>18.399999999999999</v>
      </c>
      <c r="D797" s="276">
        <f>ROUND(BN61,0)</f>
        <v>4158282</v>
      </c>
      <c r="E797" s="276">
        <f>ROUND(BN62,0)</f>
        <v>949014</v>
      </c>
      <c r="F797" s="276">
        <f>ROUND(BN63,0)</f>
        <v>389766</v>
      </c>
      <c r="G797" s="276">
        <f>ROUND(BN64,0)</f>
        <v>54186</v>
      </c>
      <c r="H797" s="276">
        <f>ROUND(BN65,0)</f>
        <v>0</v>
      </c>
      <c r="I797" s="276">
        <f>ROUND(BN66,0)</f>
        <v>416787</v>
      </c>
      <c r="J797" s="276">
        <f>ROUND(BN67,0)</f>
        <v>101049</v>
      </c>
      <c r="K797" s="276">
        <f>ROUND(BN68,0)</f>
        <v>3822</v>
      </c>
      <c r="L797" s="276">
        <f>ROUND(BN69,0)</f>
        <v>633464</v>
      </c>
      <c r="M797" s="276">
        <f>ROUND(BN70,0)</f>
        <v>0</v>
      </c>
      <c r="N797" s="276"/>
      <c r="O797" s="276"/>
      <c r="P797" s="276">
        <f>IF(BN76&gt;0,ROUND(BN76,0),0)</f>
        <v>5012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207*2018*8620*A</v>
      </c>
      <c r="B798" s="276"/>
      <c r="C798" s="278">
        <f>ROUND(BO60,2)</f>
        <v>2.37</v>
      </c>
      <c r="D798" s="276">
        <f>ROUND(BO61,0)</f>
        <v>152287</v>
      </c>
      <c r="E798" s="276">
        <f>ROUND(BO62,0)</f>
        <v>34755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207*2018*8630*A</v>
      </c>
      <c r="B799" s="276"/>
      <c r="C799" s="278">
        <f>ROUND(BP60,2)</f>
        <v>5.74</v>
      </c>
      <c r="D799" s="276">
        <f>ROUND(BP61,0)</f>
        <v>1086727</v>
      </c>
      <c r="E799" s="276">
        <f>ROUND(BP62,0)</f>
        <v>248016</v>
      </c>
      <c r="F799" s="276">
        <f>ROUND(BP63,0)</f>
        <v>0</v>
      </c>
      <c r="G799" s="276">
        <f>ROUND(BP64,0)</f>
        <v>103508</v>
      </c>
      <c r="H799" s="276">
        <f>ROUND(BP65,0)</f>
        <v>0</v>
      </c>
      <c r="I799" s="276">
        <f>ROUND(BP66,0)</f>
        <v>1497200</v>
      </c>
      <c r="J799" s="276">
        <f>ROUND(BP67,0)</f>
        <v>9415</v>
      </c>
      <c r="K799" s="276">
        <f>ROUND(BP68,0)</f>
        <v>0</v>
      </c>
      <c r="L799" s="276">
        <f>ROUND(BP69,0)</f>
        <v>5118</v>
      </c>
      <c r="M799" s="276">
        <f>ROUND(BP70,0)</f>
        <v>0</v>
      </c>
      <c r="N799" s="276"/>
      <c r="O799" s="276"/>
      <c r="P799" s="276">
        <f>IF(BP76&gt;0,ROUND(BP76,0),0)</f>
        <v>467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207*2018*8640*A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207*2018*8650*A</v>
      </c>
      <c r="B801" s="276"/>
      <c r="C801" s="278">
        <f>ROUND(BR60,2)</f>
        <v>15.01</v>
      </c>
      <c r="D801" s="276">
        <f>ROUND(BR61,0)</f>
        <v>1197863</v>
      </c>
      <c r="E801" s="276">
        <f>ROUND(BR62,0)</f>
        <v>273380</v>
      </c>
      <c r="F801" s="276">
        <f>ROUND(BR63,0)</f>
        <v>15383</v>
      </c>
      <c r="G801" s="276">
        <f>ROUND(BR64,0)</f>
        <v>13722</v>
      </c>
      <c r="H801" s="276">
        <f>ROUND(BR65,0)</f>
        <v>0</v>
      </c>
      <c r="I801" s="276">
        <f>ROUND(BR66,0)</f>
        <v>175613</v>
      </c>
      <c r="J801" s="276">
        <f>ROUND(BR67,0)</f>
        <v>71856</v>
      </c>
      <c r="K801" s="276">
        <f>ROUND(BR68,0)</f>
        <v>10782</v>
      </c>
      <c r="L801" s="276">
        <f>ROUND(BR69,0)</f>
        <v>175973</v>
      </c>
      <c r="M801" s="276">
        <f>ROUND(BR70,0)</f>
        <v>0</v>
      </c>
      <c r="N801" s="276"/>
      <c r="O801" s="276"/>
      <c r="P801" s="276">
        <f>IF(BR76&gt;0,ROUND(BR76,0),0)</f>
        <v>3564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207*2018*8660*A</v>
      </c>
      <c r="B802" s="276"/>
      <c r="C802" s="278">
        <f>ROUND(BS60,2)</f>
        <v>3.9</v>
      </c>
      <c r="D802" s="276">
        <f>ROUND(BS61,0)</f>
        <v>342907</v>
      </c>
      <c r="E802" s="276">
        <f>ROUND(BS62,0)</f>
        <v>78259</v>
      </c>
      <c r="F802" s="276">
        <f>ROUND(BS63,0)</f>
        <v>0</v>
      </c>
      <c r="G802" s="276">
        <f>ROUND(BS64,0)</f>
        <v>29963</v>
      </c>
      <c r="H802" s="276">
        <f>ROUND(BS65,0)</f>
        <v>0</v>
      </c>
      <c r="I802" s="276">
        <f>ROUND(BS66,0)</f>
        <v>1183</v>
      </c>
      <c r="J802" s="276">
        <f>ROUND(BS67,0)</f>
        <v>76694</v>
      </c>
      <c r="K802" s="276">
        <f>ROUND(BS68,0)</f>
        <v>0</v>
      </c>
      <c r="L802" s="276">
        <f>ROUND(BS69,0)</f>
        <v>2338</v>
      </c>
      <c r="M802" s="276">
        <f>ROUND(BS70,0)</f>
        <v>0</v>
      </c>
      <c r="N802" s="276"/>
      <c r="O802" s="276"/>
      <c r="P802" s="276">
        <f>IF(BS76&gt;0,ROUND(BS76,0),0)</f>
        <v>3804</v>
      </c>
      <c r="Q802" s="276">
        <f>IF(BS77&gt;0,ROUND(BS77,0),0)</f>
        <v>0</v>
      </c>
      <c r="R802" s="276">
        <f>IF(BS78&gt;0,ROUND(BS78,0),0)</f>
        <v>266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207*2018*8670*A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207*2018*8680*A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207*2018*8690*A</v>
      </c>
      <c r="B805" s="276"/>
      <c r="C805" s="278">
        <f>ROUND(BV60,2)</f>
        <v>57.06</v>
      </c>
      <c r="D805" s="276">
        <f>ROUND(BV61,0)</f>
        <v>3002479</v>
      </c>
      <c r="E805" s="276">
        <f>ROUND(BV62,0)</f>
        <v>685234</v>
      </c>
      <c r="F805" s="276">
        <f>ROUND(BV63,0)</f>
        <v>241599</v>
      </c>
      <c r="G805" s="276">
        <f>ROUND(BV64,0)</f>
        <v>25906</v>
      </c>
      <c r="H805" s="276">
        <f>ROUND(BV65,0)</f>
        <v>0</v>
      </c>
      <c r="I805" s="276">
        <f>ROUND(BV66,0)</f>
        <v>234441</v>
      </c>
      <c r="J805" s="276">
        <f>ROUND(BV67,0)</f>
        <v>136493</v>
      </c>
      <c r="K805" s="276">
        <f>ROUND(BV68,0)</f>
        <v>0</v>
      </c>
      <c r="L805" s="276">
        <f>ROUND(BV69,0)</f>
        <v>26012</v>
      </c>
      <c r="M805" s="276">
        <f>ROUND(BV70,0)</f>
        <v>0</v>
      </c>
      <c r="N805" s="276"/>
      <c r="O805" s="276"/>
      <c r="P805" s="276">
        <f>IF(BV76&gt;0,ROUND(BV76,0),0)</f>
        <v>6770</v>
      </c>
      <c r="Q805" s="276">
        <f>IF(BV77&gt;0,ROUND(BV77,0),0)</f>
        <v>0</v>
      </c>
      <c r="R805" s="276">
        <f>IF(BV78&gt;0,ROUND(BV78,0),0)</f>
        <v>474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207*2018*8700*A</v>
      </c>
      <c r="B806" s="276"/>
      <c r="C806" s="278">
        <f>ROUND(BW60,2)</f>
        <v>6</v>
      </c>
      <c r="D806" s="276">
        <f>ROUND(BW61,0)</f>
        <v>294928</v>
      </c>
      <c r="E806" s="276">
        <f>ROUND(BW62,0)</f>
        <v>67309</v>
      </c>
      <c r="F806" s="276">
        <f>ROUND(BW63,0)</f>
        <v>116475</v>
      </c>
      <c r="G806" s="276">
        <f>ROUND(BW64,0)</f>
        <v>26543</v>
      </c>
      <c r="H806" s="276">
        <f>ROUND(BW65,0)</f>
        <v>0</v>
      </c>
      <c r="I806" s="276">
        <f>ROUND(BW66,0)</f>
        <v>52561</v>
      </c>
      <c r="J806" s="276">
        <f>ROUND(BW67,0)</f>
        <v>20081</v>
      </c>
      <c r="K806" s="276">
        <f>ROUND(BW68,0)</f>
        <v>0</v>
      </c>
      <c r="L806" s="276">
        <f>ROUND(BW69,0)</f>
        <v>364642</v>
      </c>
      <c r="M806" s="276">
        <f>ROUND(BW70,0)</f>
        <v>0</v>
      </c>
      <c r="N806" s="276"/>
      <c r="O806" s="276"/>
      <c r="P806" s="276">
        <f>IF(BW76&gt;0,ROUND(BW76,0),0)</f>
        <v>996</v>
      </c>
      <c r="Q806" s="276">
        <f>IF(BW77&gt;0,ROUND(BW77,0),0)</f>
        <v>0</v>
      </c>
      <c r="R806" s="276">
        <f>IF(BW78&gt;0,ROUND(BW78,0),0)</f>
        <v>70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207*2018*8710*A</v>
      </c>
      <c r="B807" s="276"/>
      <c r="C807" s="278">
        <f>ROUND(BX60,2)</f>
        <v>28.19</v>
      </c>
      <c r="D807" s="276">
        <f>ROUND(BX61,0)</f>
        <v>3310324</v>
      </c>
      <c r="E807" s="276">
        <f>ROUND(BX62,0)</f>
        <v>755491</v>
      </c>
      <c r="F807" s="276">
        <f>ROUND(BX63,0)</f>
        <v>406275</v>
      </c>
      <c r="G807" s="276">
        <f>ROUND(BX64,0)</f>
        <v>17569</v>
      </c>
      <c r="H807" s="276">
        <f>ROUND(BX65,0)</f>
        <v>0</v>
      </c>
      <c r="I807" s="276">
        <f>ROUND(BX66,0)</f>
        <v>572332</v>
      </c>
      <c r="J807" s="276">
        <f>ROUND(BX67,0)</f>
        <v>44073</v>
      </c>
      <c r="K807" s="276">
        <f>ROUND(BX68,0)</f>
        <v>0</v>
      </c>
      <c r="L807" s="276">
        <f>ROUND(BX69,0)</f>
        <v>277410</v>
      </c>
      <c r="M807" s="276">
        <f>ROUND(BX70,0)</f>
        <v>0</v>
      </c>
      <c r="N807" s="276"/>
      <c r="O807" s="276"/>
      <c r="P807" s="276">
        <f>IF(BX76&gt;0,ROUND(BX76,0),0)</f>
        <v>2186</v>
      </c>
      <c r="Q807" s="276">
        <f>IF(BX77&gt;0,ROUND(BX77,0),0)</f>
        <v>0</v>
      </c>
      <c r="R807" s="276">
        <f>IF(BX78&gt;0,ROUND(BX78,0),0)</f>
        <v>153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207*2018*8720*A</v>
      </c>
      <c r="B808" s="276"/>
      <c r="C808" s="278">
        <f>ROUND(BY60,2)</f>
        <v>10.75</v>
      </c>
      <c r="D808" s="276">
        <f>ROUND(BY61,0)</f>
        <v>1044226</v>
      </c>
      <c r="E808" s="276">
        <f>ROUND(BY62,0)</f>
        <v>238316</v>
      </c>
      <c r="F808" s="276">
        <f>ROUND(BY63,0)</f>
        <v>0</v>
      </c>
      <c r="G808" s="276">
        <f>ROUND(BY64,0)</f>
        <v>18247</v>
      </c>
      <c r="H808" s="276">
        <f>ROUND(BY65,0)</f>
        <v>0</v>
      </c>
      <c r="I808" s="276">
        <f>ROUND(BY66,0)</f>
        <v>1058</v>
      </c>
      <c r="J808" s="276">
        <f>ROUND(BY67,0)</f>
        <v>35525</v>
      </c>
      <c r="K808" s="276">
        <f>ROUND(BY68,0)</f>
        <v>0</v>
      </c>
      <c r="L808" s="276">
        <f>ROUND(BY69,0)</f>
        <v>37036</v>
      </c>
      <c r="M808" s="276">
        <f>ROUND(BY70,0)</f>
        <v>0</v>
      </c>
      <c r="N808" s="276"/>
      <c r="O808" s="276"/>
      <c r="P808" s="276">
        <f>IF(BY76&gt;0,ROUND(BY76,0),0)</f>
        <v>1762</v>
      </c>
      <c r="Q808" s="276">
        <f>IF(BY77&gt;0,ROUND(BY77,0),0)</f>
        <v>0</v>
      </c>
      <c r="R808" s="276">
        <f>IF(BY78&gt;0,ROUND(BY78,0),0)</f>
        <v>23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207*2018*8730*A</v>
      </c>
      <c r="B809" s="276"/>
      <c r="C809" s="278">
        <f>ROUND(BZ60,2)</f>
        <v>6.39</v>
      </c>
      <c r="D809" s="276">
        <f>ROUND(BZ61,0)</f>
        <v>551574</v>
      </c>
      <c r="E809" s="276">
        <f>ROUND(BZ62,0)</f>
        <v>125882</v>
      </c>
      <c r="F809" s="276">
        <f>ROUND(BZ63,0)</f>
        <v>0</v>
      </c>
      <c r="G809" s="276">
        <f>ROUND(BZ64,0)</f>
        <v>6132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207*2018*8740*A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207*2018*8770*A</v>
      </c>
      <c r="B811" s="276"/>
      <c r="C811" s="278">
        <f>ROUND(CB60,2)</f>
        <v>0</v>
      </c>
      <c r="D811" s="276">
        <f>ROUND(CB61,0)</f>
        <v>9347</v>
      </c>
      <c r="E811" s="276">
        <f>ROUND(CB62,0)</f>
        <v>2133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207*2018*8790*A</v>
      </c>
      <c r="B812" s="276"/>
      <c r="C812" s="278">
        <f>ROUND(CC60,2)</f>
        <v>20.72</v>
      </c>
      <c r="D812" s="276">
        <f>ROUND(CC61,0)</f>
        <v>2247748</v>
      </c>
      <c r="E812" s="276">
        <f>ROUND(CC62,0)</f>
        <v>512987</v>
      </c>
      <c r="F812" s="276">
        <f>ROUND(CC63,0)</f>
        <v>1086583</v>
      </c>
      <c r="G812" s="276">
        <f>ROUND(CC64,0)</f>
        <v>450815</v>
      </c>
      <c r="H812" s="276">
        <f>ROUND(CC65,0)</f>
        <v>2448317</v>
      </c>
      <c r="I812" s="276">
        <f>ROUND(CC66,0)</f>
        <v>871697</v>
      </c>
      <c r="J812" s="276">
        <f>ROUND(CC67,0)</f>
        <v>2068872</v>
      </c>
      <c r="K812" s="276">
        <f>ROUND(CC68,0)</f>
        <v>4065604</v>
      </c>
      <c r="L812" s="276">
        <f>ROUND(CC69,0)</f>
        <v>191735</v>
      </c>
      <c r="M812" s="276">
        <f>ROUND(CC70,0)</f>
        <v>0</v>
      </c>
      <c r="N812" s="276"/>
      <c r="O812" s="276"/>
      <c r="P812" s="276">
        <f>IF(CC76&gt;0,ROUND(CC76,0),0)</f>
        <v>102615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207*2018*9000*A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21417995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1672.88</v>
      </c>
      <c r="D815" s="277">
        <f t="shared" si="22"/>
        <v>155160523</v>
      </c>
      <c r="E815" s="277">
        <f t="shared" si="22"/>
        <v>35411153</v>
      </c>
      <c r="F815" s="277">
        <f t="shared" si="22"/>
        <v>12756227</v>
      </c>
      <c r="G815" s="277">
        <f t="shared" si="22"/>
        <v>52011431</v>
      </c>
      <c r="H815" s="277">
        <f t="shared" si="22"/>
        <v>3047489</v>
      </c>
      <c r="I815" s="277">
        <f t="shared" si="22"/>
        <v>50687390</v>
      </c>
      <c r="J815" s="277">
        <f t="shared" si="22"/>
        <v>16014556</v>
      </c>
      <c r="K815" s="277">
        <f t="shared" si="22"/>
        <v>8249349</v>
      </c>
      <c r="L815" s="277">
        <f>SUM(L734:L813)+SUM(U734:U813)</f>
        <v>4619638</v>
      </c>
      <c r="M815" s="277">
        <f>SUM(M734:M813)+SUM(V734:V813)</f>
        <v>21417995</v>
      </c>
      <c r="N815" s="277">
        <f t="shared" ref="N815:Y815" si="23">SUM(N734:N813)</f>
        <v>1208604037</v>
      </c>
      <c r="O815" s="277">
        <f t="shared" si="23"/>
        <v>411467112</v>
      </c>
      <c r="P815" s="277">
        <f t="shared" si="23"/>
        <v>794314</v>
      </c>
      <c r="Q815" s="277">
        <f t="shared" si="23"/>
        <v>404444</v>
      </c>
      <c r="R815" s="277">
        <f t="shared" si="23"/>
        <v>55629</v>
      </c>
      <c r="S815" s="277">
        <f t="shared" si="23"/>
        <v>772832</v>
      </c>
      <c r="T815" s="281">
        <f t="shared" si="23"/>
        <v>342.43</v>
      </c>
      <c r="U815" s="277">
        <f t="shared" si="23"/>
        <v>0</v>
      </c>
      <c r="V815" s="277">
        <f t="shared" si="23"/>
        <v>21417995</v>
      </c>
      <c r="W815" s="277">
        <f t="shared" si="23"/>
        <v>0</v>
      </c>
      <c r="X815" s="277">
        <f t="shared" si="23"/>
        <v>0</v>
      </c>
      <c r="Y815" s="277">
        <f t="shared" si="23"/>
        <v>75237854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1672.88</v>
      </c>
      <c r="D816" s="277">
        <f>CE61</f>
        <v>155160523.55000001</v>
      </c>
      <c r="E816" s="277">
        <f>CE62</f>
        <v>35411153</v>
      </c>
      <c r="F816" s="277">
        <f>CE63</f>
        <v>12756227</v>
      </c>
      <c r="G816" s="277">
        <f>CE64</f>
        <v>52011431.330000006</v>
      </c>
      <c r="H816" s="280">
        <f>CE65</f>
        <v>3047489</v>
      </c>
      <c r="I816" s="280">
        <f>CE66</f>
        <v>50687390.049999997</v>
      </c>
      <c r="J816" s="280">
        <f>CE67</f>
        <v>16014556</v>
      </c>
      <c r="K816" s="280">
        <f>CE68</f>
        <v>8249349.3799999999</v>
      </c>
      <c r="L816" s="280">
        <f>CE69</f>
        <v>4619638.4800000004</v>
      </c>
      <c r="M816" s="280">
        <f>CE70</f>
        <v>21417995</v>
      </c>
      <c r="N816" s="277">
        <f>CE75</f>
        <v>1208604036.03</v>
      </c>
      <c r="O816" s="277">
        <f>CE73</f>
        <v>411467112.11000007</v>
      </c>
      <c r="P816" s="277">
        <f>CE76</f>
        <v>794314</v>
      </c>
      <c r="Q816" s="277">
        <f>CE77</f>
        <v>404444</v>
      </c>
      <c r="R816" s="277">
        <f>CE78</f>
        <v>55629.352984144811</v>
      </c>
      <c r="S816" s="277">
        <f>CE79</f>
        <v>772830.20000000007</v>
      </c>
      <c r="T816" s="281">
        <f>CE80</f>
        <v>342.43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75237855.670000002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152980374</v>
      </c>
      <c r="E817" s="180">
        <f>C379</f>
        <v>35411150</v>
      </c>
      <c r="F817" s="180">
        <f>C380</f>
        <v>14936421</v>
      </c>
      <c r="G817" s="240">
        <f>C381</f>
        <v>52011167</v>
      </c>
      <c r="H817" s="240">
        <f>C382</f>
        <v>3047525</v>
      </c>
      <c r="I817" s="240">
        <f>C383</f>
        <v>50687395</v>
      </c>
      <c r="J817" s="240">
        <f>C384</f>
        <v>16014561</v>
      </c>
      <c r="K817" s="240">
        <f>C385</f>
        <v>8249356</v>
      </c>
      <c r="L817" s="240">
        <f>C386+C387+C388+C389</f>
        <v>4619638</v>
      </c>
      <c r="M817" s="240">
        <f>C370</f>
        <v>21417995</v>
      </c>
      <c r="N817" s="180">
        <f>D361</f>
        <v>1208604028</v>
      </c>
      <c r="O817" s="180">
        <f>C359</f>
        <v>411467106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B33" sqref="B33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SKAGIT REGIONAL HEALTH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H-207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1415 E. KINCAID ST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1376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MT. VERNON, WA 98273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F51" sqref="F51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H-207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SKAGIT REGIONAL HEALTH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SKAGIT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Brian Ivie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Paul Ishizuka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Bruce Lisser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(360)445-8514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(360)445-8522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8028</v>
      </c>
      <c r="G23" s="21">
        <f>data!D111</f>
        <v>34916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864</v>
      </c>
      <c r="G26" s="13">
        <f>data!D114</f>
        <v>1978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12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89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21</v>
      </c>
      <c r="E34" s="49" t="s">
        <v>291</v>
      </c>
      <c r="F34" s="24"/>
      <c r="G34" s="21">
        <f>data!E127</f>
        <v>137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15</v>
      </c>
      <c r="E36" s="49" t="s">
        <v>292</v>
      </c>
      <c r="F36" s="24"/>
      <c r="G36" s="21">
        <f>data!C128</f>
        <v>137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21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B10" sqref="B10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SKAGIT REGIONAL HEALTH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3965.0291999999999</v>
      </c>
      <c r="C7" s="48">
        <f>data!B139</f>
        <v>17136.657999999999</v>
      </c>
      <c r="D7" s="48">
        <f>data!B140</f>
        <v>94224.145399999994</v>
      </c>
      <c r="E7" s="48">
        <f>data!B141</f>
        <v>250632464</v>
      </c>
      <c r="F7" s="48">
        <f>data!B142</f>
        <v>400301193</v>
      </c>
      <c r="G7" s="48">
        <f>data!B141+data!B142</f>
        <v>650933657</v>
      </c>
    </row>
    <row r="8" spans="1:13" ht="20.100000000000001" customHeight="1" x14ac:dyDescent="0.25">
      <c r="A8" s="23" t="s">
        <v>297</v>
      </c>
      <c r="B8" s="48">
        <f>data!C138</f>
        <v>1696.4118000000001</v>
      </c>
      <c r="C8" s="48">
        <f>data!C139</f>
        <v>7331.8069999999998</v>
      </c>
      <c r="D8" s="48">
        <f>data!C140</f>
        <v>40313.184099999999</v>
      </c>
      <c r="E8" s="48">
        <f>data!C141</f>
        <v>81810167</v>
      </c>
      <c r="F8" s="48">
        <f>data!C142</f>
        <v>160953798</v>
      </c>
      <c r="G8" s="48">
        <f>data!C141+data!C142</f>
        <v>242763965</v>
      </c>
    </row>
    <row r="9" spans="1:13" ht="20.100000000000001" customHeight="1" x14ac:dyDescent="0.25">
      <c r="A9" s="23" t="s">
        <v>1058</v>
      </c>
      <c r="B9" s="48">
        <f>data!D138</f>
        <v>2421</v>
      </c>
      <c r="C9" s="48">
        <f>data!D139</f>
        <v>10462</v>
      </c>
      <c r="D9" s="48">
        <f>data!D140</f>
        <v>57522</v>
      </c>
      <c r="E9" s="48">
        <f>data!D141</f>
        <v>89673672</v>
      </c>
      <c r="F9" s="48">
        <f>data!D142</f>
        <v>292404629</v>
      </c>
      <c r="G9" s="48">
        <f>data!D141+data!D142</f>
        <v>382078301</v>
      </c>
    </row>
    <row r="10" spans="1:13" ht="20.100000000000001" customHeight="1" x14ac:dyDescent="0.25">
      <c r="A10" s="111" t="s">
        <v>203</v>
      </c>
      <c r="B10" s="48">
        <f>data!E138</f>
        <v>8082.4409999999998</v>
      </c>
      <c r="C10" s="48">
        <f>data!E139</f>
        <v>34930.464999999997</v>
      </c>
      <c r="D10" s="48">
        <f>data!E140</f>
        <v>192059.32949999999</v>
      </c>
      <c r="E10" s="48">
        <f>data!E141</f>
        <v>422116303</v>
      </c>
      <c r="F10" s="48">
        <f>data!E142</f>
        <v>853659620</v>
      </c>
      <c r="G10" s="48">
        <f>data!E141+data!E142</f>
        <v>1275775923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43" sqref="C43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SKAGIT REGIONAL HEALTH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11646197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500676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1742006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15463747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333122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7857261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2651854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40194863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6540092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1673884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8213976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3709829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1037967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4747796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5410436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2510917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7921353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6286377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6286377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F24" sqref="F24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SKAGIT REGIONAL HEALTH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11712330</v>
      </c>
      <c r="D7" s="21">
        <f>data!C195</f>
        <v>0</v>
      </c>
      <c r="E7" s="21">
        <f>data!D195</f>
        <v>0</v>
      </c>
      <c r="F7" s="21">
        <f>data!E195</f>
        <v>11712330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7320272</v>
      </c>
      <c r="D8" s="21">
        <f>data!C196</f>
        <v>0</v>
      </c>
      <c r="E8" s="21">
        <f>data!D196</f>
        <v>0</v>
      </c>
      <c r="F8" s="21">
        <f>data!E196</f>
        <v>7320272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130677520</v>
      </c>
      <c r="D9" s="21">
        <f>data!C197</f>
        <v>4978135</v>
      </c>
      <c r="E9" s="21">
        <f>data!D197</f>
        <v>0</v>
      </c>
      <c r="F9" s="21">
        <f>data!E197</f>
        <v>135655655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22790029</v>
      </c>
      <c r="D11" s="21">
        <f>data!C199</f>
        <v>330639</v>
      </c>
      <c r="E11" s="21">
        <f>data!D199</f>
        <v>0</v>
      </c>
      <c r="F11" s="21">
        <f>data!E199</f>
        <v>23120668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137455833</v>
      </c>
      <c r="D12" s="21">
        <f>data!C200</f>
        <v>9450821</v>
      </c>
      <c r="E12" s="21">
        <f>data!D200</f>
        <v>14544306</v>
      </c>
      <c r="F12" s="21">
        <f>data!E200</f>
        <v>132362348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4344133</v>
      </c>
      <c r="D13" s="21">
        <f>data!C201</f>
        <v>0</v>
      </c>
      <c r="E13" s="21">
        <f>data!D201</f>
        <v>2178435</v>
      </c>
      <c r="F13" s="21">
        <f>data!E201</f>
        <v>2165698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9177386</v>
      </c>
      <c r="D14" s="21">
        <f>data!C202</f>
        <v>679045</v>
      </c>
      <c r="E14" s="21">
        <f>data!D202</f>
        <v>0</v>
      </c>
      <c r="F14" s="21">
        <f>data!E202</f>
        <v>9856431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2278516</v>
      </c>
      <c r="D15" s="21">
        <f>data!C203</f>
        <v>3726030</v>
      </c>
      <c r="E15" s="21">
        <f>data!D203</f>
        <v>5323273</v>
      </c>
      <c r="F15" s="21">
        <f>data!E203</f>
        <v>681273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325756019</v>
      </c>
      <c r="D16" s="21">
        <f>data!C204</f>
        <v>19164670</v>
      </c>
      <c r="E16" s="21">
        <f>data!D204</f>
        <v>22046014</v>
      </c>
      <c r="F16" s="21">
        <f>data!E204</f>
        <v>322874675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3712681</v>
      </c>
      <c r="D24" s="21">
        <f>data!C209</f>
        <v>262943</v>
      </c>
      <c r="E24" s="21">
        <f>data!D209</f>
        <v>0</v>
      </c>
      <c r="F24" s="21">
        <f>data!E209</f>
        <v>3975624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59951322</v>
      </c>
      <c r="D25" s="21">
        <f>data!C210</f>
        <v>4651019</v>
      </c>
      <c r="E25" s="21">
        <f>data!D210</f>
        <v>0</v>
      </c>
      <c r="F25" s="21">
        <f>data!E210</f>
        <v>64602341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19110819</v>
      </c>
      <c r="D27" s="21">
        <f>data!C212</f>
        <v>577844</v>
      </c>
      <c r="E27" s="21">
        <f>data!D212</f>
        <v>0</v>
      </c>
      <c r="F27" s="21">
        <f>data!E212</f>
        <v>19688663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84037688</v>
      </c>
      <c r="D28" s="21">
        <f>data!C213</f>
        <v>9819772</v>
      </c>
      <c r="E28" s="21">
        <f>data!D213</f>
        <v>14544306</v>
      </c>
      <c r="F28" s="21">
        <f>data!E213</f>
        <v>79313154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3283032</v>
      </c>
      <c r="D29" s="21">
        <f>data!C214</f>
        <v>721899</v>
      </c>
      <c r="E29" s="21">
        <f>data!D214</f>
        <v>2178435</v>
      </c>
      <c r="F29" s="21">
        <f>data!E214</f>
        <v>1826496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6900280</v>
      </c>
      <c r="D30" s="21">
        <f>data!C215</f>
        <v>867986</v>
      </c>
      <c r="E30" s="21">
        <f>data!D215</f>
        <v>0</v>
      </c>
      <c r="F30" s="21">
        <f>data!E215</f>
        <v>7768266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176995822</v>
      </c>
      <c r="D32" s="21">
        <f>data!C217</f>
        <v>16901463</v>
      </c>
      <c r="E32" s="21">
        <f>data!D217</f>
        <v>16722741</v>
      </c>
      <c r="F32" s="21">
        <f>data!E217</f>
        <v>177174544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D11" sqref="D11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SKAGIT REGIONAL HEALTH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12245334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503000892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188565437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10440518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39733358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176122249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-469246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917393208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3650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2744098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6219210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8963308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938601850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09" zoomScale="75" workbookViewId="0">
      <selection activeCell="C158" sqref="C158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SKAGIT REGIONAL HEALTH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1783710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38120368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174127888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129133410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8175869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4468503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4717691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102260619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123824037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123824037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11712330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7320272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135655655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23120668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134528046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9856431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681273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322874675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177174544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145700131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13114971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10383497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23498468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320000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320000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395603255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SKAGIT REGIONAL HEALTH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19861195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46998392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427435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13390654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5212761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10076061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95966498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6029159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6029159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2609959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1925162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165499490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170034611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10076061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159958550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133649048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133649048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395603255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SKAGIT REGIONAL HEALTH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422116303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853659620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1275775923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12245334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917393208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8963308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938601850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337174073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25775700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25775700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362949773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166949879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40194863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16188357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61747577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3045172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40508222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16899840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8213976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4747796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7921353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6286377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3388665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376092077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-13142304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6194948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-6947356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2307606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-4639750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SKAGIT REGIONAL HEALTH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2214</v>
      </c>
      <c r="D9" s="14">
        <f>data!D59</f>
        <v>0</v>
      </c>
      <c r="E9" s="14">
        <f>data!E59</f>
        <v>27309</v>
      </c>
      <c r="F9" s="14">
        <f>data!F59</f>
        <v>1671</v>
      </c>
      <c r="G9" s="14">
        <f>data!G59</f>
        <v>0</v>
      </c>
      <c r="H9" s="14">
        <f>data!H59</f>
        <v>3722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25.174991780821923</v>
      </c>
      <c r="D10" s="26">
        <f>data!D60</f>
        <v>0</v>
      </c>
      <c r="E10" s="26">
        <f>data!E60</f>
        <v>205.24600000000001</v>
      </c>
      <c r="F10" s="26">
        <f>data!F60</f>
        <v>29.57</v>
      </c>
      <c r="G10" s="26">
        <f>data!G60</f>
        <v>0</v>
      </c>
      <c r="H10" s="26">
        <f>data!H60</f>
        <v>22.909288356164385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2617424</v>
      </c>
      <c r="D11" s="14">
        <f>data!D61</f>
        <v>0</v>
      </c>
      <c r="E11" s="14">
        <f>data!E61</f>
        <v>14328574</v>
      </c>
      <c r="F11" s="14">
        <f>data!F61</f>
        <v>2757759</v>
      </c>
      <c r="G11" s="14">
        <f>data!G61</f>
        <v>0</v>
      </c>
      <c r="H11" s="14">
        <f>data!H61</f>
        <v>2293459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630171</v>
      </c>
      <c r="D12" s="14">
        <f>data!D62</f>
        <v>0</v>
      </c>
      <c r="E12" s="14">
        <f>data!E62</f>
        <v>3449748</v>
      </c>
      <c r="F12" s="14">
        <f>data!F62</f>
        <v>663958</v>
      </c>
      <c r="G12" s="14">
        <f>data!G62</f>
        <v>0</v>
      </c>
      <c r="H12" s="14">
        <f>data!H62</f>
        <v>552173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47315.02</v>
      </c>
      <c r="D13" s="14">
        <f>data!D63</f>
        <v>0</v>
      </c>
      <c r="E13" s="14">
        <f>data!E63</f>
        <v>568158</v>
      </c>
      <c r="F13" s="14">
        <f>data!F63</f>
        <v>78883</v>
      </c>
      <c r="G13" s="14">
        <f>data!G63</f>
        <v>0</v>
      </c>
      <c r="H13" s="14">
        <f>data!H63</f>
        <v>1800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398901</v>
      </c>
      <c r="D14" s="14">
        <f>data!D64</f>
        <v>0</v>
      </c>
      <c r="E14" s="14">
        <f>data!E64</f>
        <v>1240443</v>
      </c>
      <c r="F14" s="14">
        <f>data!F64</f>
        <v>165325</v>
      </c>
      <c r="G14" s="14">
        <f>data!G64</f>
        <v>0</v>
      </c>
      <c r="H14" s="14">
        <f>data!H64</f>
        <v>32497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3495</v>
      </c>
      <c r="F16" s="14">
        <f>data!F66</f>
        <v>22224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83381</v>
      </c>
      <c r="D17" s="14">
        <f>data!D67</f>
        <v>0</v>
      </c>
      <c r="E17" s="14">
        <f>data!E67</f>
        <v>804468</v>
      </c>
      <c r="F17" s="14">
        <f>data!F67</f>
        <v>283014</v>
      </c>
      <c r="G17" s="14">
        <f>data!G67</f>
        <v>0</v>
      </c>
      <c r="H17" s="14">
        <f>data!H67</f>
        <v>148273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22205</v>
      </c>
      <c r="F18" s="14">
        <f>data!F68</f>
        <v>3273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186</v>
      </c>
      <c r="D19" s="14">
        <f>data!D69</f>
        <v>0</v>
      </c>
      <c r="E19" s="14">
        <f>data!E69</f>
        <v>8469</v>
      </c>
      <c r="F19" s="14">
        <f>data!F69</f>
        <v>31904</v>
      </c>
      <c r="G19" s="14">
        <f>data!G69</f>
        <v>0</v>
      </c>
      <c r="H19" s="14">
        <f>data!H69</f>
        <v>193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3777378.02</v>
      </c>
      <c r="D21" s="14">
        <f>data!D71</f>
        <v>0</v>
      </c>
      <c r="E21" s="14">
        <f>data!E71</f>
        <v>20425560</v>
      </c>
      <c r="F21" s="14">
        <f>data!F71</f>
        <v>4006340</v>
      </c>
      <c r="G21" s="14">
        <f>data!G71</f>
        <v>0</v>
      </c>
      <c r="H21" s="14">
        <f>data!H71</f>
        <v>3028395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1541021</v>
      </c>
      <c r="D23" s="48">
        <f>+data!M669</f>
        <v>0</v>
      </c>
      <c r="E23" s="48">
        <f>+data!M670</f>
        <v>11377438</v>
      </c>
      <c r="F23" s="48">
        <f>+data!M671</f>
        <v>1314723</v>
      </c>
      <c r="G23" s="48">
        <f>+data!M672</f>
        <v>0</v>
      </c>
      <c r="H23" s="48">
        <f>+data!M673</f>
        <v>1398910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16746280</v>
      </c>
      <c r="D24" s="14">
        <f>data!D73</f>
        <v>0</v>
      </c>
      <c r="E24" s="14">
        <f>data!E73</f>
        <v>101392920</v>
      </c>
      <c r="F24" s="14">
        <f>data!F73</f>
        <v>6377016</v>
      </c>
      <c r="G24" s="14">
        <f>data!G73</f>
        <v>0</v>
      </c>
      <c r="H24" s="14">
        <f>data!H73</f>
        <v>13031942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265676</v>
      </c>
      <c r="D25" s="14">
        <f>data!D74</f>
        <v>0</v>
      </c>
      <c r="E25" s="14">
        <f>data!E74</f>
        <v>18420957</v>
      </c>
      <c r="F25" s="14">
        <f>data!F74</f>
        <v>951160</v>
      </c>
      <c r="G25" s="14">
        <f>data!G74</f>
        <v>0</v>
      </c>
      <c r="H25" s="14">
        <f>data!H74</f>
        <v>589412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17011956</v>
      </c>
      <c r="D26" s="14">
        <f>data!D75</f>
        <v>0</v>
      </c>
      <c r="E26" s="14">
        <f>data!E75</f>
        <v>119813877</v>
      </c>
      <c r="F26" s="14">
        <f>data!F75</f>
        <v>7328176</v>
      </c>
      <c r="G26" s="14">
        <f>data!G75</f>
        <v>0</v>
      </c>
      <c r="H26" s="14">
        <f>data!H75</f>
        <v>13621354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3919</v>
      </c>
      <c r="D28" s="14">
        <f>data!D76</f>
        <v>0</v>
      </c>
      <c r="E28" s="14">
        <f>data!E76</f>
        <v>37811</v>
      </c>
      <c r="F28" s="14">
        <f>data!F76</f>
        <v>13302</v>
      </c>
      <c r="G28" s="14">
        <f>data!G76</f>
        <v>0</v>
      </c>
      <c r="H28" s="14">
        <f>data!H76</f>
        <v>6969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6199.2</v>
      </c>
      <c r="D29" s="14">
        <f>data!D77</f>
        <v>0</v>
      </c>
      <c r="E29" s="14">
        <f>data!E77</f>
        <v>76465.2</v>
      </c>
      <c r="F29" s="14">
        <f>data!F77</f>
        <v>4678.7999999999993</v>
      </c>
      <c r="G29" s="14">
        <f>data!G77</f>
        <v>0</v>
      </c>
      <c r="H29" s="14">
        <f>data!H77</f>
        <v>10421.599999999999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1465.4458835460314</v>
      </c>
      <c r="D30" s="14">
        <f>data!D78</f>
        <v>0</v>
      </c>
      <c r="E30" s="14">
        <f>data!E78</f>
        <v>14138.804364062005</v>
      </c>
      <c r="F30" s="14">
        <f>data!F78</f>
        <v>4974.065104090153</v>
      </c>
      <c r="G30" s="14">
        <f>data!G78</f>
        <v>0</v>
      </c>
      <c r="H30" s="14">
        <f>data!H78</f>
        <v>2605.9434453769572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31437</v>
      </c>
      <c r="D31" s="14">
        <f>data!D79</f>
        <v>0</v>
      </c>
      <c r="E31" s="14">
        <f>data!E79</f>
        <v>358710</v>
      </c>
      <c r="F31" s="14">
        <f>data!F79</f>
        <v>73422</v>
      </c>
      <c r="G31" s="14">
        <f>data!G79</f>
        <v>0</v>
      </c>
      <c r="H31" s="14">
        <f>data!H79</f>
        <v>12887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22.25</v>
      </c>
      <c r="D32" s="84">
        <f>data!D80</f>
        <v>0</v>
      </c>
      <c r="E32" s="84">
        <f>data!E80</f>
        <v>120.89</v>
      </c>
      <c r="F32" s="84">
        <f>data!F80</f>
        <v>19.809999999999999</v>
      </c>
      <c r="G32" s="84">
        <f>data!G80</f>
        <v>0</v>
      </c>
      <c r="H32" s="84">
        <f>data!H80</f>
        <v>9.5299999999999994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SKAGIT REGIONAL HEALTH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1978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864</v>
      </c>
      <c r="I41" s="14">
        <f>data!P59</f>
        <v>606766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5.2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15.18</v>
      </c>
      <c r="I42" s="26">
        <f>data!P60</f>
        <v>34.895819863013692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582795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1623693</v>
      </c>
      <c r="I43" s="14">
        <f>data!P61</f>
        <v>3171379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140314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390920</v>
      </c>
      <c r="I44" s="14">
        <f>data!P62</f>
        <v>763541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743829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386422</v>
      </c>
      <c r="I45" s="14">
        <f>data!P63</f>
        <v>361738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55885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210648</v>
      </c>
      <c r="I46" s="14">
        <f>data!P64</f>
        <v>10347740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12277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1211</v>
      </c>
      <c r="I48" s="14">
        <f>data!P66</f>
        <v>595152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17191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31531</v>
      </c>
      <c r="I49" s="14">
        <f>data!P67</f>
        <v>322651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56763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4500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11993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1556791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2644425</v>
      </c>
      <c r="I53" s="14">
        <f>data!P71</f>
        <v>15630957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393096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917063</v>
      </c>
      <c r="I55" s="48">
        <f>+data!M681</f>
        <v>7898666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4546933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11495241</v>
      </c>
      <c r="I56" s="14">
        <f>data!P73</f>
        <v>49363719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10357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790749</v>
      </c>
      <c r="I57" s="14">
        <f>data!P74</f>
        <v>80590887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4557290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12285990</v>
      </c>
      <c r="I58" s="14">
        <f>data!P75</f>
        <v>129954606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808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1482</v>
      </c>
      <c r="I60" s="14">
        <f>data!P76</f>
        <v>15165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302.13837047848773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554.16963496178073</v>
      </c>
      <c r="I62" s="14">
        <f>data!P78</f>
        <v>5670.7034508740926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65083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5.15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13.93</v>
      </c>
      <c r="I64" s="26">
        <f>data!P80</f>
        <v>20.48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SKAGIT REGIONAL HEALTH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269392</v>
      </c>
      <c r="D73" s="48">
        <f>data!R59</f>
        <v>744722</v>
      </c>
      <c r="E73" s="212"/>
      <c r="F73" s="212"/>
      <c r="G73" s="14">
        <f>data!U59</f>
        <v>704001</v>
      </c>
      <c r="H73" s="14">
        <f>data!V59</f>
        <v>2132</v>
      </c>
      <c r="I73" s="14">
        <f>data!W59</f>
        <v>71220.75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17.455780136986302</v>
      </c>
      <c r="D74" s="26">
        <f>data!R60</f>
        <v>2.656413698630137</v>
      </c>
      <c r="E74" s="26">
        <f>data!S60</f>
        <v>22.716000000000001</v>
      </c>
      <c r="F74" s="26">
        <f>data!T60</f>
        <v>4.6585047945205478</v>
      </c>
      <c r="G74" s="26">
        <f>data!U60</f>
        <v>51.838466438356171</v>
      </c>
      <c r="H74" s="26">
        <f>data!V60</f>
        <v>2.173643835616438</v>
      </c>
      <c r="I74" s="26">
        <f>data!W60</f>
        <v>1.0153260273972602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1803933</v>
      </c>
      <c r="D75" s="14">
        <f>data!R61</f>
        <v>121969</v>
      </c>
      <c r="E75" s="14">
        <f>data!S61</f>
        <v>1019273</v>
      </c>
      <c r="F75" s="14">
        <f>data!T61</f>
        <v>500636</v>
      </c>
      <c r="G75" s="14">
        <f>data!U61</f>
        <v>2493326</v>
      </c>
      <c r="H75" s="14">
        <f>data!V61</f>
        <v>130145</v>
      </c>
      <c r="I75" s="14">
        <f>data!W61</f>
        <v>110130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434315</v>
      </c>
      <c r="D76" s="14">
        <f>data!R62</f>
        <v>29365</v>
      </c>
      <c r="E76" s="14">
        <f>data!S62</f>
        <v>245400</v>
      </c>
      <c r="F76" s="14">
        <f>data!T62</f>
        <v>120533</v>
      </c>
      <c r="G76" s="14">
        <f>data!U62</f>
        <v>600293</v>
      </c>
      <c r="H76" s="14">
        <f>data!V62</f>
        <v>31334</v>
      </c>
      <c r="I76" s="14">
        <f>data!W62</f>
        <v>26515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805</v>
      </c>
      <c r="D77" s="14">
        <f>data!R63</f>
        <v>602083</v>
      </c>
      <c r="E77" s="14">
        <f>data!S63</f>
        <v>70966</v>
      </c>
      <c r="F77" s="14">
        <f>data!T63</f>
        <v>0</v>
      </c>
      <c r="G77" s="14">
        <f>data!U63</f>
        <v>443673</v>
      </c>
      <c r="H77" s="14">
        <f>data!V63</f>
        <v>0</v>
      </c>
      <c r="I77" s="14">
        <f>data!W63</f>
        <v>12600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343196</v>
      </c>
      <c r="D78" s="14">
        <f>data!R64</f>
        <v>329999</v>
      </c>
      <c r="E78" s="14">
        <f>data!S64</f>
        <v>343729</v>
      </c>
      <c r="F78" s="14">
        <f>data!T64</f>
        <v>107328</v>
      </c>
      <c r="G78" s="14">
        <f>data!U64</f>
        <v>3897545</v>
      </c>
      <c r="H78" s="14">
        <f>data!V64</f>
        <v>64133</v>
      </c>
      <c r="I78" s="14">
        <f>data!W64</f>
        <v>55448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1974</v>
      </c>
      <c r="E80" s="14">
        <f>data!S66</f>
        <v>35150</v>
      </c>
      <c r="F80" s="14">
        <f>data!T66</f>
        <v>921</v>
      </c>
      <c r="G80" s="14">
        <f>data!U66</f>
        <v>2714335</v>
      </c>
      <c r="H80" s="14">
        <f>data!V66</f>
        <v>1253</v>
      </c>
      <c r="I80" s="14">
        <f>data!W66</f>
        <v>2123660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122848</v>
      </c>
      <c r="D81" s="14">
        <f>data!R67</f>
        <v>6617</v>
      </c>
      <c r="E81" s="14">
        <f>data!S67</f>
        <v>122146</v>
      </c>
      <c r="F81" s="14">
        <f>data!T67</f>
        <v>4000</v>
      </c>
      <c r="G81" s="14">
        <f>data!U67</f>
        <v>151698</v>
      </c>
      <c r="H81" s="14">
        <f>data!V67</f>
        <v>0</v>
      </c>
      <c r="I81" s="14">
        <f>data!W67</f>
        <v>43467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4504</v>
      </c>
      <c r="E82" s="14">
        <f>data!S68</f>
        <v>145461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2539</v>
      </c>
      <c r="D83" s="14">
        <f>data!R69</f>
        <v>43</v>
      </c>
      <c r="E83" s="14">
        <f>data!S69</f>
        <v>146</v>
      </c>
      <c r="F83" s="14">
        <f>data!T69</f>
        <v>0</v>
      </c>
      <c r="G83" s="14">
        <f>data!U69</f>
        <v>2014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2707636</v>
      </c>
      <c r="D85" s="14">
        <f>data!R71</f>
        <v>1096554</v>
      </c>
      <c r="E85" s="14">
        <f>data!S71</f>
        <v>1982271</v>
      </c>
      <c r="F85" s="14">
        <f>data!T71</f>
        <v>733418</v>
      </c>
      <c r="G85" s="14">
        <f>data!U71</f>
        <v>10302884</v>
      </c>
      <c r="H85" s="14">
        <f>data!V71</f>
        <v>226865</v>
      </c>
      <c r="I85" s="14">
        <f>data!W71</f>
        <v>2371820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1209513</v>
      </c>
      <c r="D87" s="48">
        <f>+data!M683</f>
        <v>1382748</v>
      </c>
      <c r="E87" s="48">
        <f>+data!M684</f>
        <v>1620504</v>
      </c>
      <c r="F87" s="48">
        <f>+data!M685</f>
        <v>228698</v>
      </c>
      <c r="G87" s="48">
        <f>+data!M686</f>
        <v>5197830</v>
      </c>
      <c r="H87" s="48">
        <f>+data!M687</f>
        <v>132508</v>
      </c>
      <c r="I87" s="48">
        <f>+data!M688</f>
        <v>1470838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5859383</v>
      </c>
      <c r="D88" s="14">
        <f>data!R73</f>
        <v>11116243</v>
      </c>
      <c r="E88" s="14">
        <f>data!S73</f>
        <v>11644432</v>
      </c>
      <c r="F88" s="14">
        <f>data!T73</f>
        <v>1508403</v>
      </c>
      <c r="G88" s="14">
        <f>data!U73</f>
        <v>36657047</v>
      </c>
      <c r="H88" s="14">
        <f>data!V73</f>
        <v>238748</v>
      </c>
      <c r="I88" s="14">
        <f>data!W73</f>
        <v>4616186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9995138</v>
      </c>
      <c r="D89" s="14">
        <f>data!R74</f>
        <v>17379562</v>
      </c>
      <c r="E89" s="14">
        <f>data!S74</f>
        <v>16838216</v>
      </c>
      <c r="F89" s="14">
        <f>data!T74</f>
        <v>1288008</v>
      </c>
      <c r="G89" s="14">
        <f>data!U74</f>
        <v>52611979</v>
      </c>
      <c r="H89" s="14">
        <f>data!V74</f>
        <v>2161416</v>
      </c>
      <c r="I89" s="14">
        <f>data!W74</f>
        <v>22665391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15854521</v>
      </c>
      <c r="D90" s="14">
        <f>data!R75</f>
        <v>28495805</v>
      </c>
      <c r="E90" s="14">
        <f>data!S75</f>
        <v>28482648</v>
      </c>
      <c r="F90" s="14">
        <f>data!T75</f>
        <v>2796411</v>
      </c>
      <c r="G90" s="14">
        <f>data!U75</f>
        <v>89269026</v>
      </c>
      <c r="H90" s="14">
        <f>data!V75</f>
        <v>2400164</v>
      </c>
      <c r="I90" s="14">
        <f>data!W75</f>
        <v>27281577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5774</v>
      </c>
      <c r="D92" s="14">
        <f>data!R76</f>
        <v>311</v>
      </c>
      <c r="E92" s="14">
        <f>data!S76</f>
        <v>5741</v>
      </c>
      <c r="F92" s="14">
        <f>data!T76</f>
        <v>188</v>
      </c>
      <c r="G92" s="14">
        <f>data!U76</f>
        <v>7130</v>
      </c>
      <c r="H92" s="14">
        <f>data!V76</f>
        <v>0</v>
      </c>
      <c r="I92" s="14">
        <f>data!W76</f>
        <v>2043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2159.0927613153322</v>
      </c>
      <c r="D94" s="14">
        <f>data!R78</f>
        <v>116.29335794407139</v>
      </c>
      <c r="E94" s="14">
        <f>data!S78</f>
        <v>2146.7529516299483</v>
      </c>
      <c r="F94" s="14">
        <f>data!T78</f>
        <v>70.299521844004573</v>
      </c>
      <c r="G94" s="14">
        <f>data!U78</f>
        <v>2666.1467592965564</v>
      </c>
      <c r="H94" s="14">
        <f>data!V78</f>
        <v>0</v>
      </c>
      <c r="I94" s="14">
        <f>data!W78</f>
        <v>763.94639961330506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29344</v>
      </c>
      <c r="D95" s="14">
        <f>data!R79</f>
        <v>0</v>
      </c>
      <c r="E95" s="14">
        <f>data!S79</f>
        <v>7051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7054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14.44</v>
      </c>
      <c r="D96" s="84">
        <f>data!R80</f>
        <v>0</v>
      </c>
      <c r="E96" s="84">
        <f>data!S80</f>
        <v>0</v>
      </c>
      <c r="F96" s="84">
        <f>data!T80</f>
        <v>4.63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SKAGIT REGIONAL HEALTH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124843.44</v>
      </c>
      <c r="D105" s="14">
        <f>data!Y59</f>
        <v>161018.75</v>
      </c>
      <c r="E105" s="14">
        <f>data!Z59</f>
        <v>0</v>
      </c>
      <c r="F105" s="14">
        <f>data!AA59</f>
        <v>29172.309999999998</v>
      </c>
      <c r="G105" s="212"/>
      <c r="H105" s="14">
        <f>data!AC59</f>
        <v>52189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49.686</v>
      </c>
      <c r="E106" s="26">
        <f>data!Z60</f>
        <v>12.778888356164384</v>
      </c>
      <c r="F106" s="26">
        <f>data!AA60</f>
        <v>0</v>
      </c>
      <c r="G106" s="26">
        <f>data!AB60</f>
        <v>47.415999999999997</v>
      </c>
      <c r="H106" s="26">
        <f>data!AC60</f>
        <v>17.995048630136989</v>
      </c>
      <c r="I106" s="26">
        <f>data!AD60</f>
        <v>5.0841000000000003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3325202</v>
      </c>
      <c r="E107" s="14">
        <f>data!Z61</f>
        <v>1244148</v>
      </c>
      <c r="F107" s="14">
        <f>data!AA61</f>
        <v>0</v>
      </c>
      <c r="G107" s="14">
        <f>data!AB61</f>
        <v>4697573</v>
      </c>
      <c r="H107" s="14">
        <f>data!AC61</f>
        <v>1391838</v>
      </c>
      <c r="I107" s="14">
        <f>data!AD61</f>
        <v>542454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800576</v>
      </c>
      <c r="E108" s="14">
        <f>data!Z62</f>
        <v>299541</v>
      </c>
      <c r="F108" s="14">
        <f>data!AA62</f>
        <v>0</v>
      </c>
      <c r="G108" s="14">
        <f>data!AB62</f>
        <v>1130988</v>
      </c>
      <c r="H108" s="14">
        <f>data!AC62</f>
        <v>335099</v>
      </c>
      <c r="I108" s="14">
        <f>data!AD62</f>
        <v>130601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12600</v>
      </c>
      <c r="D109" s="14">
        <f>data!Y63</f>
        <v>132559</v>
      </c>
      <c r="E109" s="14">
        <f>data!Z63</f>
        <v>58903</v>
      </c>
      <c r="F109" s="14">
        <f>data!AA63</f>
        <v>0</v>
      </c>
      <c r="G109" s="14">
        <f>data!AB63</f>
        <v>0</v>
      </c>
      <c r="H109" s="14">
        <f>data!AC63</f>
        <v>5075</v>
      </c>
      <c r="I109" s="14">
        <f>data!AD63</f>
        <v>34323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69838</v>
      </c>
      <c r="D110" s="14">
        <f>data!Y64</f>
        <v>6577539</v>
      </c>
      <c r="E110" s="14">
        <f>data!Z64</f>
        <v>35584</v>
      </c>
      <c r="F110" s="14">
        <f>data!AA64</f>
        <v>160085</v>
      </c>
      <c r="G110" s="14">
        <f>data!AB64</f>
        <v>28686982</v>
      </c>
      <c r="H110" s="14">
        <f>data!AC64</f>
        <v>185509</v>
      </c>
      <c r="I110" s="14">
        <f>data!AD64</f>
        <v>83079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2830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4969071</v>
      </c>
      <c r="D112" s="14">
        <f>data!Y66</f>
        <v>2804473</v>
      </c>
      <c r="E112" s="14">
        <f>data!Z66</f>
        <v>1273665</v>
      </c>
      <c r="F112" s="14">
        <f>data!AA66</f>
        <v>1148739</v>
      </c>
      <c r="G112" s="14">
        <f>data!AB66</f>
        <v>240404</v>
      </c>
      <c r="H112" s="14">
        <f>data!AC66</f>
        <v>23943</v>
      </c>
      <c r="I112" s="14">
        <f>data!AD66</f>
        <v>15774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35297</v>
      </c>
      <c r="D113" s="14">
        <f>data!Y67</f>
        <v>287099</v>
      </c>
      <c r="E113" s="14">
        <f>data!Z67</f>
        <v>139039</v>
      </c>
      <c r="F113" s="14">
        <f>data!AA67</f>
        <v>40020</v>
      </c>
      <c r="G113" s="14">
        <f>data!AB67</f>
        <v>167464</v>
      </c>
      <c r="H113" s="14">
        <f>data!AC67</f>
        <v>36084</v>
      </c>
      <c r="I113" s="14">
        <f>data!AD67</f>
        <v>134550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3352</v>
      </c>
      <c r="E114" s="14">
        <f>data!Z68</f>
        <v>362996</v>
      </c>
      <c r="F114" s="14">
        <f>data!AA68</f>
        <v>0</v>
      </c>
      <c r="G114" s="14">
        <f>data!AB68</f>
        <v>82868</v>
      </c>
      <c r="H114" s="14">
        <f>data!AC68</f>
        <v>92455</v>
      </c>
      <c r="I114" s="14">
        <f>data!AD68</f>
        <v>7315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11207</v>
      </c>
      <c r="E115" s="14">
        <f>data!Z69</f>
        <v>86</v>
      </c>
      <c r="F115" s="14">
        <f>data!AA69</f>
        <v>0</v>
      </c>
      <c r="G115" s="14">
        <f>data!AB69</f>
        <v>32914</v>
      </c>
      <c r="H115" s="14">
        <f>data!AC69</f>
        <v>3905</v>
      </c>
      <c r="I115" s="14">
        <f>data!AD69</f>
        <v>3359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5086806</v>
      </c>
      <c r="D117" s="14">
        <f>data!Y71</f>
        <v>13942007</v>
      </c>
      <c r="E117" s="14">
        <f>data!Z71</f>
        <v>3413962</v>
      </c>
      <c r="F117" s="14">
        <f>data!AA71</f>
        <v>1348844</v>
      </c>
      <c r="G117" s="14">
        <f>data!AB71</f>
        <v>35039193</v>
      </c>
      <c r="H117" s="14">
        <f>data!AC71</f>
        <v>2073908</v>
      </c>
      <c r="I117" s="14">
        <f>data!AD71</f>
        <v>954285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3650550</v>
      </c>
      <c r="D119" s="48">
        <f>+data!M690</f>
        <v>7087885</v>
      </c>
      <c r="E119" s="48">
        <f>+data!M691</f>
        <v>2112172</v>
      </c>
      <c r="F119" s="48">
        <f>+data!M692</f>
        <v>693207</v>
      </c>
      <c r="G119" s="48">
        <f>+data!M693</f>
        <v>9279773</v>
      </c>
      <c r="H119" s="48">
        <f>+data!M694</f>
        <v>1216622</v>
      </c>
      <c r="I119" s="48">
        <f>+data!M695</f>
        <v>414259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18001551</v>
      </c>
      <c r="D120" s="14">
        <f>data!Y73</f>
        <v>42208519</v>
      </c>
      <c r="E120" s="14">
        <f>data!Z73</f>
        <v>262429</v>
      </c>
      <c r="F120" s="14">
        <f>data!AA73</f>
        <v>1362027</v>
      </c>
      <c r="G120" s="14">
        <f>data!AB73</f>
        <v>24188343</v>
      </c>
      <c r="H120" s="14">
        <f>data!AC73</f>
        <v>17321377</v>
      </c>
      <c r="I120" s="14">
        <f>data!AD73</f>
        <v>3557977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52759481</v>
      </c>
      <c r="D121" s="14">
        <f>data!Y74</f>
        <v>76869587</v>
      </c>
      <c r="E121" s="14">
        <f>data!Z74</f>
        <v>36788772</v>
      </c>
      <c r="F121" s="14">
        <f>data!AA74</f>
        <v>10409807</v>
      </c>
      <c r="G121" s="14">
        <f>data!AB74</f>
        <v>98029585</v>
      </c>
      <c r="H121" s="14">
        <f>data!AC74</f>
        <v>4239602</v>
      </c>
      <c r="I121" s="14">
        <f>data!AD74</f>
        <v>376491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70761032</v>
      </c>
      <c r="D122" s="14">
        <f>data!Y75</f>
        <v>119078106</v>
      </c>
      <c r="E122" s="14">
        <f>data!Z75</f>
        <v>37051201</v>
      </c>
      <c r="F122" s="14">
        <f>data!AA75</f>
        <v>11771834</v>
      </c>
      <c r="G122" s="14">
        <f>data!AB75</f>
        <v>122217928</v>
      </c>
      <c r="H122" s="14">
        <f>data!AC75</f>
        <v>21560979</v>
      </c>
      <c r="I122" s="14">
        <f>data!AD75</f>
        <v>3934468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1659</v>
      </c>
      <c r="D124" s="14">
        <f>data!Y76</f>
        <v>13494</v>
      </c>
      <c r="E124" s="14">
        <f>data!Z76</f>
        <v>6535</v>
      </c>
      <c r="F124" s="14">
        <f>data!AA76</f>
        <v>1881</v>
      </c>
      <c r="G124" s="14">
        <f>data!AB76</f>
        <v>7871</v>
      </c>
      <c r="H124" s="14">
        <f>data!AC76</f>
        <v>1696</v>
      </c>
      <c r="I124" s="14">
        <f>data!AD76</f>
        <v>6324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620.35588691065732</v>
      </c>
      <c r="D126" s="14">
        <f>data!Y78</f>
        <v>5045.8603604414775</v>
      </c>
      <c r="E126" s="14">
        <f>data!Z78</f>
        <v>2443.6562513328186</v>
      </c>
      <c r="F126" s="14">
        <f>data!AA78</f>
        <v>703.36915206687559</v>
      </c>
      <c r="G126" s="14">
        <f>data!AB78</f>
        <v>2943.2315767774467</v>
      </c>
      <c r="H126" s="14">
        <f>data!AC78</f>
        <v>634.1914311033604</v>
      </c>
      <c r="I126" s="14">
        <f>data!AD78</f>
        <v>2364.7562560717283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25901</v>
      </c>
      <c r="D127" s="14">
        <f>data!Y79</f>
        <v>47234</v>
      </c>
      <c r="E127" s="14">
        <f>data!Z79</f>
        <v>0</v>
      </c>
      <c r="F127" s="14">
        <f>data!AA79</f>
        <v>11483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4.38</v>
      </c>
      <c r="E128" s="26">
        <f>data!Z80</f>
        <v>1.29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2.94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SKAGIT REGIONAL HEALTH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31206</v>
      </c>
      <c r="D137" s="14">
        <f>data!AF59</f>
        <v>0</v>
      </c>
      <c r="E137" s="14">
        <f>data!AG59</f>
        <v>33900</v>
      </c>
      <c r="F137" s="14">
        <f>data!AH59</f>
        <v>0</v>
      </c>
      <c r="G137" s="14">
        <f>data!AI59</f>
        <v>0</v>
      </c>
      <c r="H137" s="14">
        <f>data!AJ59</f>
        <v>19058</v>
      </c>
      <c r="I137" s="14">
        <f>data!AK59</f>
        <v>6824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15.533536986301369</v>
      </c>
      <c r="D138" s="26">
        <f>data!AF60</f>
        <v>0</v>
      </c>
      <c r="E138" s="26">
        <f>data!AG60</f>
        <v>56.736874657534244</v>
      </c>
      <c r="F138" s="26">
        <f>data!AH60</f>
        <v>0</v>
      </c>
      <c r="G138" s="26">
        <f>data!AI60</f>
        <v>0</v>
      </c>
      <c r="H138" s="26">
        <f>data!AJ60</f>
        <v>31.892340410958905</v>
      </c>
      <c r="I138" s="26">
        <f>data!AK60</f>
        <v>1.8719102739726023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1267403</v>
      </c>
      <c r="D139" s="14">
        <f>data!AF61</f>
        <v>0</v>
      </c>
      <c r="E139" s="14">
        <f>data!AG61</f>
        <v>4986621</v>
      </c>
      <c r="F139" s="14">
        <f>data!AH61</f>
        <v>0</v>
      </c>
      <c r="G139" s="14">
        <f>data!AI61</f>
        <v>0</v>
      </c>
      <c r="H139" s="14">
        <f>data!AJ61</f>
        <v>2821427</v>
      </c>
      <c r="I139" s="14">
        <f>data!AK61</f>
        <v>177080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305140</v>
      </c>
      <c r="D140" s="14">
        <f>data!AF62</f>
        <v>0</v>
      </c>
      <c r="E140" s="14">
        <f>data!AG62</f>
        <v>1200579</v>
      </c>
      <c r="F140" s="14">
        <f>data!AH62</f>
        <v>0</v>
      </c>
      <c r="G140" s="14">
        <f>data!AI62</f>
        <v>0</v>
      </c>
      <c r="H140" s="14">
        <f>data!AJ62</f>
        <v>679287</v>
      </c>
      <c r="I140" s="14">
        <f>data!AK62</f>
        <v>42634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571640</v>
      </c>
      <c r="F141" s="14">
        <f>data!AH63</f>
        <v>0</v>
      </c>
      <c r="G141" s="14">
        <f>data!AI63</f>
        <v>0</v>
      </c>
      <c r="H141" s="14">
        <f>data!AJ63</f>
        <v>2404999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21300</v>
      </c>
      <c r="D142" s="14">
        <f>data!AF64</f>
        <v>0</v>
      </c>
      <c r="E142" s="14">
        <f>data!AG64</f>
        <v>738862</v>
      </c>
      <c r="F142" s="14">
        <f>data!AH64</f>
        <v>0</v>
      </c>
      <c r="G142" s="14">
        <f>data!AI64</f>
        <v>0</v>
      </c>
      <c r="H142" s="14">
        <f>data!AJ64</f>
        <v>648271</v>
      </c>
      <c r="I142" s="14">
        <f>data!AK64</f>
        <v>2271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870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409</v>
      </c>
      <c r="D144" s="14">
        <f>data!AF66</f>
        <v>0</v>
      </c>
      <c r="E144" s="14">
        <f>data!AG66</f>
        <v>12604</v>
      </c>
      <c r="F144" s="14">
        <f>data!AH66</f>
        <v>0</v>
      </c>
      <c r="G144" s="14">
        <f>data!AI66</f>
        <v>0</v>
      </c>
      <c r="H144" s="14">
        <f>data!AJ66</f>
        <v>36784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45339</v>
      </c>
      <c r="D145" s="14">
        <f>data!AF67</f>
        <v>0</v>
      </c>
      <c r="E145" s="14">
        <f>data!AG67</f>
        <v>202101</v>
      </c>
      <c r="F145" s="14">
        <f>data!AH67</f>
        <v>0</v>
      </c>
      <c r="G145" s="14">
        <f>data!AI67</f>
        <v>0</v>
      </c>
      <c r="H145" s="14">
        <f>data!AJ67</f>
        <v>366586</v>
      </c>
      <c r="I145" s="14">
        <f>data!AK67</f>
        <v>5659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3273</v>
      </c>
      <c r="F146" s="14">
        <f>data!AH68</f>
        <v>0</v>
      </c>
      <c r="G146" s="14">
        <f>data!AI68</f>
        <v>0</v>
      </c>
      <c r="H146" s="14">
        <f>data!AJ68</f>
        <v>479428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7644</v>
      </c>
      <c r="D147" s="14">
        <f>data!AF69</f>
        <v>0</v>
      </c>
      <c r="E147" s="14">
        <f>data!AG69</f>
        <v>38462</v>
      </c>
      <c r="F147" s="14">
        <f>data!AH69</f>
        <v>0</v>
      </c>
      <c r="G147" s="14">
        <f>data!AI69</f>
        <v>0</v>
      </c>
      <c r="H147" s="14">
        <f>data!AJ69</f>
        <v>126131</v>
      </c>
      <c r="I147" s="14">
        <f>data!AK69</f>
        <v>854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1647235</v>
      </c>
      <c r="D149" s="14">
        <f>data!AF71</f>
        <v>0</v>
      </c>
      <c r="E149" s="14">
        <f>data!AG71</f>
        <v>7754142</v>
      </c>
      <c r="F149" s="14">
        <f>data!AH71</f>
        <v>0</v>
      </c>
      <c r="G149" s="14">
        <f>data!AI71</f>
        <v>0</v>
      </c>
      <c r="H149" s="14">
        <f>data!AJ71</f>
        <v>7563783</v>
      </c>
      <c r="I149" s="14">
        <f>data!AK71</f>
        <v>228498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489449</v>
      </c>
      <c r="D151" s="48">
        <f>+data!M697</f>
        <v>0</v>
      </c>
      <c r="E151" s="48">
        <f>+data!M698</f>
        <v>6239813</v>
      </c>
      <c r="F151" s="48">
        <f>+data!M699</f>
        <v>0</v>
      </c>
      <c r="G151" s="48">
        <f>+data!M700</f>
        <v>0</v>
      </c>
      <c r="H151" s="48">
        <f>+data!M701</f>
        <v>2411736</v>
      </c>
      <c r="I151" s="48">
        <f>+data!M702</f>
        <v>84943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2220159</v>
      </c>
      <c r="D152" s="14">
        <f>data!AF73</f>
        <v>0</v>
      </c>
      <c r="E152" s="14">
        <f>data!AG73</f>
        <v>32238088</v>
      </c>
      <c r="F152" s="14">
        <f>data!AH73</f>
        <v>0</v>
      </c>
      <c r="G152" s="14">
        <f>data!AI73</f>
        <v>0</v>
      </c>
      <c r="H152" s="14">
        <f>data!AJ73</f>
        <v>589367</v>
      </c>
      <c r="I152" s="14">
        <f>data!AK73</f>
        <v>505545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3657006</v>
      </c>
      <c r="D153" s="14">
        <f>data!AF74</f>
        <v>0</v>
      </c>
      <c r="E153" s="14">
        <f>data!AG74</f>
        <v>76184266</v>
      </c>
      <c r="F153" s="14">
        <f>data!AH74</f>
        <v>0</v>
      </c>
      <c r="G153" s="14">
        <f>data!AI74</f>
        <v>0</v>
      </c>
      <c r="H153" s="14">
        <f>data!AJ74</f>
        <v>28004297</v>
      </c>
      <c r="I153" s="14">
        <f>data!AK74</f>
        <v>746119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5877165</v>
      </c>
      <c r="D154" s="14">
        <f>data!AF75</f>
        <v>0</v>
      </c>
      <c r="E154" s="14">
        <f>data!AG75</f>
        <v>108422354</v>
      </c>
      <c r="F154" s="14">
        <f>data!AH75</f>
        <v>0</v>
      </c>
      <c r="G154" s="14">
        <f>data!AI75</f>
        <v>0</v>
      </c>
      <c r="H154" s="14">
        <f>data!AJ75</f>
        <v>28593664</v>
      </c>
      <c r="I154" s="14">
        <f>data!AK75</f>
        <v>1251664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2131</v>
      </c>
      <c r="D156" s="14">
        <f>data!AF76</f>
        <v>0</v>
      </c>
      <c r="E156" s="14">
        <f>data!AG76</f>
        <v>9499</v>
      </c>
      <c r="F156" s="14">
        <f>data!AH76</f>
        <v>0</v>
      </c>
      <c r="G156" s="14">
        <f>data!AI76</f>
        <v>0</v>
      </c>
      <c r="H156" s="14">
        <f>data!AJ76</f>
        <v>17230</v>
      </c>
      <c r="I156" s="14">
        <f>data!AK76</f>
        <v>266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796.85255877432837</v>
      </c>
      <c r="D158" s="14">
        <f>data!AF78</f>
        <v>0</v>
      </c>
      <c r="E158" s="14">
        <f>data!AG78</f>
        <v>3551.99552125638</v>
      </c>
      <c r="F158" s="14">
        <f>data!AH78</f>
        <v>0</v>
      </c>
      <c r="G158" s="14">
        <f>data!AI78</f>
        <v>0</v>
      </c>
      <c r="H158" s="14">
        <f>data!AJ78</f>
        <v>6442.8763902776527</v>
      </c>
      <c r="I158" s="14">
        <f>data!AK78</f>
        <v>99.46634473672988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8083</v>
      </c>
      <c r="D159" s="14">
        <f>data!AF79</f>
        <v>0</v>
      </c>
      <c r="E159" s="14">
        <f>data!AG79</f>
        <v>208710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35.96</v>
      </c>
      <c r="F160" s="26">
        <f>data!AH80</f>
        <v>0</v>
      </c>
      <c r="G160" s="26">
        <f>data!AI80</f>
        <v>0</v>
      </c>
      <c r="H160" s="26">
        <f>data!AJ80</f>
        <v>10.53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SKAGIT REGIONAL HEALTH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4470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312756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3.0766054794520548</v>
      </c>
      <c r="D170" s="26">
        <f>data!AM60</f>
        <v>0</v>
      </c>
      <c r="E170" s="26">
        <f>data!AN60</f>
        <v>0</v>
      </c>
      <c r="F170" s="26">
        <f>data!AO60</f>
        <v>13.494039041095892</v>
      </c>
      <c r="G170" s="26">
        <f>data!AP60</f>
        <v>333.15519999999998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282386</v>
      </c>
      <c r="D171" s="14">
        <f>data!AM61</f>
        <v>0</v>
      </c>
      <c r="E171" s="14">
        <f>data!AN61</f>
        <v>0</v>
      </c>
      <c r="F171" s="14">
        <f>data!AO61</f>
        <v>862763</v>
      </c>
      <c r="G171" s="14">
        <f>data!AP61</f>
        <v>59776301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67987</v>
      </c>
      <c r="D172" s="14">
        <f>data!AM62</f>
        <v>0</v>
      </c>
      <c r="E172" s="14">
        <f>data!AN62</f>
        <v>0</v>
      </c>
      <c r="F172" s="14">
        <f>data!AO62</f>
        <v>207719</v>
      </c>
      <c r="G172" s="14">
        <f>data!AP62</f>
        <v>14391746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5690622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1928</v>
      </c>
      <c r="D174" s="14">
        <f>data!AM64</f>
        <v>0</v>
      </c>
      <c r="E174" s="14">
        <f>data!AN64</f>
        <v>0</v>
      </c>
      <c r="F174" s="14">
        <f>data!AO64</f>
        <v>128786</v>
      </c>
      <c r="G174" s="14">
        <f>data!AP64</f>
        <v>4235852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743922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110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1596610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2681</v>
      </c>
      <c r="D177" s="14">
        <f>data!AM67</f>
        <v>0</v>
      </c>
      <c r="E177" s="14">
        <f>data!AN67</f>
        <v>0</v>
      </c>
      <c r="F177" s="14">
        <f>data!AO67</f>
        <v>51999</v>
      </c>
      <c r="G177" s="14">
        <f>data!AP67</f>
        <v>4333925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5111147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4004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245350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359096</v>
      </c>
      <c r="D181" s="14">
        <f>data!AM71</f>
        <v>0</v>
      </c>
      <c r="E181" s="14">
        <f>data!AN71</f>
        <v>0</v>
      </c>
      <c r="F181" s="14">
        <f>data!AO71</f>
        <v>1251267</v>
      </c>
      <c r="G181" s="14">
        <f>data!AP71</f>
        <v>96125475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119254</v>
      </c>
      <c r="D183" s="48">
        <f>+data!M704</f>
        <v>0</v>
      </c>
      <c r="E183" s="48">
        <f>+data!M705</f>
        <v>0</v>
      </c>
      <c r="F183" s="48">
        <f>+data!M706</f>
        <v>241399</v>
      </c>
      <c r="G183" s="48">
        <f>+data!M707</f>
        <v>19417609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944401</v>
      </c>
      <c r="D184" s="14">
        <f>data!AM73</f>
        <v>0</v>
      </c>
      <c r="E184" s="14">
        <f>data!AN73</f>
        <v>0</v>
      </c>
      <c r="F184" s="14">
        <f>data!AO73</f>
        <v>113969</v>
      </c>
      <c r="G184" s="14">
        <f>data!AP73</f>
        <v>249189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830291</v>
      </c>
      <c r="D185" s="14">
        <f>data!AM74</f>
        <v>0</v>
      </c>
      <c r="E185" s="14">
        <f>data!AN74</f>
        <v>0</v>
      </c>
      <c r="F185" s="14">
        <f>data!AO74</f>
        <v>559342</v>
      </c>
      <c r="G185" s="14">
        <f>data!AP74</f>
        <v>193213193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1774692</v>
      </c>
      <c r="D186" s="14">
        <f>data!AM75</f>
        <v>0</v>
      </c>
      <c r="E186" s="14">
        <f>data!AN75</f>
        <v>0</v>
      </c>
      <c r="F186" s="14">
        <f>data!AO75</f>
        <v>673311</v>
      </c>
      <c r="G186" s="14">
        <f>data!AP75</f>
        <v>193462382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126</v>
      </c>
      <c r="D188" s="14">
        <f>data!AM76</f>
        <v>0</v>
      </c>
      <c r="E188" s="14">
        <f>data!AN76</f>
        <v>0</v>
      </c>
      <c r="F188" s="14">
        <f>data!AO76</f>
        <v>2444</v>
      </c>
      <c r="G188" s="14">
        <f>data!AP76</f>
        <v>203700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47.115636980556253</v>
      </c>
      <c r="D190" s="14">
        <f>data!AM78</f>
        <v>0</v>
      </c>
      <c r="E190" s="14">
        <f>data!AN78</f>
        <v>0</v>
      </c>
      <c r="F190" s="14">
        <f>data!AO78</f>
        <v>913.8937839720594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21437</v>
      </c>
      <c r="G191" s="14">
        <f>data!AP79</f>
        <v>999.7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55.08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SKAGIT REGIONAL HEALTH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437049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43.7699</v>
      </c>
      <c r="G202" s="26">
        <f>data!AW60</f>
        <v>47.414659999999998</v>
      </c>
      <c r="H202" s="26">
        <f>data!AX60</f>
        <v>0</v>
      </c>
      <c r="I202" s="26">
        <f>data!AY60</f>
        <v>29.984221917808224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4021868</v>
      </c>
      <c r="G203" s="14">
        <f>data!AW61</f>
        <v>3230333</v>
      </c>
      <c r="H203" s="14">
        <f>data!AX61</f>
        <v>0</v>
      </c>
      <c r="I203" s="14">
        <f>data!AY61</f>
        <v>1230904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968305</v>
      </c>
      <c r="G204" s="14">
        <f>data!AW62</f>
        <v>777735</v>
      </c>
      <c r="H204" s="14">
        <f>data!AX62</f>
        <v>0</v>
      </c>
      <c r="I204" s="14">
        <f>data!AY62</f>
        <v>296353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114481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1100620</v>
      </c>
      <c r="G206" s="14">
        <f>data!AW64</f>
        <v>96057</v>
      </c>
      <c r="H206" s="14">
        <f>data!AX64</f>
        <v>20663</v>
      </c>
      <c r="I206" s="14">
        <f>data!AY64</f>
        <v>-478522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104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3072300</v>
      </c>
      <c r="G208" s="14">
        <f>data!AW66</f>
        <v>19460</v>
      </c>
      <c r="H208" s="14">
        <f>data!AX66</f>
        <v>64759</v>
      </c>
      <c r="I208" s="14">
        <f>data!AY66</f>
        <v>1085900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490348</v>
      </c>
      <c r="G209" s="14">
        <f>data!AW67</f>
        <v>0</v>
      </c>
      <c r="H209" s="14">
        <f>data!AX67</f>
        <v>0</v>
      </c>
      <c r="I209" s="14">
        <f>data!AY67</f>
        <v>189633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71283</v>
      </c>
      <c r="G210" s="14">
        <f>data!AW68</f>
        <v>4194</v>
      </c>
      <c r="H210" s="14">
        <f>data!AX68</f>
        <v>286685</v>
      </c>
      <c r="I210" s="14">
        <f>data!AY68</f>
        <v>813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7572</v>
      </c>
      <c r="G211" s="14">
        <f>data!AW69</f>
        <v>153162</v>
      </c>
      <c r="H211" s="14">
        <f>data!AX69</f>
        <v>0</v>
      </c>
      <c r="I211" s="14">
        <f>data!AY69</f>
        <v>272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9732296</v>
      </c>
      <c r="G213" s="14">
        <f>data!AW71</f>
        <v>4395422</v>
      </c>
      <c r="H213" s="14">
        <f>data!AX71</f>
        <v>372107</v>
      </c>
      <c r="I213" s="14">
        <f>data!AY71</f>
        <v>2325457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3762058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3758869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46432873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50191742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23047</v>
      </c>
      <c r="G220" s="14">
        <f>data!AW76</f>
        <v>0</v>
      </c>
      <c r="H220" s="14">
        <f>data!AX76</f>
        <v>0</v>
      </c>
      <c r="I220" s="85">
        <f>data!AY76</f>
        <v>8913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8618.0482975466675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43401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11.23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SKAGIT REGIONAL HEALTH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794314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8.7078561643835624</v>
      </c>
      <c r="H234" s="26">
        <f>data!BE60</f>
        <v>31.605599999999999</v>
      </c>
      <c r="I234" s="26">
        <f>data!BF60</f>
        <v>38.044707534246584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617279</v>
      </c>
      <c r="H235" s="14">
        <f>data!BE61</f>
        <v>2081488</v>
      </c>
      <c r="I235" s="14">
        <f>data!BF61</f>
        <v>1429512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148616</v>
      </c>
      <c r="H236" s="14">
        <f>data!BE62</f>
        <v>501139</v>
      </c>
      <c r="I236" s="14">
        <f>data!BF62</f>
        <v>344169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140976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961</v>
      </c>
      <c r="E238" s="14">
        <f>data!BB64</f>
        <v>0</v>
      </c>
      <c r="F238" s="14">
        <f>data!BC64</f>
        <v>0</v>
      </c>
      <c r="G238" s="14">
        <f>data!BD64</f>
        <v>45881</v>
      </c>
      <c r="H238" s="14">
        <f>data!BE64</f>
        <v>314885</v>
      </c>
      <c r="I238" s="14">
        <f>data!BF64</f>
        <v>192658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38</v>
      </c>
      <c r="H239" s="14">
        <f>data!BE65</f>
        <v>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853474</v>
      </c>
      <c r="E240" s="14">
        <f>data!BB66</f>
        <v>0</v>
      </c>
      <c r="F240" s="14">
        <f>data!BC66</f>
        <v>31935</v>
      </c>
      <c r="G240" s="14">
        <f>data!BD66</f>
        <v>70741</v>
      </c>
      <c r="H240" s="14">
        <f>data!BE66</f>
        <v>2724037</v>
      </c>
      <c r="I240" s="14">
        <f>data!BF66</f>
        <v>415769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26701</v>
      </c>
      <c r="E241" s="14">
        <f>data!BB67</f>
        <v>0</v>
      </c>
      <c r="F241" s="14">
        <f>data!BC67</f>
        <v>0</v>
      </c>
      <c r="G241" s="14">
        <f>data!BD67</f>
        <v>129145</v>
      </c>
      <c r="H241" s="14">
        <f>data!BE67</f>
        <v>4767275</v>
      </c>
      <c r="I241" s="14">
        <f>data!BF67</f>
        <v>71913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1331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37874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70910</v>
      </c>
      <c r="H243" s="14">
        <f>data!BE69</f>
        <v>8207</v>
      </c>
      <c r="I243" s="14">
        <f>data!BF69</f>
        <v>1064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882467</v>
      </c>
      <c r="E245" s="14">
        <f>data!BB71</f>
        <v>0</v>
      </c>
      <c r="F245" s="14">
        <f>data!BC71</f>
        <v>31935</v>
      </c>
      <c r="G245" s="14">
        <f>data!BD71</f>
        <v>1082610</v>
      </c>
      <c r="H245" s="14">
        <f>data!BE71</f>
        <v>10575881</v>
      </c>
      <c r="I245" s="14">
        <f>data!BF71</f>
        <v>2455085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1255</v>
      </c>
      <c r="E252" s="85">
        <f>data!BB76</f>
        <v>0</v>
      </c>
      <c r="F252" s="85">
        <f>data!BC76</f>
        <v>0</v>
      </c>
      <c r="G252" s="85">
        <f>data!BD76</f>
        <v>6070</v>
      </c>
      <c r="H252" s="85">
        <f>data!BE76</f>
        <v>224068</v>
      </c>
      <c r="I252" s="85">
        <f>data!BF76</f>
        <v>3380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469.28670167141354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SKAGIT REGIONAL HEALTH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31.406986301369869</v>
      </c>
      <c r="D266" s="26">
        <f>data!BH60</f>
        <v>101.39234863013698</v>
      </c>
      <c r="E266" s="26">
        <f>data!BI60</f>
        <v>11.683999999999999</v>
      </c>
      <c r="F266" s="26">
        <f>data!BJ60</f>
        <v>19.300726027397261</v>
      </c>
      <c r="G266" s="26">
        <f>data!BK60</f>
        <v>64.900965068493164</v>
      </c>
      <c r="H266" s="26">
        <f>data!BL60</f>
        <v>54.732405479452055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1312276</v>
      </c>
      <c r="D267" s="14">
        <f>data!BH61</f>
        <v>9839146</v>
      </c>
      <c r="E267" s="14">
        <f>data!BI61</f>
        <v>632179</v>
      </c>
      <c r="F267" s="14">
        <f>data!BJ61</f>
        <v>1657362</v>
      </c>
      <c r="G267" s="14">
        <f>data!BK61</f>
        <v>3315908</v>
      </c>
      <c r="H267" s="14">
        <f>data!BL61</f>
        <v>2735174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315944</v>
      </c>
      <c r="D268" s="14">
        <f>data!BH62</f>
        <v>2368873</v>
      </c>
      <c r="E268" s="14">
        <f>data!BI62</f>
        <v>152203</v>
      </c>
      <c r="F268" s="14">
        <f>data!BJ62</f>
        <v>399027</v>
      </c>
      <c r="G268" s="14">
        <f>data!BK62</f>
        <v>798338</v>
      </c>
      <c r="H268" s="14">
        <f>data!BL62</f>
        <v>658521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1637524.02</v>
      </c>
      <c r="E269" s="14">
        <f>data!BI63</f>
        <v>0</v>
      </c>
      <c r="F269" s="14">
        <f>data!BJ63</f>
        <v>23402.25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5238</v>
      </c>
      <c r="D270" s="14">
        <f>data!BH64</f>
        <v>410833</v>
      </c>
      <c r="E270" s="14">
        <f>data!BI64</f>
        <v>182968</v>
      </c>
      <c r="F270" s="14">
        <f>data!BJ64</f>
        <v>10708</v>
      </c>
      <c r="G270" s="14">
        <f>data!BK64</f>
        <v>20981</v>
      </c>
      <c r="H270" s="14">
        <f>data!BL64</f>
        <v>25168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10323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2728</v>
      </c>
      <c r="D272" s="14">
        <f>data!BH66</f>
        <v>9528488</v>
      </c>
      <c r="E272" s="14">
        <f>data!BI66</f>
        <v>1210</v>
      </c>
      <c r="F272" s="14">
        <f>data!BJ66</f>
        <v>10412</v>
      </c>
      <c r="G272" s="14">
        <f>data!BK66</f>
        <v>706984</v>
      </c>
      <c r="H272" s="14">
        <f>data!BL66</f>
        <v>150424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189612</v>
      </c>
      <c r="E273" s="14">
        <f>data!BI67</f>
        <v>32233</v>
      </c>
      <c r="F273" s="14">
        <f>data!BJ67</f>
        <v>208526</v>
      </c>
      <c r="G273" s="14">
        <f>data!BK67</f>
        <v>41467</v>
      </c>
      <c r="H273" s="14">
        <f>data!BL67</f>
        <v>58062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209370</v>
      </c>
      <c r="E274" s="14">
        <f>data!BI68</f>
        <v>8074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984196</v>
      </c>
      <c r="E275" s="14">
        <f>data!BI69</f>
        <v>55194</v>
      </c>
      <c r="F275" s="14">
        <f>data!BJ69</f>
        <v>2969</v>
      </c>
      <c r="G275" s="14">
        <f>data!BK69</f>
        <v>14089</v>
      </c>
      <c r="H275" s="14">
        <f>data!BL69</f>
        <v>1442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 t="e">
        <f>-data!BJ70</f>
        <v>#VALUE!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1636186</v>
      </c>
      <c r="D277" s="14">
        <f>data!BH71</f>
        <v>25178365.02</v>
      </c>
      <c r="E277" s="14">
        <f>data!BI71</f>
        <v>1064061</v>
      </c>
      <c r="F277" s="14">
        <f>data!BJ71</f>
        <v>2312406.25</v>
      </c>
      <c r="G277" s="14">
        <f>data!BK71</f>
        <v>4897767</v>
      </c>
      <c r="H277" s="14">
        <f>data!BL71</f>
        <v>3628791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8912</v>
      </c>
      <c r="E284" s="85">
        <f>data!BI76</f>
        <v>1515</v>
      </c>
      <c r="F284" s="85">
        <f>data!BJ76</f>
        <v>9801</v>
      </c>
      <c r="G284" s="85">
        <f>data!BK76</f>
        <v>1949</v>
      </c>
      <c r="H284" s="85">
        <f>data!BL76</f>
        <v>2729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3332.496482307281</v>
      </c>
      <c r="E286" s="85">
        <f>data!BI78</f>
        <v>566.50944464716451</v>
      </c>
      <c r="F286" s="213" t="str">
        <f>IF(data!BJ78&gt;0,data!BJ78,"")</f>
        <v>x</v>
      </c>
      <c r="G286" s="85">
        <f>data!BK78</f>
        <v>0</v>
      </c>
      <c r="H286" s="85">
        <f>data!BL78</f>
        <v>1020.4648676185557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SKAGIT REGIONAL HEALTH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24.986999999999998</v>
      </c>
      <c r="D298" s="26">
        <f>data!BO60</f>
        <v>0</v>
      </c>
      <c r="E298" s="26">
        <f>data!BP60</f>
        <v>6.8949999999999996</v>
      </c>
      <c r="F298" s="26">
        <f>data!BQ60</f>
        <v>0</v>
      </c>
      <c r="G298" s="26">
        <f>data!BR60</f>
        <v>19.16</v>
      </c>
      <c r="H298" s="26">
        <f>data!BS60</f>
        <v>4.24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4536765</v>
      </c>
      <c r="D299" s="14">
        <f>data!BO61</f>
        <v>228805</v>
      </c>
      <c r="E299" s="14">
        <f>data!BP61</f>
        <v>438714</v>
      </c>
      <c r="F299" s="14">
        <f>data!BQ61</f>
        <v>0</v>
      </c>
      <c r="G299" s="14">
        <f>data!BR61</f>
        <v>1420068</v>
      </c>
      <c r="H299" s="14">
        <f>data!BS61</f>
        <v>333998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1092272</v>
      </c>
      <c r="D300" s="14">
        <f>data!BO62</f>
        <v>55087</v>
      </c>
      <c r="E300" s="14">
        <f>data!BP62</f>
        <v>105625</v>
      </c>
      <c r="F300" s="14">
        <f>data!BQ62</f>
        <v>0</v>
      </c>
      <c r="G300" s="14">
        <f>data!BR62</f>
        <v>341896</v>
      </c>
      <c r="H300" s="14">
        <f>data!BS62</f>
        <v>80413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241718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106293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80617</v>
      </c>
      <c r="D302" s="14">
        <f>data!BO64</f>
        <v>10435</v>
      </c>
      <c r="E302" s="14">
        <f>data!BP64</f>
        <v>16478</v>
      </c>
      <c r="F302" s="14">
        <f>data!BQ64</f>
        <v>0</v>
      </c>
      <c r="G302" s="14">
        <f>data!BR64</f>
        <v>88376</v>
      </c>
      <c r="H302" s="14">
        <f>data!BS64</f>
        <v>22900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353700</v>
      </c>
      <c r="D304" s="14">
        <f>data!BO66</f>
        <v>0</v>
      </c>
      <c r="E304" s="14">
        <f>data!BP66</f>
        <v>1342298</v>
      </c>
      <c r="F304" s="14">
        <f>data!BQ66</f>
        <v>0</v>
      </c>
      <c r="G304" s="14">
        <f>data!BR66</f>
        <v>527193</v>
      </c>
      <c r="H304" s="14">
        <f>data!BS66</f>
        <v>518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106635</v>
      </c>
      <c r="D305" s="14">
        <f>data!BO67</f>
        <v>0</v>
      </c>
      <c r="E305" s="14">
        <f>data!BP67</f>
        <v>9936</v>
      </c>
      <c r="F305" s="14">
        <f>data!BQ67</f>
        <v>0</v>
      </c>
      <c r="G305" s="14">
        <f>data!BR67</f>
        <v>75828</v>
      </c>
      <c r="H305" s="14">
        <f>data!BS67</f>
        <v>80934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2315</v>
      </c>
      <c r="D306" s="14">
        <f>data!BO68</f>
        <v>0</v>
      </c>
      <c r="E306" s="14">
        <f>data!BP68</f>
        <v>363</v>
      </c>
      <c r="F306" s="14">
        <f>data!BQ68</f>
        <v>0</v>
      </c>
      <c r="G306" s="14">
        <f>data!BR68</f>
        <v>14039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474694</v>
      </c>
      <c r="D307" s="14">
        <f>data!BO69</f>
        <v>19</v>
      </c>
      <c r="E307" s="14">
        <f>data!BP69</f>
        <v>3744</v>
      </c>
      <c r="F307" s="14">
        <f>data!BQ69</f>
        <v>0</v>
      </c>
      <c r="G307" s="14">
        <f>data!BR69</f>
        <v>236218</v>
      </c>
      <c r="H307" s="14">
        <f>data!BS69</f>
        <v>28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6888716</v>
      </c>
      <c r="D309" s="14">
        <f>data!BO71</f>
        <v>294346</v>
      </c>
      <c r="E309" s="14">
        <f>data!BP71</f>
        <v>1917158</v>
      </c>
      <c r="F309" s="14">
        <f>data!BQ71</f>
        <v>0</v>
      </c>
      <c r="G309" s="14">
        <f>data!BR71</f>
        <v>2809911</v>
      </c>
      <c r="H309" s="14">
        <f>data!BS71</f>
        <v>518791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5012</v>
      </c>
      <c r="D316" s="85">
        <f>data!BO76</f>
        <v>0</v>
      </c>
      <c r="E316" s="85">
        <f>data!BP76</f>
        <v>467</v>
      </c>
      <c r="F316" s="85">
        <f>data!BQ76</f>
        <v>0</v>
      </c>
      <c r="G316" s="85">
        <f>data!BR76</f>
        <v>3564</v>
      </c>
      <c r="H316" s="85">
        <f>data!BS76</f>
        <v>3804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SKAGIT REGIONAL HEALTH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55.621000000000002</v>
      </c>
      <c r="E330" s="26">
        <f>data!BW60</f>
        <v>3.9999821917808216</v>
      </c>
      <c r="F330" s="26">
        <f>data!BX60</f>
        <v>43.296826712328773</v>
      </c>
      <c r="G330" s="26">
        <f>data!BY60</f>
        <v>15.904</v>
      </c>
      <c r="H330" s="26">
        <f>data!BZ60</f>
        <v>4.8460000000000001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2807164</v>
      </c>
      <c r="E331" s="86">
        <f>data!BW61</f>
        <v>343143</v>
      </c>
      <c r="F331" s="86">
        <f>data!BX61</f>
        <v>4378739</v>
      </c>
      <c r="G331" s="86">
        <f>data!BY61</f>
        <v>760101</v>
      </c>
      <c r="H331" s="86">
        <f>data!BZ61</f>
        <v>440811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675853</v>
      </c>
      <c r="E332" s="86">
        <f>data!BW62</f>
        <v>82615</v>
      </c>
      <c r="F332" s="86">
        <f>data!BX62</f>
        <v>1054225</v>
      </c>
      <c r="G332" s="86">
        <f>data!BY62</f>
        <v>183002</v>
      </c>
      <c r="H332" s="86">
        <f>data!BZ62</f>
        <v>106130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206946</v>
      </c>
      <c r="E333" s="86">
        <f>data!BW63</f>
        <v>134425</v>
      </c>
      <c r="F333" s="86">
        <f>data!BX63</f>
        <v>193228</v>
      </c>
      <c r="G333" s="86">
        <f>data!BY63</f>
        <v>-6800</v>
      </c>
      <c r="H333" s="86">
        <f>data!BZ63</f>
        <v>84504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26174</v>
      </c>
      <c r="E334" s="86">
        <f>data!BW64</f>
        <v>25234</v>
      </c>
      <c r="F334" s="86">
        <f>data!BX64</f>
        <v>38393</v>
      </c>
      <c r="G334" s="86">
        <f>data!BY64</f>
        <v>23022</v>
      </c>
      <c r="H334" s="86">
        <f>data!BZ64</f>
        <v>148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130459</v>
      </c>
      <c r="E336" s="86">
        <f>data!BW66</f>
        <v>74761</v>
      </c>
      <c r="F336" s="86">
        <f>data!BX66</f>
        <v>715628</v>
      </c>
      <c r="G336" s="86">
        <f>data!BY66</f>
        <v>650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144039</v>
      </c>
      <c r="E337" s="86">
        <f>data!BW67</f>
        <v>21191</v>
      </c>
      <c r="F337" s="86">
        <f>data!BX67</f>
        <v>46509</v>
      </c>
      <c r="G337" s="86">
        <f>data!BY67</f>
        <v>37488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241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2720</v>
      </c>
      <c r="E339" s="86">
        <f>data!BW69</f>
        <v>245091</v>
      </c>
      <c r="F339" s="86">
        <f>data!BX69</f>
        <v>170531</v>
      </c>
      <c r="G339" s="86">
        <f>data!BY69</f>
        <v>50310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3993355</v>
      </c>
      <c r="E341" s="14">
        <f>data!BW71</f>
        <v>926460</v>
      </c>
      <c r="F341" s="14">
        <f>data!BX71</f>
        <v>6597253</v>
      </c>
      <c r="G341" s="14">
        <f>data!BY71</f>
        <v>1048014</v>
      </c>
      <c r="H341" s="14">
        <f>data!BZ71</f>
        <v>631593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6770</v>
      </c>
      <c r="E348" s="85">
        <f>data!BW76</f>
        <v>996</v>
      </c>
      <c r="F348" s="85">
        <f>data!BX76</f>
        <v>2186</v>
      </c>
      <c r="G348" s="85">
        <f>data!BY76</f>
        <v>1762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658.87105047412797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SKAGIT REGIONAL HEALTH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0.11</v>
      </c>
      <c r="D362" s="26">
        <f>data!CC60</f>
        <v>12.8065</v>
      </c>
      <c r="E362" s="217"/>
      <c r="F362" s="211"/>
      <c r="G362" s="211"/>
      <c r="H362" s="211"/>
      <c r="I362" s="87">
        <f>data!CE60</f>
        <v>1704.2214647945209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9380</v>
      </c>
      <c r="D363" s="86">
        <f>data!CC61</f>
        <v>4219071</v>
      </c>
      <c r="E363" s="218"/>
      <c r="F363" s="219"/>
      <c r="G363" s="219"/>
      <c r="H363" s="219"/>
      <c r="I363" s="86">
        <f>data!CE61</f>
        <v>166949879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2258</v>
      </c>
      <c r="D364" s="86">
        <f>data!CC62</f>
        <v>1015784</v>
      </c>
      <c r="E364" s="218"/>
      <c r="F364" s="219"/>
      <c r="G364" s="219"/>
      <c r="H364" s="219"/>
      <c r="I364" s="86">
        <f>data!CE62</f>
        <v>40194860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1082667</v>
      </c>
      <c r="E365" s="218"/>
      <c r="F365" s="219"/>
      <c r="G365" s="219"/>
      <c r="H365" s="219"/>
      <c r="I365" s="86">
        <f>data!CE63</f>
        <v>16188357.289999999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115</v>
      </c>
      <c r="D366" s="86">
        <f>data!CC64</f>
        <v>297883</v>
      </c>
      <c r="E366" s="218"/>
      <c r="F366" s="219"/>
      <c r="G366" s="219"/>
      <c r="H366" s="219"/>
      <c r="I366" s="86">
        <f>data!CE64</f>
        <v>61747577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2287085</v>
      </c>
      <c r="E367" s="218"/>
      <c r="F367" s="219"/>
      <c r="G367" s="219"/>
      <c r="H367" s="219"/>
      <c r="I367" s="86">
        <f>data!CE65</f>
        <v>3045172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990156</v>
      </c>
      <c r="E368" s="218"/>
      <c r="F368" s="219"/>
      <c r="G368" s="219"/>
      <c r="H368" s="219"/>
      <c r="I368" s="86">
        <f>data!CE66</f>
        <v>40508222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2183239</v>
      </c>
      <c r="E369" s="218"/>
      <c r="F369" s="219"/>
      <c r="G369" s="219"/>
      <c r="H369" s="219"/>
      <c r="I369" s="86">
        <f>data!CE67</f>
        <v>16899842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1202354</v>
      </c>
      <c r="E370" s="218"/>
      <c r="F370" s="219"/>
      <c r="G370" s="219"/>
      <c r="H370" s="219"/>
      <c r="I370" s="86">
        <f>data!CE68</f>
        <v>8213976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370330</v>
      </c>
      <c r="E371" s="86">
        <f>data!CD69</f>
        <v>18955526</v>
      </c>
      <c r="F371" s="219"/>
      <c r="G371" s="219"/>
      <c r="H371" s="219"/>
      <c r="I371" s="86">
        <f>data!CE69</f>
        <v>22344191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25775700</v>
      </c>
      <c r="F372" s="220"/>
      <c r="G372" s="220"/>
      <c r="H372" s="220"/>
      <c r="I372" s="14">
        <f>-data!CE70</f>
        <v>-25775700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11753</v>
      </c>
      <c r="D373" s="86">
        <f>data!CC71</f>
        <v>13648569</v>
      </c>
      <c r="E373" s="86">
        <f>data!CD71</f>
        <v>-6820174</v>
      </c>
      <c r="F373" s="219"/>
      <c r="G373" s="219"/>
      <c r="H373" s="219"/>
      <c r="I373" s="14">
        <f>data!CE71</f>
        <v>350316376.28999996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422116303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853659620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1275775923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102615</v>
      </c>
      <c r="E380" s="214"/>
      <c r="F380" s="211"/>
      <c r="G380" s="211"/>
      <c r="H380" s="211"/>
      <c r="I380" s="14">
        <f>data!CE76</f>
        <v>794314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97764.799999999988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78907.10000000002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952236.7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352.51999999999992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2020-06-29T22:02:27Z</cp:lastPrinted>
  <dcterms:created xsi:type="dcterms:W3CDTF">1999-06-02T22:01:56Z</dcterms:created>
  <dcterms:modified xsi:type="dcterms:W3CDTF">2020-09-16T20:40:30Z</dcterms:modified>
</cp:coreProperties>
</file>