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SA Data" sheetId="12" r:id="rId2"/>
    <sheet name="orig data" sheetId="11" r:id="rId3"/>
    <sheet name="Transmittal" sheetId="2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's" sheetId="9" r:id="rId11"/>
    <sheet name="Prior Year" sheetId="10" r:id="rId12"/>
  </sheets>
  <definedNames>
    <definedName name="_Fill" localSheetId="11" hidden="1">'Prior Year'!$DR$819:$DR$864</definedName>
    <definedName name="_Fill" hidden="1">data!$DR$823:$DR$868</definedName>
    <definedName name="Costcenter" localSheetId="11">'Prior Year'!#REF!</definedName>
    <definedName name="Costcenter">data!#REF!</definedName>
    <definedName name="Edit" localSheetId="11">'Prior Year'!$A$410:$E$477</definedName>
    <definedName name="Edit">data!$A$411:$E$478</definedName>
    <definedName name="Funds" localSheetId="11">'Prior Year'!#REF!</definedName>
    <definedName name="Funds">data!#REF!</definedName>
    <definedName name="Hospital" localSheetId="11">'Prior Year'!#REF!</definedName>
    <definedName name="Hospital">data!#REF!</definedName>
    <definedName name="_xlnm.Print_Area" localSheetId="10">'CC''s'!$A$1:$I$384</definedName>
    <definedName name="_xlnm.Print_Area" localSheetId="0">data!$A$192:$E$217</definedName>
    <definedName name="_xlnm.Print_Area" localSheetId="9">FS!$A$1:$D$153</definedName>
    <definedName name="_xlnm.Print_Area" localSheetId="4">INFO_PG1!$A$1:$G$40</definedName>
    <definedName name="_xlnm.Print_Area" localSheetId="5">INFO_PG2!$A$1:$G$33</definedName>
    <definedName name="_xlnm.Print_Area" localSheetId="11">'Prior Year'!$A$410:$E$477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1">'Prior Year'!#REF!</definedName>
    <definedName name="Support">data!#REF!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C69" i="1" l="1"/>
  <c r="BR76" i="1"/>
  <c r="C324" i="1" l="1"/>
  <c r="C323" i="1"/>
  <c r="C305" i="1" l="1"/>
  <c r="C307" i="1"/>
  <c r="C281" i="1" l="1"/>
  <c r="C228" i="1"/>
  <c r="C224" i="1"/>
  <c r="C223" i="1"/>
  <c r="D202" i="1"/>
  <c r="C202" i="1"/>
  <c r="C198" i="1"/>
  <c r="E76" i="12" l="1"/>
  <c r="E89" i="12"/>
  <c r="CC66" i="1" l="1"/>
  <c r="C171" i="1" l="1"/>
  <c r="C170" i="1"/>
  <c r="C169" i="1"/>
  <c r="C168" i="1"/>
  <c r="C167" i="1"/>
  <c r="C166" i="1"/>
  <c r="C313" i="1" l="1"/>
  <c r="C273" i="1"/>
  <c r="D213" i="1" l="1"/>
  <c r="C213" i="1"/>
  <c r="C211" i="1"/>
  <c r="C217" i="1" s="1"/>
  <c r="C212" i="1"/>
  <c r="C215" i="1"/>
  <c r="B213" i="1"/>
  <c r="B212" i="1"/>
  <c r="B215" i="1"/>
  <c r="B211" i="1"/>
  <c r="D200" i="1"/>
  <c r="C203" i="1"/>
  <c r="C200" i="1"/>
  <c r="C199" i="1"/>
  <c r="B203" i="1"/>
  <c r="B200" i="1"/>
  <c r="B199" i="1"/>
  <c r="B202" i="1"/>
  <c r="B198" i="1"/>
  <c r="C332" i="1"/>
  <c r="C318" i="1"/>
  <c r="C306" i="1"/>
  <c r="C276" i="1"/>
  <c r="C274" i="1"/>
  <c r="C272" i="1"/>
  <c r="C271" i="1"/>
  <c r="C270" i="1"/>
  <c r="C282" i="1"/>
  <c r="C289" i="1"/>
  <c r="C286" i="1" l="1"/>
  <c r="C257" i="1"/>
  <c r="C258" i="1"/>
  <c r="C255" i="1"/>
  <c r="C253" i="1"/>
  <c r="C252" i="1"/>
  <c r="C250" i="1"/>
  <c r="C165" i="1" l="1"/>
  <c r="CD70" i="1" l="1"/>
  <c r="S51" i="12" l="1"/>
  <c r="BY51" i="1" l="1"/>
  <c r="CC64" i="1"/>
  <c r="D80" i="1" l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C80" i="1"/>
  <c r="CB78" i="1"/>
  <c r="CA78" i="1"/>
  <c r="BZ78" i="1"/>
  <c r="BY78" i="1"/>
  <c r="BX78" i="1"/>
  <c r="BW78" i="1"/>
  <c r="BV78" i="1"/>
  <c r="BU78" i="1"/>
  <c r="BT78" i="1"/>
  <c r="BS78" i="1"/>
  <c r="BM78" i="1"/>
  <c r="BL78" i="1"/>
  <c r="BK78" i="1"/>
  <c r="BI78" i="1"/>
  <c r="BH78" i="1"/>
  <c r="BC78" i="1"/>
  <c r="BB78" i="1"/>
  <c r="BA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C78" i="1"/>
  <c r="D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T76" i="1"/>
  <c r="V76" i="1"/>
  <c r="W76" i="1"/>
  <c r="X76" i="1"/>
  <c r="Y76" i="1"/>
  <c r="Z76" i="1"/>
  <c r="AA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S76" i="1"/>
  <c r="BT76" i="1"/>
  <c r="BU76" i="1"/>
  <c r="BV76" i="1"/>
  <c r="BW76" i="1"/>
  <c r="BX76" i="1"/>
  <c r="BY76" i="1"/>
  <c r="BZ76" i="1"/>
  <c r="CA76" i="1"/>
  <c r="CB76" i="1"/>
  <c r="CC76" i="1"/>
  <c r="C76" i="1"/>
  <c r="AV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C74" i="1"/>
  <c r="AV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C73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70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69" i="1"/>
  <c r="C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68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66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65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64" i="1"/>
  <c r="AV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63" i="1"/>
  <c r="C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61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60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Z51" i="1"/>
  <c r="CA51" i="1"/>
  <c r="CB51" i="1"/>
  <c r="CC51" i="1"/>
  <c r="C51" i="1"/>
  <c r="D47" i="1" l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47" i="1"/>
  <c r="L233" i="12" l="1"/>
  <c r="J233" i="12"/>
  <c r="K177" i="12"/>
  <c r="K170" i="12"/>
  <c r="K168" i="12"/>
  <c r="K154" i="12"/>
  <c r="K233" i="12" s="1"/>
  <c r="J143" i="12"/>
  <c r="L143" i="12"/>
  <c r="K111" i="12" l="1"/>
  <c r="AZ76" i="1" s="1"/>
  <c r="K110" i="12"/>
  <c r="AY76" i="1" s="1"/>
  <c r="K87" i="12"/>
  <c r="AB76" i="1" s="1"/>
  <c r="K80" i="12"/>
  <c r="U76" i="1" s="1"/>
  <c r="K78" i="12"/>
  <c r="S76" i="1" s="1"/>
  <c r="K64" i="12"/>
  <c r="E76" i="1" l="1"/>
  <c r="K143" i="12"/>
  <c r="F76" i="12"/>
  <c r="AJ60" i="1" s="1"/>
  <c r="AJ80" i="1"/>
  <c r="F89" i="12" l="1"/>
  <c r="E211" i="1" l="1"/>
  <c r="E200" i="1"/>
  <c r="AJ59" i="1" l="1"/>
  <c r="D139" i="1"/>
  <c r="C139" i="1"/>
  <c r="B139" i="1"/>
  <c r="D138" i="1"/>
  <c r="C138" i="1"/>
  <c r="B138" i="1"/>
  <c r="C389" i="1" l="1"/>
  <c r="C383" i="1"/>
  <c r="C180" i="1"/>
  <c r="C179" i="1"/>
  <c r="C176" i="1"/>
  <c r="C175" i="1"/>
  <c r="C378" i="1"/>
  <c r="C370" i="1"/>
  <c r="C234" i="1"/>
  <c r="C366" i="1"/>
  <c r="C364" i="1"/>
  <c r="C238" i="1"/>
  <c r="C360" i="1"/>
  <c r="D142" i="1"/>
  <c r="C142" i="1"/>
  <c r="B142" i="1"/>
  <c r="D141" i="1"/>
  <c r="O817" i="10" l="1"/>
  <c r="K817" i="10"/>
  <c r="J817" i="10"/>
  <c r="H817" i="10"/>
  <c r="G817" i="10"/>
  <c r="F817" i="10"/>
  <c r="E817" i="10"/>
  <c r="W815" i="10"/>
  <c r="X813" i="10"/>
  <c r="X815" i="10" s="1"/>
  <c r="W813" i="10"/>
  <c r="V813" i="10"/>
  <c r="V815" i="10" s="1"/>
  <c r="U813" i="10"/>
  <c r="U815" i="10" s="1"/>
  <c r="A813" i="10"/>
  <c r="T812" i="10"/>
  <c r="S812" i="10"/>
  <c r="R812" i="10"/>
  <c r="Q812" i="10"/>
  <c r="A812" i="10"/>
  <c r="T811" i="10"/>
  <c r="S811" i="10"/>
  <c r="Q811" i="10"/>
  <c r="A811" i="10"/>
  <c r="T810" i="10"/>
  <c r="S810" i="10"/>
  <c r="Q810" i="10"/>
  <c r="A810" i="10"/>
  <c r="T809" i="10"/>
  <c r="S809" i="10"/>
  <c r="Q809" i="10"/>
  <c r="A809" i="10"/>
  <c r="T808" i="10"/>
  <c r="S808" i="10"/>
  <c r="Q808" i="10"/>
  <c r="A808" i="10"/>
  <c r="T807" i="10"/>
  <c r="S807" i="10"/>
  <c r="Q807" i="10"/>
  <c r="A807" i="10"/>
  <c r="T806" i="10"/>
  <c r="S806" i="10"/>
  <c r="Q806" i="10"/>
  <c r="A806" i="10"/>
  <c r="T805" i="10"/>
  <c r="S805" i="10"/>
  <c r="Q805" i="10"/>
  <c r="A805" i="10"/>
  <c r="T804" i="10"/>
  <c r="S804" i="10"/>
  <c r="Q804" i="10"/>
  <c r="A804" i="10"/>
  <c r="T803" i="10"/>
  <c r="S803" i="10"/>
  <c r="Q803" i="10"/>
  <c r="A803" i="10"/>
  <c r="T802" i="10"/>
  <c r="S802" i="10"/>
  <c r="Q802" i="10"/>
  <c r="A802" i="10"/>
  <c r="T801" i="10"/>
  <c r="S801" i="10"/>
  <c r="R801" i="10"/>
  <c r="Q801" i="10"/>
  <c r="A801" i="10"/>
  <c r="T800" i="10"/>
  <c r="S800" i="10"/>
  <c r="R800" i="10"/>
  <c r="Q800" i="10"/>
  <c r="A800" i="10"/>
  <c r="T799" i="10"/>
  <c r="S799" i="10"/>
  <c r="R799" i="10"/>
  <c r="Q799" i="10"/>
  <c r="A799" i="10"/>
  <c r="T798" i="10"/>
  <c r="S798" i="10"/>
  <c r="R798" i="10"/>
  <c r="Q798" i="10"/>
  <c r="A798" i="10"/>
  <c r="T797" i="10"/>
  <c r="S797" i="10"/>
  <c r="R797" i="10"/>
  <c r="Q797" i="10"/>
  <c r="A797" i="10"/>
  <c r="T796" i="10"/>
  <c r="S796" i="10"/>
  <c r="Q796" i="10"/>
  <c r="A796" i="10"/>
  <c r="T795" i="10"/>
  <c r="S795" i="10"/>
  <c r="Q795" i="10"/>
  <c r="A795" i="10"/>
  <c r="T794" i="10"/>
  <c r="S794" i="10"/>
  <c r="Q794" i="10"/>
  <c r="A794" i="10"/>
  <c r="T793" i="10"/>
  <c r="S793" i="10"/>
  <c r="R793" i="10"/>
  <c r="Q793" i="10"/>
  <c r="A793" i="10"/>
  <c r="T792" i="10"/>
  <c r="S792" i="10"/>
  <c r="Q792" i="10"/>
  <c r="A792" i="10"/>
  <c r="T791" i="10"/>
  <c r="S791" i="10"/>
  <c r="Q791" i="10"/>
  <c r="A791" i="10"/>
  <c r="T790" i="10"/>
  <c r="S790" i="10"/>
  <c r="R790" i="10"/>
  <c r="Q790" i="10"/>
  <c r="A790" i="10"/>
  <c r="T789" i="10"/>
  <c r="S789" i="10"/>
  <c r="R789" i="10"/>
  <c r="Q789" i="10"/>
  <c r="A789" i="10"/>
  <c r="T788" i="10"/>
  <c r="S788" i="10"/>
  <c r="R788" i="10"/>
  <c r="Q788" i="10"/>
  <c r="B788" i="10"/>
  <c r="A788" i="10"/>
  <c r="T787" i="10"/>
  <c r="S787" i="10"/>
  <c r="R787" i="10"/>
  <c r="Q787" i="10"/>
  <c r="A787" i="10"/>
  <c r="T786" i="10"/>
  <c r="S786" i="10"/>
  <c r="Q786" i="10"/>
  <c r="A786" i="10"/>
  <c r="T785" i="10"/>
  <c r="S785" i="10"/>
  <c r="Q785" i="10"/>
  <c r="A785" i="10"/>
  <c r="T784" i="10"/>
  <c r="S784" i="10"/>
  <c r="Q784" i="10"/>
  <c r="B784" i="10"/>
  <c r="A784" i="10"/>
  <c r="T783" i="10"/>
  <c r="S783" i="10"/>
  <c r="R783" i="10"/>
  <c r="Q783" i="10"/>
  <c r="B783" i="10"/>
  <c r="A783" i="10"/>
  <c r="T782" i="10"/>
  <c r="S782" i="10"/>
  <c r="R782" i="10"/>
  <c r="Q782" i="10"/>
  <c r="B782" i="10"/>
  <c r="A782" i="10"/>
  <c r="T781" i="10"/>
  <c r="S781" i="10"/>
  <c r="R781" i="10"/>
  <c r="Q781" i="10"/>
  <c r="A781" i="10"/>
  <c r="T780" i="10"/>
  <c r="S780" i="10"/>
  <c r="Q780" i="10"/>
  <c r="A780" i="10"/>
  <c r="S779" i="10"/>
  <c r="Q779" i="10"/>
  <c r="A779" i="10"/>
  <c r="S778" i="10"/>
  <c r="Q778" i="10"/>
  <c r="B778" i="10"/>
  <c r="A778" i="10"/>
  <c r="S777" i="10"/>
  <c r="Q777" i="10"/>
  <c r="B777" i="10"/>
  <c r="A777" i="10"/>
  <c r="S776" i="10"/>
  <c r="Q776" i="10"/>
  <c r="B776" i="10"/>
  <c r="A776" i="10"/>
  <c r="S775" i="10"/>
  <c r="Q775" i="10"/>
  <c r="B775" i="10"/>
  <c r="A775" i="10"/>
  <c r="S774" i="10"/>
  <c r="Q774" i="10"/>
  <c r="B774" i="10"/>
  <c r="A774" i="10"/>
  <c r="S773" i="10"/>
  <c r="Q773" i="10"/>
  <c r="B773" i="10"/>
  <c r="A773" i="10"/>
  <c r="S772" i="10"/>
  <c r="Q772" i="10"/>
  <c r="B772" i="10"/>
  <c r="A772" i="10"/>
  <c r="S771" i="10"/>
  <c r="Q771" i="10"/>
  <c r="B771" i="10"/>
  <c r="A771" i="10"/>
  <c r="S770" i="10"/>
  <c r="Q770" i="10"/>
  <c r="B770" i="10"/>
  <c r="A770" i="10"/>
  <c r="S769" i="10"/>
  <c r="Q769" i="10"/>
  <c r="B769" i="10"/>
  <c r="A769" i="10"/>
  <c r="S768" i="10"/>
  <c r="Q768" i="10"/>
  <c r="B768" i="10"/>
  <c r="A768" i="10"/>
  <c r="S767" i="10"/>
  <c r="Q767" i="10"/>
  <c r="B767" i="10"/>
  <c r="A767" i="10"/>
  <c r="S766" i="10"/>
  <c r="Q766" i="10"/>
  <c r="B766" i="10"/>
  <c r="A766" i="10"/>
  <c r="S765" i="10"/>
  <c r="Q765" i="10"/>
  <c r="B765" i="10"/>
  <c r="A765" i="10"/>
  <c r="S764" i="10"/>
  <c r="Q764" i="10"/>
  <c r="B764" i="10"/>
  <c r="A764" i="10"/>
  <c r="S763" i="10"/>
  <c r="Q763" i="10"/>
  <c r="B763" i="10"/>
  <c r="A763" i="10"/>
  <c r="S762" i="10"/>
  <c r="Q762" i="10"/>
  <c r="B762" i="10"/>
  <c r="A762" i="10"/>
  <c r="S761" i="10"/>
  <c r="Q761" i="10"/>
  <c r="B761" i="10"/>
  <c r="A761" i="10"/>
  <c r="S760" i="10"/>
  <c r="Q760" i="10"/>
  <c r="B760" i="10"/>
  <c r="A760" i="10"/>
  <c r="S759" i="10"/>
  <c r="Q759" i="10"/>
  <c r="A759" i="10"/>
  <c r="S758" i="10"/>
  <c r="Q758" i="10"/>
  <c r="B758" i="10"/>
  <c r="A758" i="10"/>
  <c r="S757" i="10"/>
  <c r="Q757" i="10"/>
  <c r="B757" i="10"/>
  <c r="A757" i="10"/>
  <c r="S756" i="10"/>
  <c r="Q756" i="10"/>
  <c r="B756" i="10"/>
  <c r="A756" i="10"/>
  <c r="S755" i="10"/>
  <c r="Q755" i="10"/>
  <c r="B755" i="10"/>
  <c r="A755" i="10"/>
  <c r="S754" i="10"/>
  <c r="Q754" i="10"/>
  <c r="B754" i="10"/>
  <c r="A754" i="10"/>
  <c r="S753" i="10"/>
  <c r="Q753" i="10"/>
  <c r="B753" i="10"/>
  <c r="A753" i="10"/>
  <c r="S752" i="10"/>
  <c r="Q752" i="10"/>
  <c r="B752" i="10"/>
  <c r="A752" i="10"/>
  <c r="S751" i="10"/>
  <c r="Q751" i="10"/>
  <c r="A751" i="10"/>
  <c r="S750" i="10"/>
  <c r="Q750" i="10"/>
  <c r="A750" i="10"/>
  <c r="S749" i="10"/>
  <c r="Q749" i="10"/>
  <c r="B749" i="10"/>
  <c r="A749" i="10"/>
  <c r="S748" i="10"/>
  <c r="Q748" i="10"/>
  <c r="B748" i="10"/>
  <c r="A748" i="10"/>
  <c r="S747" i="10"/>
  <c r="Q747" i="10"/>
  <c r="B747" i="10"/>
  <c r="A747" i="10"/>
  <c r="S746" i="10"/>
  <c r="Q746" i="10"/>
  <c r="B746" i="10"/>
  <c r="A746" i="10"/>
  <c r="S745" i="10"/>
  <c r="Q745" i="10"/>
  <c r="B745" i="10"/>
  <c r="A745" i="10"/>
  <c r="S744" i="10"/>
  <c r="Q744" i="10"/>
  <c r="B744" i="10"/>
  <c r="A744" i="10"/>
  <c r="S743" i="10"/>
  <c r="Q743" i="10"/>
  <c r="B743" i="10"/>
  <c r="A743" i="10"/>
  <c r="S742" i="10"/>
  <c r="Q742" i="10"/>
  <c r="B742" i="10"/>
  <c r="A742" i="10"/>
  <c r="S741" i="10"/>
  <c r="Q741" i="10"/>
  <c r="B741" i="10"/>
  <c r="A741" i="10"/>
  <c r="S740" i="10"/>
  <c r="Q740" i="10"/>
  <c r="B740" i="10"/>
  <c r="A740" i="10"/>
  <c r="S739" i="10"/>
  <c r="Q739" i="10"/>
  <c r="B739" i="10"/>
  <c r="A739" i="10"/>
  <c r="S738" i="10"/>
  <c r="Q738" i="10"/>
  <c r="B738" i="10"/>
  <c r="A738" i="10"/>
  <c r="S737" i="10"/>
  <c r="Q737" i="10"/>
  <c r="B737" i="10"/>
  <c r="A737" i="10"/>
  <c r="S736" i="10"/>
  <c r="Q736" i="10"/>
  <c r="B736" i="10"/>
  <c r="A736" i="10"/>
  <c r="S735" i="10"/>
  <c r="Q735" i="10"/>
  <c r="B735" i="10"/>
  <c r="A735" i="10"/>
  <c r="S734" i="10"/>
  <c r="Q734" i="10"/>
  <c r="B734" i="10"/>
  <c r="A734" i="10"/>
  <c r="CF730" i="10"/>
  <c r="CE730" i="10"/>
  <c r="CD730" i="10"/>
  <c r="CB730" i="10"/>
  <c r="CA730" i="10"/>
  <c r="BZ730" i="10"/>
  <c r="BY730" i="10"/>
  <c r="BX730" i="10"/>
  <c r="BW730" i="10"/>
  <c r="BU730" i="10"/>
  <c r="BT730" i="10"/>
  <c r="BS730" i="10"/>
  <c r="BR730" i="10"/>
  <c r="BP730" i="10"/>
  <c r="BM730" i="10"/>
  <c r="BK730" i="10"/>
  <c r="BJ730" i="10"/>
  <c r="BF730" i="10"/>
  <c r="BE730" i="10"/>
  <c r="BB730" i="10"/>
  <c r="BA730" i="10"/>
  <c r="AZ730" i="10"/>
  <c r="AY730" i="10"/>
  <c r="AW730" i="10"/>
  <c r="AV730" i="10"/>
  <c r="AU730" i="10"/>
  <c r="AT730" i="10"/>
  <c r="AS730" i="10"/>
  <c r="AR730" i="10"/>
  <c r="AQ730" i="10"/>
  <c r="AP730" i="10"/>
  <c r="AN730" i="10"/>
  <c r="AM730" i="10"/>
  <c r="AL730" i="10"/>
  <c r="AK730" i="10"/>
  <c r="AJ730" i="10"/>
  <c r="AI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J726" i="10"/>
  <c r="AG726" i="10"/>
  <c r="AF726" i="10"/>
  <c r="AE726" i="10"/>
  <c r="AB726" i="10"/>
  <c r="AA726" i="10"/>
  <c r="Z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B722" i="10"/>
  <c r="CA722" i="10"/>
  <c r="BZ722" i="10"/>
  <c r="BX722" i="10"/>
  <c r="BW722" i="10"/>
  <c r="BV722" i="10"/>
  <c r="BS722" i="10"/>
  <c r="BR722" i="10"/>
  <c r="BQ722" i="10"/>
  <c r="BP722" i="10"/>
  <c r="BO722" i="10"/>
  <c r="BN722" i="10"/>
  <c r="BM722" i="10"/>
  <c r="BL722" i="10"/>
  <c r="BK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Q722" i="10"/>
  <c r="AP722" i="10"/>
  <c r="AO722" i="10"/>
  <c r="AN722" i="10"/>
  <c r="AM722" i="10"/>
  <c r="AL722" i="10"/>
  <c r="AK722" i="10"/>
  <c r="AJ722" i="10"/>
  <c r="AI722" i="10"/>
  <c r="AG722" i="10"/>
  <c r="AF722" i="10"/>
  <c r="AD722" i="10"/>
  <c r="AC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K722" i="10"/>
  <c r="I722" i="10"/>
  <c r="C722" i="10"/>
  <c r="B722" i="10"/>
  <c r="A722" i="10"/>
  <c r="C615" i="10"/>
  <c r="E550" i="10"/>
  <c r="F550" i="10"/>
  <c r="E546" i="10"/>
  <c r="E545" i="10"/>
  <c r="E544" i="10"/>
  <c r="F544" i="10"/>
  <c r="H540" i="10"/>
  <c r="E540" i="10"/>
  <c r="F540" i="10"/>
  <c r="E539" i="10"/>
  <c r="H539" i="10"/>
  <c r="F538" i="10"/>
  <c r="E538" i="10"/>
  <c r="H538" i="10"/>
  <c r="E537" i="10"/>
  <c r="F537" i="10"/>
  <c r="E536" i="10"/>
  <c r="H536" i="10"/>
  <c r="F535" i="10"/>
  <c r="E535" i="10"/>
  <c r="H535" i="10"/>
  <c r="E534" i="10"/>
  <c r="H533" i="10"/>
  <c r="F533" i="10"/>
  <c r="E533" i="10"/>
  <c r="F532" i="10"/>
  <c r="E532" i="10"/>
  <c r="H532" i="10"/>
  <c r="F531" i="10"/>
  <c r="E531" i="10"/>
  <c r="E530" i="10"/>
  <c r="E529" i="10"/>
  <c r="H528" i="10"/>
  <c r="E528" i="10"/>
  <c r="F528" i="10"/>
  <c r="E527" i="10"/>
  <c r="F526" i="10"/>
  <c r="E526" i="10"/>
  <c r="H525" i="10"/>
  <c r="F525" i="10"/>
  <c r="E525" i="10"/>
  <c r="E524" i="10"/>
  <c r="F524" i="10"/>
  <c r="F523" i="10"/>
  <c r="E523" i="10"/>
  <c r="E522" i="10"/>
  <c r="F520" i="10"/>
  <c r="E520" i="10"/>
  <c r="H519" i="10"/>
  <c r="F519" i="10"/>
  <c r="E519" i="10"/>
  <c r="E518" i="10"/>
  <c r="F518" i="10"/>
  <c r="F517" i="10"/>
  <c r="E517" i="10"/>
  <c r="E516" i="10"/>
  <c r="E515" i="10"/>
  <c r="H515" i="10"/>
  <c r="E514" i="10"/>
  <c r="F514" i="10"/>
  <c r="F513" i="10"/>
  <c r="E511" i="10"/>
  <c r="H511" i="10"/>
  <c r="E510" i="10"/>
  <c r="F510" i="10"/>
  <c r="E509" i="10"/>
  <c r="H508" i="10"/>
  <c r="F508" i="10"/>
  <c r="E508" i="10"/>
  <c r="H507" i="10"/>
  <c r="F507" i="10"/>
  <c r="E507" i="10"/>
  <c r="F506" i="10"/>
  <c r="E506" i="10"/>
  <c r="H506" i="10"/>
  <c r="H505" i="10"/>
  <c r="F505" i="10"/>
  <c r="E505" i="10"/>
  <c r="E504" i="10"/>
  <c r="H504" i="10"/>
  <c r="E503" i="10"/>
  <c r="H503" i="10"/>
  <c r="H502" i="10"/>
  <c r="E502" i="10"/>
  <c r="F502" i="10"/>
  <c r="E501" i="10"/>
  <c r="H500" i="10"/>
  <c r="F500" i="10"/>
  <c r="E500" i="10"/>
  <c r="H499" i="10"/>
  <c r="F499" i="10"/>
  <c r="E499" i="10"/>
  <c r="E498" i="10"/>
  <c r="F498" i="10"/>
  <c r="H497" i="10"/>
  <c r="F497" i="10"/>
  <c r="E497" i="10"/>
  <c r="E496" i="10"/>
  <c r="G493" i="10"/>
  <c r="E493" i="10"/>
  <c r="C493" i="10"/>
  <c r="A493" i="10"/>
  <c r="B478" i="10"/>
  <c r="B474" i="10"/>
  <c r="B473" i="10"/>
  <c r="B472" i="10"/>
  <c r="B471" i="10"/>
  <c r="B470" i="10"/>
  <c r="B469" i="10"/>
  <c r="B468" i="10"/>
  <c r="B464" i="10"/>
  <c r="B463" i="10"/>
  <c r="C459" i="10"/>
  <c r="B459" i="10"/>
  <c r="B455" i="10"/>
  <c r="B454" i="10"/>
  <c r="B453" i="10"/>
  <c r="C446" i="10"/>
  <c r="C444" i="10"/>
  <c r="C438" i="10"/>
  <c r="B438" i="10"/>
  <c r="B437" i="10"/>
  <c r="B436" i="10"/>
  <c r="B435" i="10"/>
  <c r="B434" i="10"/>
  <c r="B433" i="10"/>
  <c r="B431" i="10"/>
  <c r="B430" i="10"/>
  <c r="B429" i="10"/>
  <c r="B428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89" i="10"/>
  <c r="B439" i="10" s="1"/>
  <c r="C383" i="10"/>
  <c r="B432" i="10" s="1"/>
  <c r="C378" i="10"/>
  <c r="C370" i="10"/>
  <c r="D372" i="10" s="1"/>
  <c r="C366" i="10"/>
  <c r="BN730" i="10" s="1"/>
  <c r="C364" i="10"/>
  <c r="BL730" i="10" s="1"/>
  <c r="D361" i="10"/>
  <c r="N817" i="10" s="1"/>
  <c r="D329" i="10"/>
  <c r="C325" i="10"/>
  <c r="AX730" i="10" s="1"/>
  <c r="D319" i="10"/>
  <c r="C312" i="10"/>
  <c r="AO730" i="10" s="1"/>
  <c r="C305" i="10"/>
  <c r="D290" i="10"/>
  <c r="D283" i="10"/>
  <c r="C274" i="10"/>
  <c r="V730" i="10" s="1"/>
  <c r="D265" i="10"/>
  <c r="C253" i="10"/>
  <c r="E730" i="10" s="1"/>
  <c r="C238" i="10"/>
  <c r="CC722" i="10" s="1"/>
  <c r="D236" i="10"/>
  <c r="B446" i="10" s="1"/>
  <c r="C228" i="10"/>
  <c r="BY722" i="10" s="1"/>
  <c r="C224" i="10"/>
  <c r="BU722" i="10" s="1"/>
  <c r="C223" i="10"/>
  <c r="BT722" i="10" s="1"/>
  <c r="D221" i="10"/>
  <c r="CD722" i="10" s="1"/>
  <c r="B217" i="10"/>
  <c r="E216" i="10"/>
  <c r="E215" i="10"/>
  <c r="E214" i="10"/>
  <c r="D213" i="10"/>
  <c r="BJ722" i="10" s="1"/>
  <c r="C213" i="10"/>
  <c r="BI722" i="10" s="1"/>
  <c r="E212" i="10"/>
  <c r="E211" i="10"/>
  <c r="E210" i="10"/>
  <c r="E209" i="10"/>
  <c r="B204" i="10"/>
  <c r="D203" i="10"/>
  <c r="AR722" i="10" s="1"/>
  <c r="E202" i="10"/>
  <c r="C474" i="10" s="1"/>
  <c r="E201" i="10"/>
  <c r="C200" i="10"/>
  <c r="AH722" i="10" s="1"/>
  <c r="C199" i="10"/>
  <c r="AE722" i="10" s="1"/>
  <c r="C198" i="10"/>
  <c r="AB722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C180" i="10"/>
  <c r="L722" i="10" s="1"/>
  <c r="C176" i="10"/>
  <c r="J722" i="10" s="1"/>
  <c r="C171" i="10"/>
  <c r="H722" i="10" s="1"/>
  <c r="C170" i="10"/>
  <c r="G722" i="10" s="1"/>
  <c r="C169" i="10"/>
  <c r="F722" i="10" s="1"/>
  <c r="C168" i="10"/>
  <c r="E722" i="10" s="1"/>
  <c r="C167" i="10"/>
  <c r="D722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D142" i="10"/>
  <c r="AL726" i="10" s="1"/>
  <c r="D141" i="10"/>
  <c r="AK726" i="10" s="1"/>
  <c r="E140" i="10"/>
  <c r="D139" i="10"/>
  <c r="AI726" i="10" s="1"/>
  <c r="C139" i="10"/>
  <c r="AD726" i="10" s="1"/>
  <c r="B139" i="10"/>
  <c r="D138" i="10"/>
  <c r="AH726" i="10" s="1"/>
  <c r="C138" i="10"/>
  <c r="AC726" i="10" s="1"/>
  <c r="B138" i="10"/>
  <c r="X726" i="10" s="1"/>
  <c r="E127" i="10"/>
  <c r="T779" i="10"/>
  <c r="T778" i="10"/>
  <c r="T777" i="10"/>
  <c r="T776" i="10"/>
  <c r="T775" i="10"/>
  <c r="T774" i="10"/>
  <c r="T773" i="10"/>
  <c r="T772" i="10"/>
  <c r="T771" i="10"/>
  <c r="T770" i="10"/>
  <c r="T769" i="10"/>
  <c r="T768" i="10"/>
  <c r="T767" i="10"/>
  <c r="T766" i="10"/>
  <c r="T765" i="10"/>
  <c r="T764" i="10"/>
  <c r="T763" i="10"/>
  <c r="T762" i="10"/>
  <c r="T761" i="10"/>
  <c r="T760" i="10"/>
  <c r="T759" i="10"/>
  <c r="T758" i="10"/>
  <c r="T757" i="10"/>
  <c r="T756" i="10"/>
  <c r="T755" i="10"/>
  <c r="T754" i="10"/>
  <c r="T753" i="10"/>
  <c r="T752" i="10"/>
  <c r="T751" i="10"/>
  <c r="T750" i="10"/>
  <c r="T749" i="10"/>
  <c r="T748" i="10"/>
  <c r="T747" i="10"/>
  <c r="T746" i="10"/>
  <c r="T745" i="10"/>
  <c r="T744" i="10"/>
  <c r="T743" i="10"/>
  <c r="T742" i="10"/>
  <c r="T741" i="10"/>
  <c r="T740" i="10"/>
  <c r="T739" i="10"/>
  <c r="T738" i="10"/>
  <c r="T737" i="10"/>
  <c r="T736" i="10"/>
  <c r="T735" i="10"/>
  <c r="T734" i="10"/>
  <c r="CF79" i="10"/>
  <c r="CE79" i="10"/>
  <c r="R811" i="10"/>
  <c r="R810" i="10"/>
  <c r="R809" i="10"/>
  <c r="R808" i="10"/>
  <c r="R807" i="10"/>
  <c r="R806" i="10"/>
  <c r="R805" i="10"/>
  <c r="R804" i="10"/>
  <c r="R803" i="10"/>
  <c r="R802" i="10"/>
  <c r="R796" i="10"/>
  <c r="R795" i="10"/>
  <c r="R794" i="10"/>
  <c r="R792" i="10"/>
  <c r="R791" i="10"/>
  <c r="R786" i="10"/>
  <c r="R785" i="10"/>
  <c r="R784" i="10"/>
  <c r="R780" i="10"/>
  <c r="R779" i="10"/>
  <c r="R778" i="10"/>
  <c r="R777" i="10"/>
  <c r="R776" i="10"/>
  <c r="R775" i="10"/>
  <c r="R774" i="10"/>
  <c r="R773" i="10"/>
  <c r="R772" i="10"/>
  <c r="R771" i="10"/>
  <c r="R770" i="10"/>
  <c r="R769" i="10"/>
  <c r="R768" i="10"/>
  <c r="R767" i="10"/>
  <c r="R766" i="10"/>
  <c r="R765" i="10"/>
  <c r="R764" i="10"/>
  <c r="R763" i="10"/>
  <c r="R762" i="10"/>
  <c r="R761" i="10"/>
  <c r="R760" i="10"/>
  <c r="R759" i="10"/>
  <c r="R758" i="10"/>
  <c r="R757" i="10"/>
  <c r="R756" i="10"/>
  <c r="R755" i="10"/>
  <c r="R754" i="10"/>
  <c r="R753" i="10"/>
  <c r="R752" i="10"/>
  <c r="R751" i="10"/>
  <c r="R750" i="10"/>
  <c r="R749" i="10"/>
  <c r="R748" i="10"/>
  <c r="R747" i="10"/>
  <c r="R746" i="10"/>
  <c r="R745" i="10"/>
  <c r="R744" i="10"/>
  <c r="R743" i="10"/>
  <c r="R742" i="10"/>
  <c r="R741" i="10"/>
  <c r="R740" i="10"/>
  <c r="R739" i="10"/>
  <c r="R738" i="10"/>
  <c r="R737" i="10"/>
  <c r="R736" i="10"/>
  <c r="R735" i="10"/>
  <c r="CE77" i="10"/>
  <c r="CF77" i="10" s="1"/>
  <c r="P812" i="10"/>
  <c r="P811" i="10"/>
  <c r="P810" i="10"/>
  <c r="P809" i="10"/>
  <c r="P808" i="10"/>
  <c r="P807" i="10"/>
  <c r="P806" i="10"/>
  <c r="P805" i="10"/>
  <c r="P804" i="10"/>
  <c r="P803" i="10"/>
  <c r="P802" i="10"/>
  <c r="P801" i="10"/>
  <c r="P800" i="10"/>
  <c r="P799" i="10"/>
  <c r="P798" i="10"/>
  <c r="P797" i="10"/>
  <c r="P796" i="10"/>
  <c r="P795" i="10"/>
  <c r="P794" i="10"/>
  <c r="P793" i="10"/>
  <c r="P792" i="10"/>
  <c r="P791" i="10"/>
  <c r="P790" i="10"/>
  <c r="P789" i="10"/>
  <c r="P788" i="10"/>
  <c r="P787" i="10"/>
  <c r="P786" i="10"/>
  <c r="P785" i="10"/>
  <c r="P784" i="10"/>
  <c r="P783" i="10"/>
  <c r="P782" i="10"/>
  <c r="P781" i="10"/>
  <c r="P780" i="10"/>
  <c r="P779" i="10"/>
  <c r="P778" i="10"/>
  <c r="P777" i="10"/>
  <c r="P776" i="10"/>
  <c r="P775" i="10"/>
  <c r="P774" i="10"/>
  <c r="P773" i="10"/>
  <c r="P772" i="10"/>
  <c r="P771" i="10"/>
  <c r="P770" i="10"/>
  <c r="P769" i="10"/>
  <c r="P768" i="10"/>
  <c r="P767" i="10"/>
  <c r="P766" i="10"/>
  <c r="P765" i="10"/>
  <c r="P764" i="10"/>
  <c r="P763" i="10"/>
  <c r="P762" i="10"/>
  <c r="P761" i="10"/>
  <c r="P760" i="10"/>
  <c r="P759" i="10"/>
  <c r="P758" i="10"/>
  <c r="P757" i="10"/>
  <c r="P756" i="10"/>
  <c r="P755" i="10"/>
  <c r="P754" i="10"/>
  <c r="P753" i="10"/>
  <c r="P752" i="10"/>
  <c r="P751" i="10"/>
  <c r="P750" i="10"/>
  <c r="P749" i="10"/>
  <c r="P748" i="10"/>
  <c r="P747" i="10"/>
  <c r="P746" i="10"/>
  <c r="P745" i="10"/>
  <c r="P744" i="10"/>
  <c r="P743" i="10"/>
  <c r="P742" i="10"/>
  <c r="P741" i="10"/>
  <c r="P740" i="10"/>
  <c r="P739" i="10"/>
  <c r="P738" i="10"/>
  <c r="P737" i="10"/>
  <c r="P736" i="10"/>
  <c r="P735" i="10"/>
  <c r="P734" i="10"/>
  <c r="AS75" i="10"/>
  <c r="N776" i="10" s="1"/>
  <c r="AK75" i="10"/>
  <c r="N768" i="10" s="1"/>
  <c r="AC75" i="10"/>
  <c r="N760" i="10" s="1"/>
  <c r="U75" i="10"/>
  <c r="N752" i="10" s="1"/>
  <c r="M75" i="10"/>
  <c r="N744" i="10" s="1"/>
  <c r="E75" i="10"/>
  <c r="N736" i="10" s="1"/>
  <c r="CE74" i="10"/>
  <c r="C464" i="10" s="1"/>
  <c r="O779" i="10"/>
  <c r="O778" i="10"/>
  <c r="O777" i="10"/>
  <c r="O776" i="10"/>
  <c r="O775" i="10"/>
  <c r="O773" i="10"/>
  <c r="O772" i="10"/>
  <c r="O771" i="10"/>
  <c r="O770" i="10"/>
  <c r="O769" i="10"/>
  <c r="O768" i="10"/>
  <c r="O767" i="10"/>
  <c r="O765" i="10"/>
  <c r="O764" i="10"/>
  <c r="O763" i="10"/>
  <c r="O762" i="10"/>
  <c r="O761" i="10"/>
  <c r="O760" i="10"/>
  <c r="O759" i="10"/>
  <c r="O757" i="10"/>
  <c r="O756" i="10"/>
  <c r="O755" i="10"/>
  <c r="O754" i="10"/>
  <c r="O753" i="10"/>
  <c r="O752" i="10"/>
  <c r="O751" i="10"/>
  <c r="O749" i="10"/>
  <c r="O748" i="10"/>
  <c r="O747" i="10"/>
  <c r="O746" i="10"/>
  <c r="O745" i="10"/>
  <c r="O744" i="10"/>
  <c r="O743" i="10"/>
  <c r="O741" i="10"/>
  <c r="O740" i="10"/>
  <c r="O739" i="10"/>
  <c r="O738" i="10"/>
  <c r="O737" i="10"/>
  <c r="O736" i="10"/>
  <c r="O735" i="10"/>
  <c r="CD71" i="10"/>
  <c r="C575" i="10" s="1"/>
  <c r="M812" i="10"/>
  <c r="M811" i="10"/>
  <c r="M810" i="10"/>
  <c r="M809" i="10"/>
  <c r="M808" i="10"/>
  <c r="M807" i="10"/>
  <c r="M806" i="10"/>
  <c r="M805" i="10"/>
  <c r="M804" i="10"/>
  <c r="M803" i="10"/>
  <c r="M802" i="10"/>
  <c r="M801" i="10"/>
  <c r="M800" i="10"/>
  <c r="M799" i="10"/>
  <c r="M798" i="10"/>
  <c r="M797" i="10"/>
  <c r="M796" i="10"/>
  <c r="M795" i="10"/>
  <c r="M794" i="10"/>
  <c r="M793" i="10"/>
  <c r="M792" i="10"/>
  <c r="M791" i="10"/>
  <c r="M790" i="10"/>
  <c r="M789" i="10"/>
  <c r="M788" i="10"/>
  <c r="M787" i="10"/>
  <c r="M786" i="10"/>
  <c r="M785" i="10"/>
  <c r="M784" i="10"/>
  <c r="M783" i="10"/>
  <c r="M782" i="10"/>
  <c r="M781" i="10"/>
  <c r="M780" i="10"/>
  <c r="M779" i="10"/>
  <c r="M778" i="10"/>
  <c r="M777" i="10"/>
  <c r="M776" i="10"/>
  <c r="M775" i="10"/>
  <c r="M774" i="10"/>
  <c r="M773" i="10"/>
  <c r="M772" i="10"/>
  <c r="M771" i="10"/>
  <c r="M770" i="10"/>
  <c r="M769" i="10"/>
  <c r="M768" i="10"/>
  <c r="M767" i="10"/>
  <c r="M766" i="10"/>
  <c r="M765" i="10"/>
  <c r="M764" i="10"/>
  <c r="M763" i="10"/>
  <c r="M762" i="10"/>
  <c r="M761" i="10"/>
  <c r="M760" i="10"/>
  <c r="M759" i="10"/>
  <c r="M758" i="10"/>
  <c r="M757" i="10"/>
  <c r="M756" i="10"/>
  <c r="M755" i="10"/>
  <c r="M754" i="10"/>
  <c r="M753" i="10"/>
  <c r="M752" i="10"/>
  <c r="M751" i="10"/>
  <c r="M750" i="10"/>
  <c r="M749" i="10"/>
  <c r="M748" i="10"/>
  <c r="M747" i="10"/>
  <c r="M746" i="10"/>
  <c r="M745" i="10"/>
  <c r="M744" i="10"/>
  <c r="M743" i="10"/>
  <c r="M742" i="10"/>
  <c r="M741" i="10"/>
  <c r="M740" i="10"/>
  <c r="M739" i="10"/>
  <c r="M738" i="10"/>
  <c r="M737" i="10"/>
  <c r="M736" i="10"/>
  <c r="M735" i="10"/>
  <c r="M734" i="10"/>
  <c r="L812" i="10"/>
  <c r="L811" i="10"/>
  <c r="L810" i="10"/>
  <c r="L809" i="10"/>
  <c r="L808" i="10"/>
  <c r="L807" i="10"/>
  <c r="L806" i="10"/>
  <c r="L805" i="10"/>
  <c r="L804" i="10"/>
  <c r="L803" i="10"/>
  <c r="L802" i="10"/>
  <c r="L801" i="10"/>
  <c r="L800" i="10"/>
  <c r="L799" i="10"/>
  <c r="L798" i="10"/>
  <c r="L797" i="10"/>
  <c r="L796" i="10"/>
  <c r="L795" i="10"/>
  <c r="L794" i="10"/>
  <c r="L793" i="10"/>
  <c r="L792" i="10"/>
  <c r="L791" i="10"/>
  <c r="L790" i="10"/>
  <c r="L789" i="10"/>
  <c r="L788" i="10"/>
  <c r="L787" i="10"/>
  <c r="L786" i="10"/>
  <c r="L785" i="10"/>
  <c r="L784" i="10"/>
  <c r="L783" i="10"/>
  <c r="L782" i="10"/>
  <c r="L781" i="10"/>
  <c r="L780" i="10"/>
  <c r="L779" i="10"/>
  <c r="L778" i="10"/>
  <c r="L777" i="10"/>
  <c r="L776" i="10"/>
  <c r="L775" i="10"/>
  <c r="L774" i="10"/>
  <c r="L773" i="10"/>
  <c r="L772" i="10"/>
  <c r="L771" i="10"/>
  <c r="L770" i="10"/>
  <c r="L769" i="10"/>
  <c r="L768" i="10"/>
  <c r="L767" i="10"/>
  <c r="L766" i="10"/>
  <c r="L765" i="10"/>
  <c r="L764" i="10"/>
  <c r="L763" i="10"/>
  <c r="L762" i="10"/>
  <c r="L761" i="10"/>
  <c r="L760" i="10"/>
  <c r="L759" i="10"/>
  <c r="L758" i="10"/>
  <c r="L757" i="10"/>
  <c r="L756" i="10"/>
  <c r="L755" i="10"/>
  <c r="L754" i="10"/>
  <c r="L753" i="10"/>
  <c r="L752" i="10"/>
  <c r="L751" i="10"/>
  <c r="L750" i="10"/>
  <c r="L749" i="10"/>
  <c r="L748" i="10"/>
  <c r="L747" i="10"/>
  <c r="L746" i="10"/>
  <c r="L745" i="10"/>
  <c r="L744" i="10"/>
  <c r="L743" i="10"/>
  <c r="L742" i="10"/>
  <c r="L741" i="10"/>
  <c r="L740" i="10"/>
  <c r="L739" i="10"/>
  <c r="L738" i="10"/>
  <c r="L737" i="10"/>
  <c r="L736" i="10"/>
  <c r="L735" i="10"/>
  <c r="L734" i="10"/>
  <c r="K812" i="10"/>
  <c r="K811" i="10"/>
  <c r="K810" i="10"/>
  <c r="K809" i="10"/>
  <c r="K808" i="10"/>
  <c r="K807" i="10"/>
  <c r="K806" i="10"/>
  <c r="K805" i="10"/>
  <c r="K804" i="10"/>
  <c r="K803" i="10"/>
  <c r="K802" i="10"/>
  <c r="K801" i="10"/>
  <c r="K800" i="10"/>
  <c r="K799" i="10"/>
  <c r="K798" i="10"/>
  <c r="K797" i="10"/>
  <c r="K796" i="10"/>
  <c r="K795" i="10"/>
  <c r="K794" i="10"/>
  <c r="K793" i="10"/>
  <c r="K792" i="10"/>
  <c r="K791" i="10"/>
  <c r="K790" i="10"/>
  <c r="K789" i="10"/>
  <c r="K788" i="10"/>
  <c r="K787" i="10"/>
  <c r="K786" i="10"/>
  <c r="K785" i="10"/>
  <c r="K784" i="10"/>
  <c r="K783" i="10"/>
  <c r="K782" i="10"/>
  <c r="K781" i="10"/>
  <c r="K780" i="10"/>
  <c r="K779" i="10"/>
  <c r="K778" i="10"/>
  <c r="K777" i="10"/>
  <c r="K776" i="10"/>
  <c r="K775" i="10"/>
  <c r="K774" i="10"/>
  <c r="K773" i="10"/>
  <c r="K772" i="10"/>
  <c r="K771" i="10"/>
  <c r="K770" i="10"/>
  <c r="K769" i="10"/>
  <c r="K768" i="10"/>
  <c r="K767" i="10"/>
  <c r="K766" i="10"/>
  <c r="K765" i="10"/>
  <c r="K764" i="10"/>
  <c r="K763" i="10"/>
  <c r="K762" i="10"/>
  <c r="K761" i="10"/>
  <c r="K760" i="10"/>
  <c r="K759" i="10"/>
  <c r="K758" i="10"/>
  <c r="K757" i="10"/>
  <c r="K756" i="10"/>
  <c r="K755" i="10"/>
  <c r="K754" i="10"/>
  <c r="K753" i="10"/>
  <c r="K752" i="10"/>
  <c r="K751" i="10"/>
  <c r="K750" i="10"/>
  <c r="K749" i="10"/>
  <c r="K748" i="10"/>
  <c r="K747" i="10"/>
  <c r="K746" i="10"/>
  <c r="K745" i="10"/>
  <c r="K744" i="10"/>
  <c r="K743" i="10"/>
  <c r="K742" i="10"/>
  <c r="K741" i="10"/>
  <c r="K740" i="10"/>
  <c r="K739" i="10"/>
  <c r="K738" i="10"/>
  <c r="K737" i="10"/>
  <c r="K736" i="10"/>
  <c r="K735" i="10"/>
  <c r="K734" i="10"/>
  <c r="I812" i="10"/>
  <c r="I811" i="10"/>
  <c r="I810" i="10"/>
  <c r="I809" i="10"/>
  <c r="I808" i="10"/>
  <c r="I807" i="10"/>
  <c r="I806" i="10"/>
  <c r="I805" i="10"/>
  <c r="I804" i="10"/>
  <c r="I803" i="10"/>
  <c r="I802" i="10"/>
  <c r="I801" i="10"/>
  <c r="I800" i="10"/>
  <c r="I799" i="10"/>
  <c r="I798" i="10"/>
  <c r="I797" i="10"/>
  <c r="I796" i="10"/>
  <c r="I795" i="10"/>
  <c r="I794" i="10"/>
  <c r="I793" i="10"/>
  <c r="I792" i="10"/>
  <c r="I791" i="10"/>
  <c r="I790" i="10"/>
  <c r="I789" i="10"/>
  <c r="I788" i="10"/>
  <c r="I787" i="10"/>
  <c r="I786" i="10"/>
  <c r="I785" i="10"/>
  <c r="I784" i="10"/>
  <c r="I783" i="10"/>
  <c r="I782" i="10"/>
  <c r="I781" i="10"/>
  <c r="I780" i="10"/>
  <c r="I779" i="10"/>
  <c r="I778" i="10"/>
  <c r="I777" i="10"/>
  <c r="I776" i="10"/>
  <c r="I775" i="10"/>
  <c r="I774" i="10"/>
  <c r="I773" i="10"/>
  <c r="I772" i="10"/>
  <c r="I771" i="10"/>
  <c r="I770" i="10"/>
  <c r="I769" i="10"/>
  <c r="I768" i="10"/>
  <c r="I767" i="10"/>
  <c r="I766" i="10"/>
  <c r="I765" i="10"/>
  <c r="I764" i="10"/>
  <c r="I763" i="10"/>
  <c r="I762" i="10"/>
  <c r="I761" i="10"/>
  <c r="I760" i="10"/>
  <c r="I759" i="10"/>
  <c r="I758" i="10"/>
  <c r="I757" i="10"/>
  <c r="I756" i="10"/>
  <c r="I755" i="10"/>
  <c r="I754" i="10"/>
  <c r="I753" i="10"/>
  <c r="I752" i="10"/>
  <c r="I751" i="10"/>
  <c r="I750" i="10"/>
  <c r="I749" i="10"/>
  <c r="I748" i="10"/>
  <c r="I747" i="10"/>
  <c r="I746" i="10"/>
  <c r="I745" i="10"/>
  <c r="I744" i="10"/>
  <c r="I743" i="10"/>
  <c r="I742" i="10"/>
  <c r="I741" i="10"/>
  <c r="I740" i="10"/>
  <c r="I739" i="10"/>
  <c r="I738" i="10"/>
  <c r="I737" i="10"/>
  <c r="I736" i="10"/>
  <c r="I735" i="10"/>
  <c r="I734" i="10"/>
  <c r="H812" i="10"/>
  <c r="H811" i="10"/>
  <c r="H810" i="10"/>
  <c r="H809" i="10"/>
  <c r="H808" i="10"/>
  <c r="H807" i="10"/>
  <c r="H806" i="10"/>
  <c r="H805" i="10"/>
  <c r="H804" i="10"/>
  <c r="H803" i="10"/>
  <c r="H802" i="10"/>
  <c r="H801" i="10"/>
  <c r="H800" i="10"/>
  <c r="H799" i="10"/>
  <c r="H798" i="10"/>
  <c r="H797" i="10"/>
  <c r="H796" i="10"/>
  <c r="H795" i="10"/>
  <c r="H794" i="10"/>
  <c r="H793" i="10"/>
  <c r="H792" i="10"/>
  <c r="H791" i="10"/>
  <c r="H790" i="10"/>
  <c r="H789" i="10"/>
  <c r="H788" i="10"/>
  <c r="H787" i="10"/>
  <c r="H786" i="10"/>
  <c r="H785" i="10"/>
  <c r="H784" i="10"/>
  <c r="H783" i="10"/>
  <c r="H782" i="10"/>
  <c r="H781" i="10"/>
  <c r="H780" i="10"/>
  <c r="H779" i="10"/>
  <c r="H778" i="10"/>
  <c r="H777" i="10"/>
  <c r="H776" i="10"/>
  <c r="H775" i="10"/>
  <c r="H774" i="10"/>
  <c r="H773" i="10"/>
  <c r="H772" i="10"/>
  <c r="H771" i="10"/>
  <c r="H770" i="10"/>
  <c r="H769" i="10"/>
  <c r="H768" i="10"/>
  <c r="H767" i="10"/>
  <c r="H766" i="10"/>
  <c r="H765" i="10"/>
  <c r="H764" i="10"/>
  <c r="H763" i="10"/>
  <c r="H762" i="10"/>
  <c r="H761" i="10"/>
  <c r="H760" i="10"/>
  <c r="H759" i="10"/>
  <c r="H758" i="10"/>
  <c r="H757" i="10"/>
  <c r="H756" i="10"/>
  <c r="H755" i="10"/>
  <c r="H754" i="10"/>
  <c r="H753" i="10"/>
  <c r="H752" i="10"/>
  <c r="H751" i="10"/>
  <c r="H750" i="10"/>
  <c r="H749" i="10"/>
  <c r="H748" i="10"/>
  <c r="H747" i="10"/>
  <c r="H746" i="10"/>
  <c r="H745" i="10"/>
  <c r="H744" i="10"/>
  <c r="H743" i="10"/>
  <c r="H742" i="10"/>
  <c r="H741" i="10"/>
  <c r="H740" i="10"/>
  <c r="H739" i="10"/>
  <c r="H738" i="10"/>
  <c r="H737" i="10"/>
  <c r="H736" i="10"/>
  <c r="H735" i="10"/>
  <c r="H734" i="10"/>
  <c r="G812" i="10"/>
  <c r="G811" i="10"/>
  <c r="G810" i="10"/>
  <c r="G809" i="10"/>
  <c r="G808" i="10"/>
  <c r="G807" i="10"/>
  <c r="G806" i="10"/>
  <c r="G805" i="10"/>
  <c r="G804" i="10"/>
  <c r="G803" i="10"/>
  <c r="G802" i="10"/>
  <c r="G801" i="10"/>
  <c r="G800" i="10"/>
  <c r="G799" i="10"/>
  <c r="G798" i="10"/>
  <c r="G797" i="10"/>
  <c r="G796" i="10"/>
  <c r="G795" i="10"/>
  <c r="G794" i="10"/>
  <c r="G793" i="10"/>
  <c r="G792" i="10"/>
  <c r="G791" i="10"/>
  <c r="G790" i="10"/>
  <c r="G789" i="10"/>
  <c r="G788" i="10"/>
  <c r="G787" i="10"/>
  <c r="G786" i="10"/>
  <c r="G785" i="10"/>
  <c r="G784" i="10"/>
  <c r="G783" i="10"/>
  <c r="G782" i="10"/>
  <c r="G781" i="10"/>
  <c r="G780" i="10"/>
  <c r="G779" i="10"/>
  <c r="G778" i="10"/>
  <c r="G777" i="10"/>
  <c r="G776" i="10"/>
  <c r="G775" i="10"/>
  <c r="G774" i="10"/>
  <c r="G773" i="10"/>
  <c r="G772" i="10"/>
  <c r="G771" i="10"/>
  <c r="G770" i="10"/>
  <c r="G769" i="10"/>
  <c r="G768" i="10"/>
  <c r="G767" i="10"/>
  <c r="G766" i="10"/>
  <c r="G765" i="10"/>
  <c r="G764" i="10"/>
  <c r="G763" i="10"/>
  <c r="G762" i="10"/>
  <c r="G761" i="10"/>
  <c r="G760" i="10"/>
  <c r="G759" i="10"/>
  <c r="G758" i="10"/>
  <c r="G757" i="10"/>
  <c r="G756" i="10"/>
  <c r="G755" i="10"/>
  <c r="G754" i="10"/>
  <c r="G753" i="10"/>
  <c r="G752" i="10"/>
  <c r="G751" i="10"/>
  <c r="G750" i="10"/>
  <c r="G749" i="10"/>
  <c r="G748" i="10"/>
  <c r="G747" i="10"/>
  <c r="G746" i="10"/>
  <c r="G745" i="10"/>
  <c r="G744" i="10"/>
  <c r="G743" i="10"/>
  <c r="G742" i="10"/>
  <c r="G741" i="10"/>
  <c r="G740" i="10"/>
  <c r="G739" i="10"/>
  <c r="G738" i="10"/>
  <c r="G737" i="10"/>
  <c r="G736" i="10"/>
  <c r="G735" i="10"/>
  <c r="G734" i="10"/>
  <c r="F812" i="10"/>
  <c r="F811" i="10"/>
  <c r="F810" i="10"/>
  <c r="F809" i="10"/>
  <c r="F808" i="10"/>
  <c r="F807" i="10"/>
  <c r="F806" i="10"/>
  <c r="F805" i="10"/>
  <c r="F804" i="10"/>
  <c r="F803" i="10"/>
  <c r="F802" i="10"/>
  <c r="F801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7" i="10"/>
  <c r="F786" i="10"/>
  <c r="F785" i="10"/>
  <c r="F784" i="10"/>
  <c r="F783" i="10"/>
  <c r="F782" i="10"/>
  <c r="F781" i="10"/>
  <c r="F780" i="10"/>
  <c r="F779" i="10"/>
  <c r="F778" i="10"/>
  <c r="F777" i="10"/>
  <c r="F776" i="10"/>
  <c r="F775" i="10"/>
  <c r="F774" i="10"/>
  <c r="F773" i="10"/>
  <c r="F772" i="10"/>
  <c r="F771" i="10"/>
  <c r="F770" i="10"/>
  <c r="F769" i="10"/>
  <c r="F768" i="10"/>
  <c r="F767" i="10"/>
  <c r="F766" i="10"/>
  <c r="F765" i="10"/>
  <c r="F764" i="10"/>
  <c r="F763" i="10"/>
  <c r="F762" i="10"/>
  <c r="F761" i="10"/>
  <c r="F760" i="10"/>
  <c r="F759" i="10"/>
  <c r="F758" i="10"/>
  <c r="F757" i="10"/>
  <c r="F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D812" i="10"/>
  <c r="D811" i="10"/>
  <c r="D810" i="10"/>
  <c r="D809" i="10"/>
  <c r="D808" i="10"/>
  <c r="D807" i="10"/>
  <c r="D806" i="10"/>
  <c r="D805" i="10"/>
  <c r="D804" i="10"/>
  <c r="D803" i="10"/>
  <c r="D802" i="10"/>
  <c r="D801" i="10"/>
  <c r="D800" i="10"/>
  <c r="D799" i="10"/>
  <c r="D798" i="10"/>
  <c r="D797" i="10"/>
  <c r="D796" i="10"/>
  <c r="D795" i="10"/>
  <c r="D794" i="10"/>
  <c r="D793" i="10"/>
  <c r="D792" i="10"/>
  <c r="D791" i="10"/>
  <c r="D790" i="10"/>
  <c r="D789" i="10"/>
  <c r="D788" i="10"/>
  <c r="D787" i="10"/>
  <c r="D786" i="10"/>
  <c r="D785" i="10"/>
  <c r="D784" i="10"/>
  <c r="D783" i="10"/>
  <c r="D782" i="10"/>
  <c r="D781" i="10"/>
  <c r="D780" i="10"/>
  <c r="D779" i="10"/>
  <c r="D778" i="10"/>
  <c r="D777" i="10"/>
  <c r="D776" i="10"/>
  <c r="D775" i="10"/>
  <c r="D774" i="10"/>
  <c r="D773" i="10"/>
  <c r="D772" i="10"/>
  <c r="D771" i="10"/>
  <c r="D770" i="10"/>
  <c r="D769" i="10"/>
  <c r="D768" i="10"/>
  <c r="D767" i="10"/>
  <c r="D766" i="10"/>
  <c r="D765" i="10"/>
  <c r="D764" i="10"/>
  <c r="D763" i="10"/>
  <c r="D762" i="10"/>
  <c r="D761" i="10"/>
  <c r="D760" i="10"/>
  <c r="D759" i="10"/>
  <c r="D758" i="10"/>
  <c r="D757" i="10"/>
  <c r="D756" i="10"/>
  <c r="D755" i="10"/>
  <c r="D754" i="10"/>
  <c r="D753" i="10"/>
  <c r="D752" i="10"/>
  <c r="D751" i="10"/>
  <c r="D750" i="10"/>
  <c r="D749" i="10"/>
  <c r="D748" i="10"/>
  <c r="D747" i="10"/>
  <c r="D746" i="10"/>
  <c r="D745" i="10"/>
  <c r="D744" i="10"/>
  <c r="D743" i="10"/>
  <c r="D742" i="10"/>
  <c r="D741" i="10"/>
  <c r="D740" i="10"/>
  <c r="D739" i="10"/>
  <c r="D738" i="10"/>
  <c r="D737" i="10"/>
  <c r="D736" i="10"/>
  <c r="D735" i="10"/>
  <c r="D734" i="10"/>
  <c r="C812" i="10"/>
  <c r="C811" i="10"/>
  <c r="C810" i="10"/>
  <c r="C809" i="10"/>
  <c r="C808" i="10"/>
  <c r="C807" i="10"/>
  <c r="C806" i="10"/>
  <c r="C805" i="10"/>
  <c r="C804" i="10"/>
  <c r="C803" i="10"/>
  <c r="C802" i="10"/>
  <c r="C801" i="10"/>
  <c r="C800" i="10"/>
  <c r="C799" i="10"/>
  <c r="C798" i="10"/>
  <c r="C797" i="10"/>
  <c r="C796" i="10"/>
  <c r="C795" i="10"/>
  <c r="C794" i="10"/>
  <c r="C793" i="10"/>
  <c r="C792" i="10"/>
  <c r="C791" i="10"/>
  <c r="C790" i="10"/>
  <c r="C789" i="10"/>
  <c r="C788" i="10"/>
  <c r="C787" i="10"/>
  <c r="C786" i="10"/>
  <c r="C785" i="10"/>
  <c r="C784" i="10"/>
  <c r="C783" i="10"/>
  <c r="C782" i="10"/>
  <c r="C781" i="10"/>
  <c r="C780" i="10"/>
  <c r="C779" i="10"/>
  <c r="C778" i="10"/>
  <c r="C777" i="10"/>
  <c r="C776" i="10"/>
  <c r="C775" i="10"/>
  <c r="C774" i="10"/>
  <c r="C773" i="10"/>
  <c r="C772" i="10"/>
  <c r="C771" i="10"/>
  <c r="C770" i="10"/>
  <c r="C769" i="10"/>
  <c r="C768" i="10"/>
  <c r="C767" i="10"/>
  <c r="C766" i="10"/>
  <c r="C765" i="10"/>
  <c r="C764" i="10"/>
  <c r="C763" i="10"/>
  <c r="C762" i="10"/>
  <c r="C761" i="10"/>
  <c r="C760" i="10"/>
  <c r="C759" i="10"/>
  <c r="C758" i="10"/>
  <c r="C757" i="10"/>
  <c r="C756" i="10"/>
  <c r="C755" i="10"/>
  <c r="C754" i="10"/>
  <c r="C753" i="10"/>
  <c r="C752" i="10"/>
  <c r="C751" i="10"/>
  <c r="C750" i="10"/>
  <c r="C749" i="10"/>
  <c r="C748" i="10"/>
  <c r="C747" i="10"/>
  <c r="C746" i="10"/>
  <c r="C745" i="10"/>
  <c r="C744" i="10"/>
  <c r="C743" i="10"/>
  <c r="C742" i="10"/>
  <c r="C741" i="10"/>
  <c r="C740" i="10"/>
  <c r="C739" i="10"/>
  <c r="C738" i="10"/>
  <c r="C737" i="10"/>
  <c r="C736" i="10"/>
  <c r="C735" i="10"/>
  <c r="C734" i="10"/>
  <c r="B53" i="10"/>
  <c r="CE51" i="10"/>
  <c r="B49" i="10"/>
  <c r="D390" i="10" l="1"/>
  <c r="B441" i="10" s="1"/>
  <c r="B465" i="10"/>
  <c r="E142" i="10"/>
  <c r="E198" i="10"/>
  <c r="C471" i="10" s="1"/>
  <c r="D240" i="10"/>
  <c r="B447" i="10" s="1"/>
  <c r="E203" i="10"/>
  <c r="C475" i="10" s="1"/>
  <c r="D328" i="10"/>
  <c r="D330" i="10" s="1"/>
  <c r="C204" i="10"/>
  <c r="C217" i="10"/>
  <c r="D433" i="10" s="1"/>
  <c r="D275" i="10"/>
  <c r="D367" i="10"/>
  <c r="D368" i="10" s="1"/>
  <c r="C447" i="10"/>
  <c r="E199" i="10"/>
  <c r="C472" i="10" s="1"/>
  <c r="D204" i="10"/>
  <c r="D260" i="10"/>
  <c r="B475" i="10"/>
  <c r="D464" i="10"/>
  <c r="D173" i="10"/>
  <c r="D428" i="10" s="1"/>
  <c r="O758" i="10"/>
  <c r="AA75" i="10"/>
  <c r="N758" i="10" s="1"/>
  <c r="F509" i="10"/>
  <c r="F521" i="10"/>
  <c r="O742" i="10"/>
  <c r="K75" i="10"/>
  <c r="N742" i="10" s="1"/>
  <c r="F734" i="10"/>
  <c r="F815" i="10" s="1"/>
  <c r="CE63" i="10"/>
  <c r="R734" i="10"/>
  <c r="R815" i="10" s="1"/>
  <c r="CE78" i="10"/>
  <c r="AH730" i="10"/>
  <c r="D314" i="10"/>
  <c r="D339" i="10" s="1"/>
  <c r="C482" i="10" s="1"/>
  <c r="O750" i="10"/>
  <c r="S75" i="10"/>
  <c r="N750" i="10" s="1"/>
  <c r="CE47" i="10"/>
  <c r="O734" i="10"/>
  <c r="C75" i="10"/>
  <c r="CE73" i="10"/>
  <c r="D373" i="10"/>
  <c r="D391" i="10" s="1"/>
  <c r="D393" i="10" s="1"/>
  <c r="D396" i="10" s="1"/>
  <c r="O766" i="10"/>
  <c r="AI75" i="10"/>
  <c r="N766" i="10" s="1"/>
  <c r="CE60" i="10"/>
  <c r="CE61" i="10"/>
  <c r="O774" i="10"/>
  <c r="AQ75" i="10"/>
  <c r="N774" i="10" s="1"/>
  <c r="C815" i="10"/>
  <c r="D815" i="10"/>
  <c r="B440" i="10"/>
  <c r="H527" i="10"/>
  <c r="F527" i="10"/>
  <c r="Y726" i="10"/>
  <c r="E139" i="10"/>
  <c r="C415" i="10" s="1"/>
  <c r="H501" i="10"/>
  <c r="F501" i="10"/>
  <c r="G815" i="10"/>
  <c r="H815" i="10"/>
  <c r="I815" i="10"/>
  <c r="K815" i="10"/>
  <c r="L815" i="10"/>
  <c r="M815" i="10"/>
  <c r="D75" i="10"/>
  <c r="N735" i="10" s="1"/>
  <c r="L75" i="10"/>
  <c r="N743" i="10" s="1"/>
  <c r="T75" i="10"/>
  <c r="N751" i="10" s="1"/>
  <c r="AB75" i="10"/>
  <c r="N759" i="10" s="1"/>
  <c r="AJ75" i="10"/>
  <c r="N767" i="10" s="1"/>
  <c r="AR75" i="10"/>
  <c r="N775" i="10" s="1"/>
  <c r="E138" i="10"/>
  <c r="C414" i="10" s="1"/>
  <c r="E200" i="10"/>
  <c r="C473" i="10" s="1"/>
  <c r="M817" i="10"/>
  <c r="BO730" i="10"/>
  <c r="C448" i="10"/>
  <c r="F512" i="10"/>
  <c r="H534" i="10"/>
  <c r="F534" i="10"/>
  <c r="F546" i="10"/>
  <c r="F75" i="10"/>
  <c r="N737" i="10" s="1"/>
  <c r="N75" i="10"/>
  <c r="N745" i="10" s="1"/>
  <c r="V75" i="10"/>
  <c r="N753" i="10" s="1"/>
  <c r="AD75" i="10"/>
  <c r="N761" i="10" s="1"/>
  <c r="AL75" i="10"/>
  <c r="N769" i="10" s="1"/>
  <c r="AT75" i="10"/>
  <c r="N777" i="10" s="1"/>
  <c r="C439" i="10"/>
  <c r="C445" i="10"/>
  <c r="F496" i="10"/>
  <c r="F504" i="10"/>
  <c r="F516" i="10"/>
  <c r="F522" i="10"/>
  <c r="F530" i="10"/>
  <c r="G75" i="10"/>
  <c r="N738" i="10" s="1"/>
  <c r="O75" i="10"/>
  <c r="N746" i="10" s="1"/>
  <c r="W75" i="10"/>
  <c r="N754" i="10" s="1"/>
  <c r="AE75" i="10"/>
  <c r="N762" i="10" s="1"/>
  <c r="AM75" i="10"/>
  <c r="N770" i="10" s="1"/>
  <c r="AU75" i="10"/>
  <c r="N778" i="10" s="1"/>
  <c r="S816" i="10"/>
  <c r="J612" i="10"/>
  <c r="CE80" i="10"/>
  <c r="D177" i="10"/>
  <c r="D434" i="10" s="1"/>
  <c r="D229" i="10"/>
  <c r="B445" i="10" s="1"/>
  <c r="D817" i="10"/>
  <c r="BQ730" i="10"/>
  <c r="F503" i="10"/>
  <c r="F511" i="10"/>
  <c r="F515" i="10"/>
  <c r="F529" i="10"/>
  <c r="H537" i="10"/>
  <c r="F539" i="10"/>
  <c r="H75" i="10"/>
  <c r="N739" i="10" s="1"/>
  <c r="P75" i="10"/>
  <c r="N747" i="10" s="1"/>
  <c r="X75" i="10"/>
  <c r="N755" i="10" s="1"/>
  <c r="AF75" i="10"/>
  <c r="N763" i="10" s="1"/>
  <c r="AN75" i="10"/>
  <c r="N771" i="10" s="1"/>
  <c r="AV75" i="10"/>
  <c r="N779" i="10" s="1"/>
  <c r="I817" i="10"/>
  <c r="BV730" i="10"/>
  <c r="B458" i="10"/>
  <c r="I75" i="10"/>
  <c r="N740" i="10" s="1"/>
  <c r="Q75" i="10"/>
  <c r="N748" i="10" s="1"/>
  <c r="Y75" i="10"/>
  <c r="N756" i="10" s="1"/>
  <c r="AG75" i="10"/>
  <c r="N764" i="10" s="1"/>
  <c r="AO75" i="10"/>
  <c r="N772" i="10" s="1"/>
  <c r="CE76" i="10"/>
  <c r="T815" i="10"/>
  <c r="D181" i="10"/>
  <c r="D217" i="10"/>
  <c r="L817" i="10"/>
  <c r="CC730" i="10"/>
  <c r="B427" i="10"/>
  <c r="J75" i="10"/>
  <c r="N741" i="10" s="1"/>
  <c r="R75" i="10"/>
  <c r="N749" i="10" s="1"/>
  <c r="Z75" i="10"/>
  <c r="N757" i="10" s="1"/>
  <c r="AH75" i="10"/>
  <c r="N765" i="10" s="1"/>
  <c r="AP75" i="10"/>
  <c r="N773" i="10" s="1"/>
  <c r="P815" i="10"/>
  <c r="CE64" i="10"/>
  <c r="CE65" i="10"/>
  <c r="CE66" i="10"/>
  <c r="CE68" i="10"/>
  <c r="CE69" i="10"/>
  <c r="CE70" i="10"/>
  <c r="Q816" i="10"/>
  <c r="G612" i="10"/>
  <c r="E141" i="10"/>
  <c r="D463" i="10" s="1"/>
  <c r="D465" i="10" s="1"/>
  <c r="E213" i="10"/>
  <c r="E217" i="10" s="1"/>
  <c r="C478" i="10" s="1"/>
  <c r="B444" i="10"/>
  <c r="Q815" i="10"/>
  <c r="F536" i="10"/>
  <c r="F545" i="10"/>
  <c r="S815" i="10"/>
  <c r="D242" i="10" l="1"/>
  <c r="B448" i="10" s="1"/>
  <c r="E204" i="10"/>
  <c r="C476" i="10" s="1"/>
  <c r="O815" i="10"/>
  <c r="D277" i="10"/>
  <c r="D292" i="10" s="1"/>
  <c r="D341" i="10" s="1"/>
  <c r="C481" i="10" s="1"/>
  <c r="B476" i="10"/>
  <c r="L816" i="10"/>
  <c r="C440" i="10"/>
  <c r="N734" i="10"/>
  <c r="N815" i="10" s="1"/>
  <c r="CE75" i="10"/>
  <c r="R816" i="10"/>
  <c r="I612" i="10"/>
  <c r="I816" i="10"/>
  <c r="C432" i="10"/>
  <c r="D438" i="10"/>
  <c r="D435" i="10"/>
  <c r="T816" i="10"/>
  <c r="L612" i="10"/>
  <c r="H816" i="10"/>
  <c r="C431" i="10"/>
  <c r="G816" i="10"/>
  <c r="F612" i="10"/>
  <c r="C430" i="10"/>
  <c r="P816" i="10"/>
  <c r="CF76" i="10"/>
  <c r="BY52" i="10" s="1"/>
  <c r="BY67" i="10" s="1"/>
  <c r="J808" i="10" s="1"/>
  <c r="D612" i="10"/>
  <c r="BA52" i="10"/>
  <c r="BA67" i="10" s="1"/>
  <c r="J784" i="10" s="1"/>
  <c r="AC52" i="10"/>
  <c r="AC67" i="10" s="1"/>
  <c r="J760" i="10" s="1"/>
  <c r="U52" i="10"/>
  <c r="U67" i="10" s="1"/>
  <c r="J752" i="10" s="1"/>
  <c r="BB52" i="10"/>
  <c r="BB67" i="10" s="1"/>
  <c r="J785" i="10" s="1"/>
  <c r="BX52" i="10"/>
  <c r="BX67" i="10" s="1"/>
  <c r="J807" i="10" s="1"/>
  <c r="BP52" i="10"/>
  <c r="BP67" i="10" s="1"/>
  <c r="J799" i="10" s="1"/>
  <c r="AR52" i="10"/>
  <c r="AR67" i="10" s="1"/>
  <c r="J775" i="10" s="1"/>
  <c r="AJ52" i="10"/>
  <c r="AJ67" i="10" s="1"/>
  <c r="J767" i="10" s="1"/>
  <c r="T52" i="10"/>
  <c r="T67" i="10" s="1"/>
  <c r="J751" i="10" s="1"/>
  <c r="D52" i="10"/>
  <c r="D67" i="10" s="1"/>
  <c r="J735" i="10" s="1"/>
  <c r="BO52" i="10"/>
  <c r="BO67" i="10" s="1"/>
  <c r="J798" i="10" s="1"/>
  <c r="BG52" i="10"/>
  <c r="BG67" i="10" s="1"/>
  <c r="J790" i="10" s="1"/>
  <c r="AQ52" i="10"/>
  <c r="AQ67" i="10" s="1"/>
  <c r="J774" i="10" s="1"/>
  <c r="AI52" i="10"/>
  <c r="AI67" i="10" s="1"/>
  <c r="J766" i="10" s="1"/>
  <c r="AA52" i="10"/>
  <c r="AA67" i="10" s="1"/>
  <c r="J758" i="10" s="1"/>
  <c r="S52" i="10"/>
  <c r="S67" i="10" s="1"/>
  <c r="J750" i="10" s="1"/>
  <c r="K52" i="10"/>
  <c r="K67" i="10" s="1"/>
  <c r="J742" i="10" s="1"/>
  <c r="C52" i="10"/>
  <c r="BV52" i="10"/>
  <c r="BV67" i="10" s="1"/>
  <c r="J805" i="10" s="1"/>
  <c r="BN52" i="10"/>
  <c r="BN67" i="10" s="1"/>
  <c r="J797" i="10" s="1"/>
  <c r="BF52" i="10"/>
  <c r="BF67" i="10" s="1"/>
  <c r="J789" i="10" s="1"/>
  <c r="AX52" i="10"/>
  <c r="AX67" i="10" s="1"/>
  <c r="J781" i="10" s="1"/>
  <c r="AP52" i="10"/>
  <c r="AP67" i="10" s="1"/>
  <c r="J773" i="10" s="1"/>
  <c r="AH52" i="10"/>
  <c r="AH67" i="10" s="1"/>
  <c r="J765" i="10" s="1"/>
  <c r="Z52" i="10"/>
  <c r="Z67" i="10" s="1"/>
  <c r="J757" i="10" s="1"/>
  <c r="R52" i="10"/>
  <c r="R67" i="10" s="1"/>
  <c r="J749" i="10" s="1"/>
  <c r="J52" i="10"/>
  <c r="J67" i="10" s="1"/>
  <c r="J741" i="10" s="1"/>
  <c r="CC52" i="10"/>
  <c r="CC67" i="10" s="1"/>
  <c r="J812" i="10" s="1"/>
  <c r="BU52" i="10"/>
  <c r="BU67" i="10" s="1"/>
  <c r="J804" i="10" s="1"/>
  <c r="BM52" i="10"/>
  <c r="BM67" i="10" s="1"/>
  <c r="J796" i="10" s="1"/>
  <c r="BE52" i="10"/>
  <c r="BE67" i="10" s="1"/>
  <c r="J788" i="10" s="1"/>
  <c r="AW52" i="10"/>
  <c r="AW67" i="10" s="1"/>
  <c r="J780" i="10" s="1"/>
  <c r="AO52" i="10"/>
  <c r="AO67" i="10" s="1"/>
  <c r="J772" i="10" s="1"/>
  <c r="AG52" i="10"/>
  <c r="AG67" i="10" s="1"/>
  <c r="J764" i="10" s="1"/>
  <c r="Y52" i="10"/>
  <c r="Y67" i="10" s="1"/>
  <c r="J756" i="10" s="1"/>
  <c r="Q52" i="10"/>
  <c r="Q67" i="10" s="1"/>
  <c r="J748" i="10" s="1"/>
  <c r="I52" i="10"/>
  <c r="I67" i="10" s="1"/>
  <c r="J740" i="10" s="1"/>
  <c r="CB52" i="10"/>
  <c r="CB67" i="10" s="1"/>
  <c r="J811" i="10" s="1"/>
  <c r="BL52" i="10"/>
  <c r="BL67" i="10" s="1"/>
  <c r="J795" i="10" s="1"/>
  <c r="AV52" i="10"/>
  <c r="AV67" i="10" s="1"/>
  <c r="J779" i="10" s="1"/>
  <c r="AN52" i="10"/>
  <c r="AN67" i="10" s="1"/>
  <c r="J771" i="10" s="1"/>
  <c r="X52" i="10"/>
  <c r="X67" i="10" s="1"/>
  <c r="J755" i="10" s="1"/>
  <c r="H52" i="10"/>
  <c r="H67" i="10" s="1"/>
  <c r="J739" i="10" s="1"/>
  <c r="BT52" i="10"/>
  <c r="BT67" i="10" s="1"/>
  <c r="J803" i="10" s="1"/>
  <c r="BD52" i="10"/>
  <c r="BD67" i="10" s="1"/>
  <c r="J787" i="10" s="1"/>
  <c r="AF52" i="10"/>
  <c r="AF67" i="10" s="1"/>
  <c r="J763" i="10" s="1"/>
  <c r="P52" i="10"/>
  <c r="P67" i="10" s="1"/>
  <c r="J747" i="10" s="1"/>
  <c r="N52" i="10"/>
  <c r="N67" i="10" s="1"/>
  <c r="J745" i="10" s="1"/>
  <c r="CA52" i="10"/>
  <c r="CA67" i="10" s="1"/>
  <c r="J810" i="10" s="1"/>
  <c r="BS52" i="10"/>
  <c r="BS67" i="10" s="1"/>
  <c r="J802" i="10" s="1"/>
  <c r="BK52" i="10"/>
  <c r="BK67" i="10" s="1"/>
  <c r="J794" i="10" s="1"/>
  <c r="BC52" i="10"/>
  <c r="BC67" i="10" s="1"/>
  <c r="J786" i="10" s="1"/>
  <c r="AU52" i="10"/>
  <c r="AU67" i="10" s="1"/>
  <c r="J778" i="10" s="1"/>
  <c r="AM52" i="10"/>
  <c r="AM67" i="10" s="1"/>
  <c r="J770" i="10" s="1"/>
  <c r="AE52" i="10"/>
  <c r="AE67" i="10" s="1"/>
  <c r="J762" i="10" s="1"/>
  <c r="W52" i="10"/>
  <c r="W67" i="10" s="1"/>
  <c r="J754" i="10" s="1"/>
  <c r="O52" i="10"/>
  <c r="O67" i="10" s="1"/>
  <c r="J746" i="10" s="1"/>
  <c r="G52" i="10"/>
  <c r="G67" i="10" s="1"/>
  <c r="J738" i="10" s="1"/>
  <c r="BZ52" i="10"/>
  <c r="BZ67" i="10" s="1"/>
  <c r="J809" i="10" s="1"/>
  <c r="BJ52" i="10"/>
  <c r="BJ67" i="10" s="1"/>
  <c r="J793" i="10" s="1"/>
  <c r="AT52" i="10"/>
  <c r="AT67" i="10" s="1"/>
  <c r="J777" i="10" s="1"/>
  <c r="AD52" i="10"/>
  <c r="AD67" i="10" s="1"/>
  <c r="J761" i="10" s="1"/>
  <c r="F52" i="10"/>
  <c r="F67" i="10" s="1"/>
  <c r="J737" i="10" s="1"/>
  <c r="F816" i="10"/>
  <c r="C429" i="10"/>
  <c r="K816" i="10"/>
  <c r="C434" i="10"/>
  <c r="D816" i="10"/>
  <c r="C427" i="10"/>
  <c r="BZ48" i="10"/>
  <c r="BZ62" i="10" s="1"/>
  <c r="BR48" i="10"/>
  <c r="BR62" i="10" s="1"/>
  <c r="BJ48" i="10"/>
  <c r="BJ62" i="10" s="1"/>
  <c r="BB48" i="10"/>
  <c r="BB62" i="10" s="1"/>
  <c r="AT48" i="10"/>
  <c r="AT62" i="10" s="1"/>
  <c r="AL48" i="10"/>
  <c r="AL62" i="10" s="1"/>
  <c r="AD48" i="10"/>
  <c r="AD62" i="10" s="1"/>
  <c r="V48" i="10"/>
  <c r="V62" i="10" s="1"/>
  <c r="N48" i="10"/>
  <c r="N62" i="10" s="1"/>
  <c r="F48" i="10"/>
  <c r="F62" i="10" s="1"/>
  <c r="W48" i="10"/>
  <c r="W62" i="10" s="1"/>
  <c r="BY48" i="10"/>
  <c r="BY62" i="10" s="1"/>
  <c r="BQ48" i="10"/>
  <c r="BQ62" i="10" s="1"/>
  <c r="BI48" i="10"/>
  <c r="BI62" i="10" s="1"/>
  <c r="BA48" i="10"/>
  <c r="BA62" i="10" s="1"/>
  <c r="AS48" i="10"/>
  <c r="AS62" i="10" s="1"/>
  <c r="AK48" i="10"/>
  <c r="AK62" i="10" s="1"/>
  <c r="AC48" i="10"/>
  <c r="AC62" i="10" s="1"/>
  <c r="U48" i="10"/>
  <c r="U62" i="10" s="1"/>
  <c r="M48" i="10"/>
  <c r="M62" i="10" s="1"/>
  <c r="E48" i="10"/>
  <c r="E62" i="10" s="1"/>
  <c r="O48" i="10"/>
  <c r="O62" i="10" s="1"/>
  <c r="BX48" i="10"/>
  <c r="BX62" i="10" s="1"/>
  <c r="BP48" i="10"/>
  <c r="BP62" i="10" s="1"/>
  <c r="BH48" i="10"/>
  <c r="BH62" i="10" s="1"/>
  <c r="AZ48" i="10"/>
  <c r="AZ62" i="10" s="1"/>
  <c r="AR48" i="10"/>
  <c r="AR62" i="10" s="1"/>
  <c r="AJ48" i="10"/>
  <c r="AJ62" i="10" s="1"/>
  <c r="AB48" i="10"/>
  <c r="AB62" i="10" s="1"/>
  <c r="T48" i="10"/>
  <c r="T62" i="10" s="1"/>
  <c r="L48" i="10"/>
  <c r="L62" i="10" s="1"/>
  <c r="D48" i="10"/>
  <c r="D62" i="10" s="1"/>
  <c r="BK48" i="10"/>
  <c r="BK62" i="10" s="1"/>
  <c r="AE48" i="10"/>
  <c r="AE62" i="10" s="1"/>
  <c r="BW48" i="10"/>
  <c r="BW62" i="10" s="1"/>
  <c r="BO48" i="10"/>
  <c r="BO62" i="10" s="1"/>
  <c r="BG48" i="10"/>
  <c r="BG62" i="10" s="1"/>
  <c r="AY48" i="10"/>
  <c r="AY62" i="10" s="1"/>
  <c r="AQ48" i="10"/>
  <c r="AQ62" i="10" s="1"/>
  <c r="AI48" i="10"/>
  <c r="AI62" i="10" s="1"/>
  <c r="AA48" i="10"/>
  <c r="AA62" i="10" s="1"/>
  <c r="S48" i="10"/>
  <c r="S62" i="10" s="1"/>
  <c r="K48" i="10"/>
  <c r="K62" i="10" s="1"/>
  <c r="C48" i="10"/>
  <c r="CC48" i="10"/>
  <c r="CC62" i="10" s="1"/>
  <c r="BM48" i="10"/>
  <c r="BM62" i="10" s="1"/>
  <c r="BE48" i="10"/>
  <c r="BE62" i="10" s="1"/>
  <c r="AW48" i="10"/>
  <c r="AW62" i="10" s="1"/>
  <c r="AG48" i="10"/>
  <c r="AG62" i="10" s="1"/>
  <c r="Y48" i="10"/>
  <c r="Y62" i="10" s="1"/>
  <c r="I48" i="10"/>
  <c r="I62" i="10" s="1"/>
  <c r="AU48" i="10"/>
  <c r="AU62" i="10" s="1"/>
  <c r="BV48" i="10"/>
  <c r="BV62" i="10" s="1"/>
  <c r="BN48" i="10"/>
  <c r="BN62" i="10" s="1"/>
  <c r="BF48" i="10"/>
  <c r="BF62" i="10" s="1"/>
  <c r="AX48" i="10"/>
  <c r="AX62" i="10" s="1"/>
  <c r="AP48" i="10"/>
  <c r="AP62" i="10" s="1"/>
  <c r="AH48" i="10"/>
  <c r="AH62" i="10" s="1"/>
  <c r="Z48" i="10"/>
  <c r="Z62" i="10" s="1"/>
  <c r="R48" i="10"/>
  <c r="R62" i="10" s="1"/>
  <c r="J48" i="10"/>
  <c r="J62" i="10" s="1"/>
  <c r="BU48" i="10"/>
  <c r="BU62" i="10" s="1"/>
  <c r="AO48" i="10"/>
  <c r="AO62" i="10" s="1"/>
  <c r="Q48" i="10"/>
  <c r="Q62" i="10" s="1"/>
  <c r="CB48" i="10"/>
  <c r="CB62" i="10" s="1"/>
  <c r="BT48" i="10"/>
  <c r="BT62" i="10" s="1"/>
  <c r="BL48" i="10"/>
  <c r="BL62" i="10" s="1"/>
  <c r="BD48" i="10"/>
  <c r="BD62" i="10" s="1"/>
  <c r="AV48" i="10"/>
  <c r="AV62" i="10" s="1"/>
  <c r="AN48" i="10"/>
  <c r="AN62" i="10" s="1"/>
  <c r="AF48" i="10"/>
  <c r="AF62" i="10" s="1"/>
  <c r="X48" i="10"/>
  <c r="X62" i="10" s="1"/>
  <c r="P48" i="10"/>
  <c r="P62" i="10" s="1"/>
  <c r="H48" i="10"/>
  <c r="H62" i="10" s="1"/>
  <c r="CA48" i="10"/>
  <c r="CA62" i="10" s="1"/>
  <c r="BS48" i="10"/>
  <c r="BS62" i="10" s="1"/>
  <c r="BC48" i="10"/>
  <c r="BC62" i="10" s="1"/>
  <c r="AM48" i="10"/>
  <c r="AM62" i="10" s="1"/>
  <c r="G48" i="10"/>
  <c r="G62" i="10" s="1"/>
  <c r="C816" i="10"/>
  <c r="BI730" i="10"/>
  <c r="H612" i="10"/>
  <c r="M816" i="10"/>
  <c r="C458" i="10"/>
  <c r="O816" i="10"/>
  <c r="C463" i="10"/>
  <c r="AY52" i="10" l="1"/>
  <c r="AY67" i="10" s="1"/>
  <c r="J782" i="10" s="1"/>
  <c r="L52" i="10"/>
  <c r="L67" i="10" s="1"/>
  <c r="J743" i="10" s="1"/>
  <c r="AZ52" i="10"/>
  <c r="AZ67" i="10" s="1"/>
  <c r="J783" i="10" s="1"/>
  <c r="BR52" i="10"/>
  <c r="BR67" i="10" s="1"/>
  <c r="J801" i="10" s="1"/>
  <c r="BI52" i="10"/>
  <c r="BI67" i="10" s="1"/>
  <c r="J792" i="10" s="1"/>
  <c r="V52" i="10"/>
  <c r="V67" i="10" s="1"/>
  <c r="J753" i="10" s="1"/>
  <c r="E52" i="10"/>
  <c r="E67" i="10" s="1"/>
  <c r="J736" i="10" s="1"/>
  <c r="AK52" i="10"/>
  <c r="AK67" i="10" s="1"/>
  <c r="J768" i="10" s="1"/>
  <c r="BQ52" i="10"/>
  <c r="BQ67" i="10" s="1"/>
  <c r="J800" i="10" s="1"/>
  <c r="BW52" i="10"/>
  <c r="BW67" i="10" s="1"/>
  <c r="J806" i="10" s="1"/>
  <c r="AB52" i="10"/>
  <c r="AB67" i="10" s="1"/>
  <c r="J759" i="10" s="1"/>
  <c r="BH52" i="10"/>
  <c r="BH67" i="10" s="1"/>
  <c r="J791" i="10" s="1"/>
  <c r="AL52" i="10"/>
  <c r="AL67" i="10" s="1"/>
  <c r="J769" i="10" s="1"/>
  <c r="M52" i="10"/>
  <c r="M67" i="10" s="1"/>
  <c r="J744" i="10" s="1"/>
  <c r="AS52" i="10"/>
  <c r="AS67" i="10" s="1"/>
  <c r="J776" i="10" s="1"/>
  <c r="E796" i="10"/>
  <c r="BM71" i="10"/>
  <c r="E811" i="10"/>
  <c r="CB71" i="10"/>
  <c r="E755" i="10"/>
  <c r="X71" i="10"/>
  <c r="E781" i="10"/>
  <c r="AX71" i="10"/>
  <c r="E766" i="10"/>
  <c r="AI71" i="10"/>
  <c r="E799" i="10"/>
  <c r="BP71" i="10"/>
  <c r="E753" i="10"/>
  <c r="V71" i="10"/>
  <c r="E738" i="10"/>
  <c r="G71" i="10"/>
  <c r="E763" i="10"/>
  <c r="AF71" i="10"/>
  <c r="E772" i="10"/>
  <c r="AO71" i="10"/>
  <c r="E789" i="10"/>
  <c r="BF71" i="10"/>
  <c r="E788" i="10"/>
  <c r="BE71" i="10"/>
  <c r="E774" i="10"/>
  <c r="AQ71" i="10"/>
  <c r="E743" i="10"/>
  <c r="L71" i="10"/>
  <c r="E807" i="10"/>
  <c r="BX71" i="10"/>
  <c r="E784" i="10"/>
  <c r="BA71" i="10"/>
  <c r="E761" i="10"/>
  <c r="AD71" i="10"/>
  <c r="E771" i="10"/>
  <c r="AN71" i="10"/>
  <c r="E769" i="10"/>
  <c r="AL71" i="10"/>
  <c r="E805" i="10"/>
  <c r="BV71" i="10"/>
  <c r="E736" i="10"/>
  <c r="E71" i="10"/>
  <c r="E800" i="10"/>
  <c r="E777" i="10"/>
  <c r="AT71" i="10"/>
  <c r="C67" i="10"/>
  <c r="E797" i="10"/>
  <c r="BN71" i="10"/>
  <c r="E779" i="10"/>
  <c r="AV71" i="10"/>
  <c r="E790" i="10"/>
  <c r="BG71" i="10"/>
  <c r="E749" i="10"/>
  <c r="R71" i="10"/>
  <c r="E767" i="10"/>
  <c r="AJ71" i="10"/>
  <c r="E744" i="10"/>
  <c r="M71" i="10"/>
  <c r="E808" i="10"/>
  <c r="BY71" i="10"/>
  <c r="E785" i="10"/>
  <c r="BB71" i="10"/>
  <c r="E751" i="10"/>
  <c r="T71" i="10"/>
  <c r="E741" i="10"/>
  <c r="J71" i="10"/>
  <c r="E759" i="10"/>
  <c r="AB71" i="10"/>
  <c r="E787" i="10"/>
  <c r="BD71" i="10"/>
  <c r="CE48" i="10"/>
  <c r="C62" i="10"/>
  <c r="E810" i="10"/>
  <c r="CA71" i="10"/>
  <c r="E795" i="10"/>
  <c r="BL71" i="10"/>
  <c r="E757" i="10"/>
  <c r="Z71" i="10"/>
  <c r="E740" i="10"/>
  <c r="I71" i="10"/>
  <c r="E742" i="10"/>
  <c r="K71" i="10"/>
  <c r="E806" i="10"/>
  <c r="BW71" i="10"/>
  <c r="E775" i="10"/>
  <c r="AR71" i="10"/>
  <c r="E752" i="10"/>
  <c r="U71" i="10"/>
  <c r="E754" i="10"/>
  <c r="W71" i="10"/>
  <c r="E793" i="10"/>
  <c r="BJ71" i="10"/>
  <c r="N816" i="10"/>
  <c r="K612" i="10"/>
  <c r="C465" i="10"/>
  <c r="E770" i="10"/>
  <c r="AM71" i="10"/>
  <c r="E782" i="10"/>
  <c r="E786" i="10"/>
  <c r="BC71" i="10"/>
  <c r="E812" i="10"/>
  <c r="CC71" i="10"/>
  <c r="E802" i="10"/>
  <c r="BS71" i="10"/>
  <c r="E778" i="10"/>
  <c r="AU71" i="10"/>
  <c r="E798" i="10"/>
  <c r="BO71" i="10"/>
  <c r="E739" i="10"/>
  <c r="H71" i="10"/>
  <c r="E803" i="10"/>
  <c r="BT71" i="10"/>
  <c r="E765" i="10"/>
  <c r="AH71" i="10"/>
  <c r="E756" i="10"/>
  <c r="Y71" i="10"/>
  <c r="E750" i="10"/>
  <c r="S71" i="10"/>
  <c r="E762" i="10"/>
  <c r="AE71" i="10"/>
  <c r="E783" i="10"/>
  <c r="AZ71" i="10"/>
  <c r="E760" i="10"/>
  <c r="AC71" i="10"/>
  <c r="E737" i="10"/>
  <c r="F71" i="10"/>
  <c r="E801" i="10"/>
  <c r="E792" i="10"/>
  <c r="E773" i="10"/>
  <c r="AP71" i="10"/>
  <c r="E764" i="10"/>
  <c r="AG71" i="10"/>
  <c r="E758" i="10"/>
  <c r="AA71" i="10"/>
  <c r="E794" i="10"/>
  <c r="BK71" i="10"/>
  <c r="E791" i="10"/>
  <c r="E768" i="10"/>
  <c r="AK71" i="10"/>
  <c r="E745" i="10"/>
  <c r="N71" i="10"/>
  <c r="E809" i="10"/>
  <c r="BZ71" i="10"/>
  <c r="E804" i="10"/>
  <c r="BU71" i="10"/>
  <c r="E746" i="10"/>
  <c r="O71" i="10"/>
  <c r="E747" i="10"/>
  <c r="P71" i="10"/>
  <c r="E748" i="10"/>
  <c r="Q71" i="10"/>
  <c r="E780" i="10"/>
  <c r="AW71" i="10"/>
  <c r="E735" i="10"/>
  <c r="D71" i="10"/>
  <c r="E776" i="10"/>
  <c r="AS71" i="10"/>
  <c r="BI71" i="10" l="1"/>
  <c r="C634" i="10" s="1"/>
  <c r="AY71" i="10"/>
  <c r="BQ71" i="10"/>
  <c r="BH71" i="10"/>
  <c r="C553" i="10" s="1"/>
  <c r="BR71" i="10"/>
  <c r="C626" i="10" s="1"/>
  <c r="CE52" i="10"/>
  <c r="C673" i="10"/>
  <c r="C501" i="10"/>
  <c r="G501" i="10" s="1"/>
  <c r="C709" i="10"/>
  <c r="C537" i="10"/>
  <c r="G537" i="10" s="1"/>
  <c r="C691" i="10"/>
  <c r="C519" i="10"/>
  <c r="G519" i="10" s="1"/>
  <c r="C549" i="10"/>
  <c r="C624" i="10"/>
  <c r="C547" i="10"/>
  <c r="C632" i="10"/>
  <c r="C683" i="10"/>
  <c r="C511" i="10"/>
  <c r="G511" i="10" s="1"/>
  <c r="J734" i="10"/>
  <c r="J815" i="10" s="1"/>
  <c r="CE67" i="10"/>
  <c r="C642" i="10"/>
  <c r="C567" i="10"/>
  <c r="C546" i="10"/>
  <c r="C630" i="10"/>
  <c r="C614" i="10"/>
  <c r="C550" i="10"/>
  <c r="C672" i="10"/>
  <c r="C500" i="10"/>
  <c r="G500" i="10" s="1"/>
  <c r="C543" i="10"/>
  <c r="C616" i="10"/>
  <c r="C636" i="10"/>
  <c r="C707" i="10"/>
  <c r="C535" i="10"/>
  <c r="G535" i="10" s="1"/>
  <c r="C694" i="10"/>
  <c r="C522" i="10"/>
  <c r="C690" i="10"/>
  <c r="C518" i="10"/>
  <c r="C627" i="10"/>
  <c r="C560" i="10"/>
  <c r="C548" i="10"/>
  <c r="C633" i="10"/>
  <c r="C698" i="10"/>
  <c r="C526" i="10"/>
  <c r="C568" i="10"/>
  <c r="C643" i="10"/>
  <c r="C552" i="10"/>
  <c r="C618" i="10"/>
  <c r="C711" i="10"/>
  <c r="C539" i="10"/>
  <c r="G539" i="10" s="1"/>
  <c r="C703" i="10"/>
  <c r="C531" i="10"/>
  <c r="C569" i="10"/>
  <c r="C644" i="10"/>
  <c r="C551" i="10"/>
  <c r="C629" i="10"/>
  <c r="C687" i="10"/>
  <c r="C515" i="10"/>
  <c r="G515" i="10" s="1"/>
  <c r="C689" i="10"/>
  <c r="C517" i="10"/>
  <c r="C671" i="10"/>
  <c r="C499" i="10"/>
  <c r="G499" i="10" s="1"/>
  <c r="C545" i="10"/>
  <c r="C628" i="10"/>
  <c r="C669" i="10"/>
  <c r="C497" i="10"/>
  <c r="G497" i="10" s="1"/>
  <c r="C530" i="10"/>
  <c r="C702" i="10"/>
  <c r="C542" i="10"/>
  <c r="C631" i="10"/>
  <c r="C682" i="10"/>
  <c r="C510" i="10"/>
  <c r="C555" i="10"/>
  <c r="C617" i="10"/>
  <c r="C693" i="10"/>
  <c r="C521" i="10"/>
  <c r="C556" i="10"/>
  <c r="C635" i="10"/>
  <c r="C699" i="10"/>
  <c r="C527" i="10"/>
  <c r="G527" i="10" s="1"/>
  <c r="C625" i="10"/>
  <c r="C544" i="10"/>
  <c r="C509" i="10"/>
  <c r="C681" i="10"/>
  <c r="C688" i="10"/>
  <c r="C516" i="10"/>
  <c r="C676" i="10"/>
  <c r="C504" i="10"/>
  <c r="G504" i="10" s="1"/>
  <c r="C572" i="10"/>
  <c r="C647" i="10"/>
  <c r="C675" i="10"/>
  <c r="C503" i="10"/>
  <c r="G503" i="10" s="1"/>
  <c r="C678" i="10"/>
  <c r="C506" i="10"/>
  <c r="G506" i="10" s="1"/>
  <c r="C713" i="10"/>
  <c r="C541" i="10"/>
  <c r="C623" i="10"/>
  <c r="C562" i="10"/>
  <c r="C705" i="10"/>
  <c r="C533" i="10"/>
  <c r="G533" i="10" s="1"/>
  <c r="C677" i="10"/>
  <c r="C505" i="10"/>
  <c r="G505" i="10" s="1"/>
  <c r="C706" i="10"/>
  <c r="C534" i="10"/>
  <c r="G534" i="10" s="1"/>
  <c r="C561" i="10"/>
  <c r="C621" i="10"/>
  <c r="C573" i="10"/>
  <c r="C622" i="10"/>
  <c r="C684" i="10"/>
  <c r="C512" i="10"/>
  <c r="C641" i="10"/>
  <c r="C566" i="10"/>
  <c r="C557" i="10"/>
  <c r="C637" i="10"/>
  <c r="C645" i="10"/>
  <c r="C570" i="10"/>
  <c r="C646" i="10"/>
  <c r="C571" i="10"/>
  <c r="C712" i="10"/>
  <c r="C540" i="10"/>
  <c r="G540" i="10" s="1"/>
  <c r="C538" i="10"/>
  <c r="G538" i="10" s="1"/>
  <c r="C710" i="10"/>
  <c r="C679" i="10"/>
  <c r="C507" i="10"/>
  <c r="G507" i="10" s="1"/>
  <c r="C692" i="10"/>
  <c r="C520" i="10"/>
  <c r="C563" i="10"/>
  <c r="C696" i="10"/>
  <c r="C524" i="10"/>
  <c r="C565" i="10"/>
  <c r="C640" i="10"/>
  <c r="C639" i="10"/>
  <c r="C564" i="10"/>
  <c r="C704" i="10"/>
  <c r="C532" i="10"/>
  <c r="G532" i="10" s="1"/>
  <c r="C680" i="10"/>
  <c r="C508" i="10"/>
  <c r="G508" i="10" s="1"/>
  <c r="C686" i="10"/>
  <c r="C514" i="10"/>
  <c r="C674" i="10"/>
  <c r="C502" i="10"/>
  <c r="G502" i="10" s="1"/>
  <c r="E734" i="10"/>
  <c r="E815" i="10" s="1"/>
  <c r="CE62" i="10"/>
  <c r="C71" i="10"/>
  <c r="C685" i="10"/>
  <c r="C513" i="10"/>
  <c r="C701" i="10"/>
  <c r="C529" i="10"/>
  <c r="C619" i="10"/>
  <c r="C559" i="10"/>
  <c r="C670" i="10"/>
  <c r="C498" i="10"/>
  <c r="C523" i="10"/>
  <c r="C695" i="10"/>
  <c r="C708" i="10"/>
  <c r="C536" i="10"/>
  <c r="G536" i="10" s="1"/>
  <c r="C697" i="10"/>
  <c r="C525" i="10"/>
  <c r="G525" i="10" s="1"/>
  <c r="C700" i="10"/>
  <c r="C528" i="10"/>
  <c r="G528" i="10" s="1"/>
  <c r="C638" i="10"/>
  <c r="C558" i="10"/>
  <c r="C620" i="10"/>
  <c r="C574" i="10"/>
  <c r="C554" i="10" l="1"/>
  <c r="G514" i="10"/>
  <c r="H514" i="10" s="1"/>
  <c r="G512" i="10"/>
  <c r="H512" i="10"/>
  <c r="G516" i="10"/>
  <c r="H516" i="10"/>
  <c r="G518" i="10"/>
  <c r="H518" i="10" s="1"/>
  <c r="H523" i="10"/>
  <c r="G523" i="10"/>
  <c r="G524" i="10"/>
  <c r="H524" i="10" s="1"/>
  <c r="G521" i="10"/>
  <c r="H521" i="10"/>
  <c r="G517" i="10"/>
  <c r="H517" i="10" s="1"/>
  <c r="G531" i="10"/>
  <c r="H531" i="10" s="1"/>
  <c r="G526" i="10"/>
  <c r="H526" i="10" s="1"/>
  <c r="G522" i="10"/>
  <c r="H522" i="10" s="1"/>
  <c r="J816" i="10"/>
  <c r="C433" i="10"/>
  <c r="G498" i="10"/>
  <c r="H498" i="10" s="1"/>
  <c r="G530" i="10"/>
  <c r="H530" i="10" s="1"/>
  <c r="C668" i="10"/>
  <c r="C715" i="10" s="1"/>
  <c r="C496" i="10"/>
  <c r="G509" i="10"/>
  <c r="H509" i="10" s="1"/>
  <c r="E816" i="10"/>
  <c r="C428" i="10"/>
  <c r="CE71" i="10"/>
  <c r="C716" i="10" s="1"/>
  <c r="G544" i="10"/>
  <c r="H544" i="10" s="1"/>
  <c r="G550" i="10"/>
  <c r="H550" i="10" s="1"/>
  <c r="C648" i="10"/>
  <c r="M716" i="10" s="1"/>
  <c r="Y816" i="10" s="1"/>
  <c r="D615" i="10"/>
  <c r="H513" i="10"/>
  <c r="G513" i="10"/>
  <c r="G520" i="10"/>
  <c r="H520" i="10"/>
  <c r="G510" i="10"/>
  <c r="H510" i="10" s="1"/>
  <c r="G529" i="10"/>
  <c r="H529" i="10" s="1"/>
  <c r="G545" i="10"/>
  <c r="H545" i="10" s="1"/>
  <c r="G546" i="10"/>
  <c r="H546" i="10"/>
  <c r="C441" i="10" l="1"/>
  <c r="D712" i="10"/>
  <c r="D710" i="10"/>
  <c r="D707" i="10"/>
  <c r="D701" i="10"/>
  <c r="D693" i="10"/>
  <c r="D685" i="10"/>
  <c r="D677" i="10"/>
  <c r="D669" i="10"/>
  <c r="D703" i="10"/>
  <c r="D695" i="10"/>
  <c r="D687" i="10"/>
  <c r="D679" i="10"/>
  <c r="D671" i="10"/>
  <c r="D713" i="10"/>
  <c r="D705" i="10"/>
  <c r="D697" i="10"/>
  <c r="D689" i="10"/>
  <c r="D681" i="10"/>
  <c r="D673" i="10"/>
  <c r="D704" i="10"/>
  <c r="D690" i="10"/>
  <c r="D683" i="10"/>
  <c r="D676" i="10"/>
  <c r="D639" i="10"/>
  <c r="D623" i="10"/>
  <c r="D619" i="10"/>
  <c r="D711" i="10"/>
  <c r="D698" i="10"/>
  <c r="D691" i="10"/>
  <c r="D684" i="10"/>
  <c r="D670" i="10"/>
  <c r="D625" i="10"/>
  <c r="D709" i="10"/>
  <c r="D706" i="10"/>
  <c r="D699" i="10"/>
  <c r="D692" i="10"/>
  <c r="D678" i="10"/>
  <c r="D646" i="10"/>
  <c r="D643" i="10"/>
  <c r="D640" i="10"/>
  <c r="D628" i="10"/>
  <c r="D622" i="10"/>
  <c r="D618" i="10"/>
  <c r="D716" i="10"/>
  <c r="D700" i="10"/>
  <c r="D686" i="10"/>
  <c r="D694" i="10"/>
  <c r="D672" i="10"/>
  <c r="D641" i="10"/>
  <c r="D629" i="10"/>
  <c r="D626" i="10"/>
  <c r="D621" i="10"/>
  <c r="D617" i="10"/>
  <c r="D702" i="10"/>
  <c r="D680" i="10"/>
  <c r="D647" i="10"/>
  <c r="D644" i="10"/>
  <c r="D637" i="10"/>
  <c r="D636" i="10"/>
  <c r="D635" i="10"/>
  <c r="D634" i="10"/>
  <c r="D633" i="10"/>
  <c r="D632" i="10"/>
  <c r="D631" i="10"/>
  <c r="D630" i="10"/>
  <c r="D624" i="10"/>
  <c r="D708" i="10"/>
  <c r="D696" i="10"/>
  <c r="D682" i="10"/>
  <c r="D675" i="10"/>
  <c r="D668" i="10"/>
  <c r="D645" i="10"/>
  <c r="D642" i="10"/>
  <c r="D688" i="10"/>
  <c r="D638" i="10"/>
  <c r="D627" i="10"/>
  <c r="D620" i="10"/>
  <c r="D674" i="10"/>
  <c r="D616" i="10"/>
  <c r="G496" i="10"/>
  <c r="H496" i="10" s="1"/>
  <c r="D715" i="10" l="1"/>
  <c r="E623" i="10"/>
  <c r="E612" i="10"/>
  <c r="E709" i="10" l="1"/>
  <c r="E711" i="10"/>
  <c r="E713" i="10"/>
  <c r="E716" i="10"/>
  <c r="E710" i="10"/>
  <c r="E706" i="10"/>
  <c r="E698" i="10"/>
  <c r="E690" i="10"/>
  <c r="E682" i="10"/>
  <c r="E674" i="10"/>
  <c r="E712" i="10"/>
  <c r="E700" i="10"/>
  <c r="E692" i="10"/>
  <c r="E684" i="10"/>
  <c r="E676" i="10"/>
  <c r="E668" i="10"/>
  <c r="E702" i="10"/>
  <c r="E694" i="10"/>
  <c r="E686" i="10"/>
  <c r="E678" i="10"/>
  <c r="E670" i="10"/>
  <c r="E647" i="10"/>
  <c r="E646" i="10"/>
  <c r="E645" i="10"/>
  <c r="E705" i="10"/>
  <c r="E691" i="10"/>
  <c r="E669" i="10"/>
  <c r="E625" i="10"/>
  <c r="E699" i="10"/>
  <c r="E677" i="10"/>
  <c r="E643" i="10"/>
  <c r="E640" i="10"/>
  <c r="E628" i="10"/>
  <c r="E685" i="10"/>
  <c r="E671" i="10"/>
  <c r="E693" i="10"/>
  <c r="E679" i="10"/>
  <c r="E672" i="10"/>
  <c r="E641" i="10"/>
  <c r="E707" i="10"/>
  <c r="E701" i="10"/>
  <c r="E687" i="10"/>
  <c r="E680" i="10"/>
  <c r="E673" i="10"/>
  <c r="E644" i="10"/>
  <c r="E637" i="10"/>
  <c r="E636" i="10"/>
  <c r="E635" i="10"/>
  <c r="E634" i="10"/>
  <c r="E633" i="10"/>
  <c r="E632" i="10"/>
  <c r="E631" i="10"/>
  <c r="E630" i="10"/>
  <c r="E624" i="10"/>
  <c r="E695" i="10"/>
  <c r="E688" i="10"/>
  <c r="E681" i="10"/>
  <c r="E638" i="10"/>
  <c r="E704" i="10"/>
  <c r="E697" i="10"/>
  <c r="E683" i="10"/>
  <c r="E639" i="10"/>
  <c r="E627" i="10"/>
  <c r="E696" i="10"/>
  <c r="E626" i="10"/>
  <c r="E703" i="10"/>
  <c r="E675" i="10"/>
  <c r="E629" i="10"/>
  <c r="E642" i="10"/>
  <c r="E708" i="10"/>
  <c r="E689" i="10"/>
  <c r="E715" i="10" l="1"/>
  <c r="F624" i="10"/>
  <c r="F708" i="10" l="1"/>
  <c r="F716" i="10"/>
  <c r="F712" i="10"/>
  <c r="F711" i="10"/>
  <c r="F703" i="10"/>
  <c r="F695" i="10"/>
  <c r="F687" i="10"/>
  <c r="F679" i="10"/>
  <c r="F671" i="10"/>
  <c r="F705" i="10"/>
  <c r="F697" i="10"/>
  <c r="F689" i="10"/>
  <c r="F681" i="10"/>
  <c r="F673" i="10"/>
  <c r="F699" i="10"/>
  <c r="F691" i="10"/>
  <c r="F683" i="10"/>
  <c r="F675" i="10"/>
  <c r="F644" i="10"/>
  <c r="F643" i="10"/>
  <c r="F642" i="10"/>
  <c r="F641" i="10"/>
  <c r="F640" i="10"/>
  <c r="F639" i="10"/>
  <c r="F638" i="10"/>
  <c r="F713" i="10"/>
  <c r="F698" i="10"/>
  <c r="F684" i="10"/>
  <c r="F677" i="10"/>
  <c r="F670" i="10"/>
  <c r="F628" i="10"/>
  <c r="F709" i="10"/>
  <c r="F706" i="10"/>
  <c r="F692" i="10"/>
  <c r="F685" i="10"/>
  <c r="F678" i="10"/>
  <c r="F646" i="10"/>
  <c r="F700" i="10"/>
  <c r="F693" i="10"/>
  <c r="F686" i="10"/>
  <c r="F672" i="10"/>
  <c r="F629" i="10"/>
  <c r="F626" i="10"/>
  <c r="F707" i="10"/>
  <c r="F701" i="10"/>
  <c r="F694" i="10"/>
  <c r="F680" i="10"/>
  <c r="F637" i="10"/>
  <c r="F636" i="10"/>
  <c r="F635" i="10"/>
  <c r="F634" i="10"/>
  <c r="F633" i="10"/>
  <c r="F632" i="10"/>
  <c r="F631" i="10"/>
  <c r="F702" i="10"/>
  <c r="F688" i="10"/>
  <c r="F647" i="10"/>
  <c r="F710" i="10"/>
  <c r="F696" i="10"/>
  <c r="F674" i="10"/>
  <c r="F627" i="10"/>
  <c r="F690" i="10"/>
  <c r="F676" i="10"/>
  <c r="F669" i="10"/>
  <c r="F668" i="10"/>
  <c r="F630" i="10"/>
  <c r="F704" i="10"/>
  <c r="F645" i="10"/>
  <c r="F625" i="10"/>
  <c r="F682" i="10"/>
  <c r="F715" i="10" l="1"/>
  <c r="G625" i="10"/>
  <c r="G711" i="10" l="1"/>
  <c r="G713" i="10"/>
  <c r="G716" i="10"/>
  <c r="G709" i="10"/>
  <c r="G700" i="10"/>
  <c r="G692" i="10"/>
  <c r="G684" i="10"/>
  <c r="G676" i="10"/>
  <c r="G668" i="10"/>
  <c r="G702" i="10"/>
  <c r="G694" i="10"/>
  <c r="G686" i="10"/>
  <c r="G678" i="10"/>
  <c r="G670" i="10"/>
  <c r="G647" i="10"/>
  <c r="G646" i="10"/>
  <c r="G645" i="10"/>
  <c r="G704" i="10"/>
  <c r="G696" i="10"/>
  <c r="G688" i="10"/>
  <c r="G680" i="10"/>
  <c r="G672" i="10"/>
  <c r="G706" i="10"/>
  <c r="G699" i="10"/>
  <c r="G685" i="10"/>
  <c r="G643" i="10"/>
  <c r="G640" i="10"/>
  <c r="G693" i="10"/>
  <c r="G671" i="10"/>
  <c r="G629" i="10"/>
  <c r="G626" i="10"/>
  <c r="G707" i="10"/>
  <c r="G701" i="10"/>
  <c r="G679" i="10"/>
  <c r="G641" i="10"/>
  <c r="G637" i="10"/>
  <c r="G636" i="10"/>
  <c r="G635" i="10"/>
  <c r="G634" i="10"/>
  <c r="G633" i="10"/>
  <c r="G632" i="10"/>
  <c r="G631" i="10"/>
  <c r="G630" i="10"/>
  <c r="G687" i="10"/>
  <c r="G673" i="10"/>
  <c r="G644" i="10"/>
  <c r="G712" i="10"/>
  <c r="G710" i="10"/>
  <c r="G695" i="10"/>
  <c r="G681" i="10"/>
  <c r="G674" i="10"/>
  <c r="G638" i="10"/>
  <c r="G627" i="10"/>
  <c r="G708" i="10"/>
  <c r="G703" i="10"/>
  <c r="G689" i="10"/>
  <c r="G682" i="10"/>
  <c r="G675" i="10"/>
  <c r="G642" i="10"/>
  <c r="G705" i="10"/>
  <c r="G698" i="10"/>
  <c r="G691" i="10"/>
  <c r="G677" i="10"/>
  <c r="G697" i="10"/>
  <c r="G669" i="10"/>
  <c r="G683" i="10"/>
  <c r="G639" i="10"/>
  <c r="G628" i="10"/>
  <c r="G690" i="10"/>
  <c r="H628" i="10" l="1"/>
  <c r="G715" i="10"/>
  <c r="H708" i="10" l="1"/>
  <c r="H710" i="10"/>
  <c r="H712" i="10"/>
  <c r="H705" i="10"/>
  <c r="H697" i="10"/>
  <c r="H689" i="10"/>
  <c r="H681" i="10"/>
  <c r="H673" i="10"/>
  <c r="H716" i="10"/>
  <c r="H713" i="10"/>
  <c r="H699" i="10"/>
  <c r="H691" i="10"/>
  <c r="H683" i="10"/>
  <c r="H675" i="10"/>
  <c r="H644" i="10"/>
  <c r="H643" i="10"/>
  <c r="H642" i="10"/>
  <c r="H641" i="10"/>
  <c r="H707" i="10"/>
  <c r="H701" i="10"/>
  <c r="H693" i="10"/>
  <c r="H685" i="10"/>
  <c r="H677" i="10"/>
  <c r="H669" i="10"/>
  <c r="H711" i="10"/>
  <c r="H709" i="10"/>
  <c r="H692" i="10"/>
  <c r="H678" i="10"/>
  <c r="H671" i="10"/>
  <c r="H646" i="10"/>
  <c r="H629" i="10"/>
  <c r="H700" i="10"/>
  <c r="H686" i="10"/>
  <c r="H679" i="10"/>
  <c r="H672" i="10"/>
  <c r="H637" i="10"/>
  <c r="H636" i="10"/>
  <c r="H635" i="10"/>
  <c r="H634" i="10"/>
  <c r="H633" i="10"/>
  <c r="H632" i="10"/>
  <c r="H631" i="10"/>
  <c r="H630" i="10"/>
  <c r="H694" i="10"/>
  <c r="H687" i="10"/>
  <c r="H680" i="10"/>
  <c r="H702" i="10"/>
  <c r="H695" i="10"/>
  <c r="H688" i="10"/>
  <c r="H674" i="10"/>
  <c r="H647" i="10"/>
  <c r="H638" i="10"/>
  <c r="H703" i="10"/>
  <c r="H696" i="10"/>
  <c r="H682" i="10"/>
  <c r="H704" i="10"/>
  <c r="H690" i="10"/>
  <c r="H668" i="10"/>
  <c r="H645" i="10"/>
  <c r="H639" i="10"/>
  <c r="H706" i="10"/>
  <c r="H684" i="10"/>
  <c r="H670" i="10"/>
  <c r="H640" i="10"/>
  <c r="H676" i="10"/>
  <c r="H698" i="10"/>
  <c r="H715" i="10" l="1"/>
  <c r="I629" i="10"/>
  <c r="I713" i="10" l="1"/>
  <c r="I716" i="10"/>
  <c r="I707" i="10"/>
  <c r="I711" i="10"/>
  <c r="I702" i="10"/>
  <c r="I694" i="10"/>
  <c r="I686" i="10"/>
  <c r="I678" i="10"/>
  <c r="I670" i="10"/>
  <c r="I647" i="10"/>
  <c r="I646" i="10"/>
  <c r="I645" i="10"/>
  <c r="I704" i="10"/>
  <c r="I696" i="10"/>
  <c r="I688" i="10"/>
  <c r="I680" i="10"/>
  <c r="I672" i="10"/>
  <c r="I709" i="10"/>
  <c r="I708" i="10"/>
  <c r="I706" i="10"/>
  <c r="I698" i="10"/>
  <c r="I690" i="10"/>
  <c r="I682" i="10"/>
  <c r="I674" i="10"/>
  <c r="I700" i="10"/>
  <c r="I693" i="10"/>
  <c r="I679" i="10"/>
  <c r="I637" i="10"/>
  <c r="I636" i="10"/>
  <c r="I635" i="10"/>
  <c r="I634" i="10"/>
  <c r="I633" i="10"/>
  <c r="I632" i="10"/>
  <c r="I631" i="10"/>
  <c r="I630" i="10"/>
  <c r="I701" i="10"/>
  <c r="I687" i="10"/>
  <c r="I641" i="10"/>
  <c r="I695" i="10"/>
  <c r="I673" i="10"/>
  <c r="I644" i="10"/>
  <c r="I638" i="10"/>
  <c r="I712" i="10"/>
  <c r="I710" i="10"/>
  <c r="I703" i="10"/>
  <c r="I681" i="10"/>
  <c r="I689" i="10"/>
  <c r="I675" i="10"/>
  <c r="I668" i="10"/>
  <c r="I642" i="10"/>
  <c r="I639" i="10"/>
  <c r="I697" i="10"/>
  <c r="I683" i="10"/>
  <c r="I676" i="10"/>
  <c r="I669" i="10"/>
  <c r="I699" i="10"/>
  <c r="I692" i="10"/>
  <c r="I685" i="10"/>
  <c r="I671" i="10"/>
  <c r="I643" i="10"/>
  <c r="I705" i="10"/>
  <c r="I677" i="10"/>
  <c r="I684" i="10"/>
  <c r="I691" i="10"/>
  <c r="I640" i="10"/>
  <c r="I715" i="10" l="1"/>
  <c r="J630" i="10"/>
  <c r="J710" i="10" l="1"/>
  <c r="J712" i="10"/>
  <c r="J699" i="10"/>
  <c r="J691" i="10"/>
  <c r="J683" i="10"/>
  <c r="J675" i="10"/>
  <c r="J644" i="10"/>
  <c r="J643" i="10"/>
  <c r="J642" i="10"/>
  <c r="J641" i="10"/>
  <c r="J640" i="10"/>
  <c r="J639" i="10"/>
  <c r="J638" i="10"/>
  <c r="J637" i="10"/>
  <c r="J701" i="10"/>
  <c r="J693" i="10"/>
  <c r="J685" i="10"/>
  <c r="J677" i="10"/>
  <c r="J669" i="10"/>
  <c r="J703" i="10"/>
  <c r="J695" i="10"/>
  <c r="J687" i="10"/>
  <c r="J679" i="10"/>
  <c r="J671" i="10"/>
  <c r="J686" i="10"/>
  <c r="J672" i="10"/>
  <c r="J707" i="10"/>
  <c r="J694" i="10"/>
  <c r="J680" i="10"/>
  <c r="J673" i="10"/>
  <c r="J716" i="10"/>
  <c r="J702" i="10"/>
  <c r="J688" i="10"/>
  <c r="J681" i="10"/>
  <c r="J674" i="10"/>
  <c r="J647" i="10"/>
  <c r="J696" i="10"/>
  <c r="J689" i="10"/>
  <c r="J682" i="10"/>
  <c r="J668" i="10"/>
  <c r="J708" i="10"/>
  <c r="J704" i="10"/>
  <c r="J697" i="10"/>
  <c r="J690" i="10"/>
  <c r="J676" i="10"/>
  <c r="J645" i="10"/>
  <c r="J705" i="10"/>
  <c r="J698" i="10"/>
  <c r="J684" i="10"/>
  <c r="J713" i="10"/>
  <c r="J711" i="10"/>
  <c r="J709" i="10"/>
  <c r="J700" i="10"/>
  <c r="J678" i="10"/>
  <c r="J646" i="10"/>
  <c r="J636" i="10"/>
  <c r="J635" i="10"/>
  <c r="J634" i="10"/>
  <c r="J633" i="10"/>
  <c r="J632" i="10"/>
  <c r="J631" i="10"/>
  <c r="J706" i="10"/>
  <c r="J692" i="10"/>
  <c r="J670" i="10"/>
  <c r="K644" i="10" l="1"/>
  <c r="K709" i="10" s="1"/>
  <c r="J715" i="10"/>
  <c r="L647" i="10"/>
  <c r="K671" i="10" l="1"/>
  <c r="K686" i="10"/>
  <c r="K683" i="10"/>
  <c r="K703" i="10"/>
  <c r="K673" i="10"/>
  <c r="K684" i="10"/>
  <c r="K682" i="10"/>
  <c r="K696" i="10"/>
  <c r="K711" i="10"/>
  <c r="K712" i="10"/>
  <c r="K690" i="10"/>
  <c r="K677" i="10"/>
  <c r="K695" i="10"/>
  <c r="K701" i="10"/>
  <c r="K700" i="10"/>
  <c r="K706" i="10"/>
  <c r="K670" i="10"/>
  <c r="K705" i="10"/>
  <c r="K694" i="10"/>
  <c r="K692" i="10"/>
  <c r="K707" i="10"/>
  <c r="K678" i="10"/>
  <c r="K675" i="10"/>
  <c r="K699" i="10"/>
  <c r="K679" i="10"/>
  <c r="K691" i="10"/>
  <c r="K689" i="10"/>
  <c r="K702" i="10"/>
  <c r="K668" i="10"/>
  <c r="K674" i="10"/>
  <c r="K708" i="10"/>
  <c r="K672" i="10"/>
  <c r="K715" i="10" s="1"/>
  <c r="K704" i="10"/>
  <c r="K716" i="10"/>
  <c r="K685" i="10"/>
  <c r="K693" i="10"/>
  <c r="K669" i="10"/>
  <c r="K697" i="10"/>
  <c r="K681" i="10"/>
  <c r="K687" i="10"/>
  <c r="K676" i="10"/>
  <c r="K710" i="10"/>
  <c r="K698" i="10"/>
  <c r="K680" i="10"/>
  <c r="K713" i="10"/>
  <c r="K688" i="10"/>
  <c r="L712" i="10"/>
  <c r="M712" i="10" s="1"/>
  <c r="Y778" i="10" s="1"/>
  <c r="L706" i="10"/>
  <c r="L713" i="10"/>
  <c r="M713" i="10" s="1"/>
  <c r="Y779" i="10" s="1"/>
  <c r="L710" i="10"/>
  <c r="L716" i="10"/>
  <c r="L701" i="10"/>
  <c r="L693" i="10"/>
  <c r="M693" i="10" s="1"/>
  <c r="Y759" i="10" s="1"/>
  <c r="L685" i="10"/>
  <c r="M685" i="10" s="1"/>
  <c r="Y751" i="10" s="1"/>
  <c r="L677" i="10"/>
  <c r="M677" i="10" s="1"/>
  <c r="Y743" i="10" s="1"/>
  <c r="L669" i="10"/>
  <c r="M669" i="10" s="1"/>
  <c r="Y735" i="10" s="1"/>
  <c r="L709" i="10"/>
  <c r="M709" i="10" s="1"/>
  <c r="Y775" i="10" s="1"/>
  <c r="L707" i="10"/>
  <c r="M707" i="10" s="1"/>
  <c r="Y773" i="10" s="1"/>
  <c r="L703" i="10"/>
  <c r="M703" i="10" s="1"/>
  <c r="Y769" i="10" s="1"/>
  <c r="L695" i="10"/>
  <c r="M695" i="10" s="1"/>
  <c r="Y761" i="10" s="1"/>
  <c r="L687" i="10"/>
  <c r="M687" i="10" s="1"/>
  <c r="Y753" i="10" s="1"/>
  <c r="L679" i="10"/>
  <c r="M679" i="10" s="1"/>
  <c r="Y745" i="10" s="1"/>
  <c r="L671" i="10"/>
  <c r="M671" i="10" s="1"/>
  <c r="Y737" i="10" s="1"/>
  <c r="L711" i="10"/>
  <c r="M711" i="10" s="1"/>
  <c r="Y777" i="10" s="1"/>
  <c r="L705" i="10"/>
  <c r="M705" i="10" s="1"/>
  <c r="Y771" i="10" s="1"/>
  <c r="L697" i="10"/>
  <c r="L689" i="10"/>
  <c r="M689" i="10" s="1"/>
  <c r="Y755" i="10" s="1"/>
  <c r="L681" i="10"/>
  <c r="M681" i="10" s="1"/>
  <c r="Y747" i="10" s="1"/>
  <c r="L673" i="10"/>
  <c r="M673" i="10" s="1"/>
  <c r="Y739" i="10" s="1"/>
  <c r="L702" i="10"/>
  <c r="L680" i="10"/>
  <c r="M680" i="10" s="1"/>
  <c r="Y746" i="10" s="1"/>
  <c r="L688" i="10"/>
  <c r="L674" i="10"/>
  <c r="M674" i="10" s="1"/>
  <c r="Y740" i="10" s="1"/>
  <c r="L696" i="10"/>
  <c r="L682" i="10"/>
  <c r="M682" i="10" s="1"/>
  <c r="Y748" i="10" s="1"/>
  <c r="L675" i="10"/>
  <c r="M675" i="10" s="1"/>
  <c r="Y741" i="10" s="1"/>
  <c r="L668" i="10"/>
  <c r="L708" i="10"/>
  <c r="M708" i="10" s="1"/>
  <c r="Y774" i="10" s="1"/>
  <c r="L704" i="10"/>
  <c r="M704" i="10" s="1"/>
  <c r="Y770" i="10" s="1"/>
  <c r="L690" i="10"/>
  <c r="M690" i="10" s="1"/>
  <c r="Y756" i="10" s="1"/>
  <c r="L683" i="10"/>
  <c r="M683" i="10" s="1"/>
  <c r="Y749" i="10" s="1"/>
  <c r="L676" i="10"/>
  <c r="M676" i="10" s="1"/>
  <c r="Y742" i="10" s="1"/>
  <c r="L698" i="10"/>
  <c r="M698" i="10" s="1"/>
  <c r="Y764" i="10" s="1"/>
  <c r="L691" i="10"/>
  <c r="L684" i="10"/>
  <c r="M684" i="10" s="1"/>
  <c r="Y750" i="10" s="1"/>
  <c r="L670" i="10"/>
  <c r="M670" i="10" s="1"/>
  <c r="Y736" i="10" s="1"/>
  <c r="L699" i="10"/>
  <c r="M699" i="10" s="1"/>
  <c r="Y765" i="10" s="1"/>
  <c r="L692" i="10"/>
  <c r="L678" i="10"/>
  <c r="M678" i="10" s="1"/>
  <c r="Y744" i="10" s="1"/>
  <c r="L694" i="10"/>
  <c r="M694" i="10" s="1"/>
  <c r="Y760" i="10" s="1"/>
  <c r="L672" i="10"/>
  <c r="M672" i="10" s="1"/>
  <c r="Y738" i="10" s="1"/>
  <c r="L686" i="10"/>
  <c r="L700" i="10"/>
  <c r="M700" i="10" s="1"/>
  <c r="Y766" i="10" s="1"/>
  <c r="M696" i="10" l="1"/>
  <c r="Y762" i="10" s="1"/>
  <c r="M702" i="10"/>
  <c r="Y768" i="10" s="1"/>
  <c r="M697" i="10"/>
  <c r="Y763" i="10" s="1"/>
  <c r="M710" i="10"/>
  <c r="Y776" i="10" s="1"/>
  <c r="M686" i="10"/>
  <c r="Y752" i="10" s="1"/>
  <c r="M692" i="10"/>
  <c r="Y758" i="10" s="1"/>
  <c r="M691" i="10"/>
  <c r="Y757" i="10" s="1"/>
  <c r="M688" i="10"/>
  <c r="Y754" i="10" s="1"/>
  <c r="M701" i="10"/>
  <c r="Y767" i="10" s="1"/>
  <c r="M706" i="10"/>
  <c r="Y772" i="10" s="1"/>
  <c r="L715" i="10"/>
  <c r="M668" i="10"/>
  <c r="Y734" i="10" l="1"/>
  <c r="Y815" i="10" s="1"/>
  <c r="M715" i="10"/>
  <c r="F493" i="1" l="1"/>
  <c r="D493" i="1"/>
  <c r="B493" i="1"/>
  <c r="B575" i="1"/>
  <c r="A493" i="1" l="1"/>
  <c r="C115" i="8"/>
  <c r="C444" i="1"/>
  <c r="D367" i="1"/>
  <c r="C448" i="1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CE65" i="1"/>
  <c r="C431" i="1" s="1"/>
  <c r="CE63" i="1"/>
  <c r="I365" i="9" s="1"/>
  <c r="CE66" i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N75" i="1"/>
  <c r="G58" i="9" s="1"/>
  <c r="M75" i="1"/>
  <c r="F58" i="9" s="1"/>
  <c r="L75" i="1"/>
  <c r="I75" i="1"/>
  <c r="I26" i="9" s="1"/>
  <c r="H75" i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I382" i="9" s="1"/>
  <c r="CE69" i="1"/>
  <c r="D361" i="1"/>
  <c r="D372" i="1"/>
  <c r="C125" i="8" s="1"/>
  <c r="D260" i="1"/>
  <c r="C16" i="8" s="1"/>
  <c r="D265" i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E209" i="1"/>
  <c r="E210" i="1"/>
  <c r="F25" i="6" s="1"/>
  <c r="F26" i="6"/>
  <c r="E212" i="1"/>
  <c r="F27" i="6" s="1"/>
  <c r="E213" i="1"/>
  <c r="F28" i="6" s="1"/>
  <c r="E214" i="1"/>
  <c r="F29" i="6" s="1"/>
  <c r="E215" i="1"/>
  <c r="E216" i="1"/>
  <c r="F31" i="6" s="1"/>
  <c r="D217" i="1"/>
  <c r="E32" i="6" s="1"/>
  <c r="D433" i="1"/>
  <c r="E196" i="1"/>
  <c r="C469" i="1" s="1"/>
  <c r="E197" i="1"/>
  <c r="F9" i="6" s="1"/>
  <c r="E198" i="1"/>
  <c r="E199" i="1"/>
  <c r="F11" i="6" s="1"/>
  <c r="E201" i="1"/>
  <c r="C473" i="1" s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D181" i="1"/>
  <c r="D177" i="1"/>
  <c r="C20" i="5" s="1"/>
  <c r="E154" i="1"/>
  <c r="E153" i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E141" i="1"/>
  <c r="E140" i="1"/>
  <c r="D10" i="4" s="1"/>
  <c r="E139" i="1"/>
  <c r="C415" i="1" s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C429" i="1"/>
  <c r="C432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X48" i="1"/>
  <c r="X62" i="1" s="1"/>
  <c r="D436" i="1"/>
  <c r="C34" i="5"/>
  <c r="F12" i="6"/>
  <c r="H58" i="9"/>
  <c r="C218" i="9"/>
  <c r="D366" i="9"/>
  <c r="CE64" i="1"/>
  <c r="F612" i="1" s="1"/>
  <c r="D368" i="9"/>
  <c r="C276" i="9"/>
  <c r="CE70" i="1"/>
  <c r="C458" i="1" s="1"/>
  <c r="CE76" i="1"/>
  <c r="CF76" i="1" s="1"/>
  <c r="CE77" i="1"/>
  <c r="G612" i="1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F24" i="6"/>
  <c r="BZ48" i="1"/>
  <c r="BZ62" i="1" s="1"/>
  <c r="AC48" i="1"/>
  <c r="AC62" i="1" s="1"/>
  <c r="H108" i="9" s="1"/>
  <c r="BI48" i="1"/>
  <c r="BI62" i="1" s="1"/>
  <c r="CD71" i="1"/>
  <c r="C575" i="1" s="1"/>
  <c r="BA48" i="1"/>
  <c r="BA62" i="1" s="1"/>
  <c r="Y48" i="1"/>
  <c r="Y62" i="1" s="1"/>
  <c r="CC48" i="1"/>
  <c r="CC62" i="1" s="1"/>
  <c r="AQ48" i="1"/>
  <c r="AQ62" i="1" s="1"/>
  <c r="C615" i="1"/>
  <c r="CB48" i="1"/>
  <c r="CB62" i="1" s="1"/>
  <c r="C364" i="9" s="1"/>
  <c r="E372" i="9"/>
  <c r="BV48" i="1"/>
  <c r="BV62" i="1" s="1"/>
  <c r="BN48" i="1"/>
  <c r="BN62" i="1" s="1"/>
  <c r="AX48" i="1"/>
  <c r="AX62" i="1" s="1"/>
  <c r="AP48" i="1"/>
  <c r="AP62" i="1" s="1"/>
  <c r="AH48" i="1"/>
  <c r="AH62" i="1" s="1"/>
  <c r="F48" i="1"/>
  <c r="F62" i="1" s="1"/>
  <c r="I381" i="9"/>
  <c r="D5" i="7" l="1"/>
  <c r="F8" i="6"/>
  <c r="I612" i="1"/>
  <c r="I368" i="9"/>
  <c r="M52" i="12"/>
  <c r="M53" i="12" s="1"/>
  <c r="I366" i="9"/>
  <c r="H26" i="9"/>
  <c r="B465" i="1"/>
  <c r="I377" i="9"/>
  <c r="D32" i="6"/>
  <c r="C472" i="1"/>
  <c r="I371" i="9"/>
  <c r="S52" i="12"/>
  <c r="C440" i="1"/>
  <c r="D186" i="9"/>
  <c r="T48" i="1"/>
  <c r="T62" i="1" s="1"/>
  <c r="F76" i="9" s="1"/>
  <c r="C48" i="1"/>
  <c r="C62" i="1" s="1"/>
  <c r="AT52" i="1"/>
  <c r="AT67" i="1" s="1"/>
  <c r="D209" i="9" s="1"/>
  <c r="V52" i="1"/>
  <c r="V67" i="1" s="1"/>
  <c r="Q52" i="1"/>
  <c r="Q67" i="1" s="1"/>
  <c r="E52" i="1"/>
  <c r="E67" i="1" s="1"/>
  <c r="BG52" i="1"/>
  <c r="BG67" i="1" s="1"/>
  <c r="AQ52" i="1"/>
  <c r="AQ67" i="1" s="1"/>
  <c r="S52" i="1"/>
  <c r="S67" i="1" s="1"/>
  <c r="E81" i="9" s="1"/>
  <c r="Z52" i="1"/>
  <c r="Z67" i="1" s="1"/>
  <c r="U52" i="1"/>
  <c r="U67" i="1" s="1"/>
  <c r="P52" i="1"/>
  <c r="P67" i="1" s="1"/>
  <c r="I49" i="9" s="1"/>
  <c r="I52" i="1"/>
  <c r="I67" i="1" s="1"/>
  <c r="L52" i="1"/>
  <c r="L67" i="1" s="1"/>
  <c r="AJ52" i="1"/>
  <c r="AJ67" i="1" s="1"/>
  <c r="H145" i="9" s="1"/>
  <c r="H52" i="1"/>
  <c r="H67" i="1" s="1"/>
  <c r="BZ52" i="1"/>
  <c r="BZ67" i="1" s="1"/>
  <c r="H337" i="9" s="1"/>
  <c r="BU52" i="1"/>
  <c r="BU67" i="1" s="1"/>
  <c r="AF52" i="1"/>
  <c r="AF67" i="1" s="1"/>
  <c r="D145" i="9" s="1"/>
  <c r="BA52" i="1"/>
  <c r="BA67" i="1" s="1"/>
  <c r="D241" i="9" s="1"/>
  <c r="AR52" i="1"/>
  <c r="AR67" i="1" s="1"/>
  <c r="I177" i="9" s="1"/>
  <c r="BO52" i="1"/>
  <c r="BO67" i="1" s="1"/>
  <c r="D305" i="9" s="1"/>
  <c r="AD52" i="1"/>
  <c r="AD67" i="1" s="1"/>
  <c r="BP52" i="1"/>
  <c r="BP67" i="1" s="1"/>
  <c r="AG52" i="1"/>
  <c r="AG67" i="1" s="1"/>
  <c r="N52" i="1"/>
  <c r="N67" i="1" s="1"/>
  <c r="BK52" i="1"/>
  <c r="BK67" i="1" s="1"/>
  <c r="X52" i="1"/>
  <c r="X67" i="1" s="1"/>
  <c r="CA52" i="1"/>
  <c r="CA67" i="1" s="1"/>
  <c r="K52" i="1"/>
  <c r="K67" i="1" s="1"/>
  <c r="AO52" i="1"/>
  <c r="AO67" i="1" s="1"/>
  <c r="F177" i="9" s="1"/>
  <c r="AP52" i="1"/>
  <c r="AP67" i="1" s="1"/>
  <c r="D612" i="1"/>
  <c r="BW52" i="1"/>
  <c r="BW67" i="1" s="1"/>
  <c r="C52" i="1"/>
  <c r="C67" i="1" s="1"/>
  <c r="C17" i="9" s="1"/>
  <c r="BH52" i="1"/>
  <c r="BH67" i="1" s="1"/>
  <c r="AH52" i="1"/>
  <c r="AH67" i="1" s="1"/>
  <c r="F145" i="9" s="1"/>
  <c r="AZ52" i="1"/>
  <c r="AZ67" i="1" s="1"/>
  <c r="BB52" i="1"/>
  <c r="BB67" i="1" s="1"/>
  <c r="AE52" i="1"/>
  <c r="AE67" i="1" s="1"/>
  <c r="C145" i="9" s="1"/>
  <c r="W52" i="1"/>
  <c r="W67" i="1" s="1"/>
  <c r="CC52" i="1"/>
  <c r="CC67" i="1" s="1"/>
  <c r="D369" i="9" s="1"/>
  <c r="BJ52" i="1"/>
  <c r="BJ67" i="1" s="1"/>
  <c r="AI52" i="1"/>
  <c r="AI67" i="1" s="1"/>
  <c r="G145" i="9" s="1"/>
  <c r="AL52" i="1"/>
  <c r="AL67" i="1" s="1"/>
  <c r="C177" i="9" s="1"/>
  <c r="BL52" i="1"/>
  <c r="BL67" i="1" s="1"/>
  <c r="AB52" i="1"/>
  <c r="AB67" i="1" s="1"/>
  <c r="G113" i="9" s="1"/>
  <c r="AV52" i="1"/>
  <c r="AV67" i="1" s="1"/>
  <c r="F209" i="9" s="1"/>
  <c r="BC52" i="1"/>
  <c r="BC67" i="1" s="1"/>
  <c r="F241" i="9" s="1"/>
  <c r="I380" i="9"/>
  <c r="AN52" i="1"/>
  <c r="AN67" i="1" s="1"/>
  <c r="J52" i="1"/>
  <c r="J67" i="1" s="1"/>
  <c r="C49" i="9" s="1"/>
  <c r="AS52" i="1"/>
  <c r="AS67" i="1" s="1"/>
  <c r="C209" i="9" s="1"/>
  <c r="Y52" i="1"/>
  <c r="Y67" i="1" s="1"/>
  <c r="BI52" i="1"/>
  <c r="BI67" i="1" s="1"/>
  <c r="E273" i="9" s="1"/>
  <c r="AC52" i="1"/>
  <c r="AC67" i="1" s="1"/>
  <c r="H113" i="9" s="1"/>
  <c r="BX52" i="1"/>
  <c r="BX67" i="1" s="1"/>
  <c r="BT52" i="1"/>
  <c r="BT67" i="1" s="1"/>
  <c r="AU52" i="1"/>
  <c r="AU67" i="1" s="1"/>
  <c r="R52" i="1"/>
  <c r="R67" i="1" s="1"/>
  <c r="D81" i="9" s="1"/>
  <c r="O52" i="1"/>
  <c r="O67" i="1" s="1"/>
  <c r="BS52" i="1"/>
  <c r="BS67" i="1" s="1"/>
  <c r="H305" i="9" s="1"/>
  <c r="I90" i="9"/>
  <c r="E58" i="9"/>
  <c r="G122" i="9"/>
  <c r="E373" i="9"/>
  <c r="I372" i="9"/>
  <c r="C430" i="1"/>
  <c r="V48" i="1"/>
  <c r="V62" i="1" s="1"/>
  <c r="BF48" i="1"/>
  <c r="BF62" i="1" s="1"/>
  <c r="K48" i="1"/>
  <c r="K62" i="1" s="1"/>
  <c r="D44" i="9" s="1"/>
  <c r="BU48" i="1"/>
  <c r="BU62" i="1" s="1"/>
  <c r="C332" i="9" s="1"/>
  <c r="O48" i="1"/>
  <c r="O62" i="1" s="1"/>
  <c r="H44" i="9" s="1"/>
  <c r="AS48" i="1"/>
  <c r="AS62" i="1" s="1"/>
  <c r="C204" i="9" s="1"/>
  <c r="AD48" i="1"/>
  <c r="AD62" i="1" s="1"/>
  <c r="AT48" i="1"/>
  <c r="AT62" i="1" s="1"/>
  <c r="BJ48" i="1"/>
  <c r="BJ62" i="1" s="1"/>
  <c r="BY48" i="1"/>
  <c r="BY62" i="1" s="1"/>
  <c r="G332" i="9" s="1"/>
  <c r="S48" i="1"/>
  <c r="S62" i="1" s="1"/>
  <c r="Q48" i="1"/>
  <c r="Q62" i="1" s="1"/>
  <c r="E48" i="1"/>
  <c r="E62" i="1" s="1"/>
  <c r="E12" i="9" s="1"/>
  <c r="AM48" i="1"/>
  <c r="AM62" i="1" s="1"/>
  <c r="G48" i="1"/>
  <c r="G62" i="1" s="1"/>
  <c r="G12" i="9" s="1"/>
  <c r="L48" i="1"/>
  <c r="L62" i="1" s="1"/>
  <c r="J48" i="1"/>
  <c r="J62" i="1" s="1"/>
  <c r="AJ48" i="1"/>
  <c r="AJ62" i="1" s="1"/>
  <c r="H140" i="9" s="1"/>
  <c r="AZ48" i="1"/>
  <c r="AZ62" i="1" s="1"/>
  <c r="BP48" i="1"/>
  <c r="BP62" i="1" s="1"/>
  <c r="E300" i="9" s="1"/>
  <c r="BG48" i="1"/>
  <c r="BG62" i="1" s="1"/>
  <c r="C268" i="9" s="1"/>
  <c r="AW48" i="1"/>
  <c r="AW62" i="1" s="1"/>
  <c r="M48" i="1"/>
  <c r="M62" i="1" s="1"/>
  <c r="F44" i="9" s="1"/>
  <c r="I363" i="9"/>
  <c r="H332" i="9"/>
  <c r="W48" i="1"/>
  <c r="W62" i="1" s="1"/>
  <c r="I76" i="9" s="1"/>
  <c r="N48" i="1"/>
  <c r="N62" i="1" s="1"/>
  <c r="G44" i="9" s="1"/>
  <c r="Z48" i="1"/>
  <c r="Z62" i="1" s="1"/>
  <c r="E108" i="9" s="1"/>
  <c r="AN48" i="1"/>
  <c r="AN62" i="1" s="1"/>
  <c r="AV48" i="1"/>
  <c r="AV62" i="1" s="1"/>
  <c r="F204" i="9" s="1"/>
  <c r="BB48" i="1"/>
  <c r="BB62" i="1" s="1"/>
  <c r="E236" i="9" s="1"/>
  <c r="BH48" i="1"/>
  <c r="BH62" i="1" s="1"/>
  <c r="D268" i="9" s="1"/>
  <c r="BT48" i="1"/>
  <c r="BT62" i="1" s="1"/>
  <c r="I300" i="9" s="1"/>
  <c r="CA48" i="1"/>
  <c r="CA62" i="1" s="1"/>
  <c r="AA48" i="1"/>
  <c r="AA62" i="1" s="1"/>
  <c r="F108" i="9" s="1"/>
  <c r="AY48" i="1"/>
  <c r="AY62" i="1" s="1"/>
  <c r="BW48" i="1"/>
  <c r="BW62" i="1" s="1"/>
  <c r="AO48" i="1"/>
  <c r="AO62" i="1" s="1"/>
  <c r="BM48" i="1"/>
  <c r="BM62" i="1" s="1"/>
  <c r="I268" i="9" s="1"/>
  <c r="U48" i="1"/>
  <c r="U62" i="1" s="1"/>
  <c r="BQ48" i="1"/>
  <c r="BQ62" i="1" s="1"/>
  <c r="F300" i="9" s="1"/>
  <c r="BC48" i="1"/>
  <c r="BC62" i="1" s="1"/>
  <c r="F236" i="9" s="1"/>
  <c r="BS48" i="1"/>
  <c r="BS62" i="1" s="1"/>
  <c r="H48" i="1"/>
  <c r="H62" i="1" s="1"/>
  <c r="BK48" i="1"/>
  <c r="BK62" i="1" s="1"/>
  <c r="D48" i="1"/>
  <c r="D62" i="1" s="1"/>
  <c r="R48" i="1"/>
  <c r="R62" i="1" s="1"/>
  <c r="D76" i="9" s="1"/>
  <c r="AF48" i="1"/>
  <c r="AF62" i="1" s="1"/>
  <c r="AL48" i="1"/>
  <c r="AL62" i="1" s="1"/>
  <c r="C172" i="9" s="1"/>
  <c r="AR48" i="1"/>
  <c r="AR62" i="1" s="1"/>
  <c r="I172" i="9" s="1"/>
  <c r="BD48" i="1"/>
  <c r="BD62" i="1" s="1"/>
  <c r="BL48" i="1"/>
  <c r="BL62" i="1" s="1"/>
  <c r="BR48" i="1"/>
  <c r="BR62" i="1" s="1"/>
  <c r="BX48" i="1"/>
  <c r="BX62" i="1" s="1"/>
  <c r="AI48" i="1"/>
  <c r="AI62" i="1" s="1"/>
  <c r="BO48" i="1"/>
  <c r="BO62" i="1" s="1"/>
  <c r="D300" i="9" s="1"/>
  <c r="I48" i="1"/>
  <c r="I62" i="1" s="1"/>
  <c r="AG48" i="1"/>
  <c r="AG62" i="1" s="1"/>
  <c r="E140" i="9" s="1"/>
  <c r="BE48" i="1"/>
  <c r="BE62" i="1" s="1"/>
  <c r="H236" i="9" s="1"/>
  <c r="AK48" i="1"/>
  <c r="AK62" i="1" s="1"/>
  <c r="C427" i="1"/>
  <c r="AE48" i="1"/>
  <c r="AE62" i="1" s="1"/>
  <c r="C140" i="9" s="1"/>
  <c r="AU48" i="1"/>
  <c r="AU62" i="1" s="1"/>
  <c r="P48" i="1"/>
  <c r="P62" i="1" s="1"/>
  <c r="AB48" i="1"/>
  <c r="AB62" i="1" s="1"/>
  <c r="I362" i="9"/>
  <c r="D236" i="9"/>
  <c r="F332" i="9"/>
  <c r="C44" i="9"/>
  <c r="E268" i="9"/>
  <c r="CF77" i="1"/>
  <c r="E204" i="1"/>
  <c r="C470" i="1"/>
  <c r="F15" i="6"/>
  <c r="B10" i="4"/>
  <c r="C421" i="1"/>
  <c r="G28" i="4"/>
  <c r="G19" i="4"/>
  <c r="D463" i="1"/>
  <c r="E19" i="4"/>
  <c r="D428" i="1"/>
  <c r="B440" i="1"/>
  <c r="B441" i="1"/>
  <c r="D368" i="1"/>
  <c r="C120" i="8" s="1"/>
  <c r="C119" i="8"/>
  <c r="D13" i="7"/>
  <c r="C112" i="8"/>
  <c r="G10" i="4"/>
  <c r="E10" i="4"/>
  <c r="D330" i="1"/>
  <c r="C86" i="8" s="1"/>
  <c r="B476" i="1"/>
  <c r="C33" i="8"/>
  <c r="F140" i="9"/>
  <c r="D12" i="9"/>
  <c r="C300" i="9"/>
  <c r="G172" i="9"/>
  <c r="I236" i="9"/>
  <c r="D332" i="9"/>
  <c r="H204" i="9"/>
  <c r="B446" i="1"/>
  <c r="D242" i="1"/>
  <c r="F12" i="9"/>
  <c r="C418" i="1"/>
  <c r="D438" i="1"/>
  <c r="C108" i="9"/>
  <c r="F14" i="6"/>
  <c r="C471" i="1"/>
  <c r="F10" i="6"/>
  <c r="D26" i="9"/>
  <c r="CE75" i="1"/>
  <c r="D108" i="9"/>
  <c r="F7" i="6"/>
  <c r="C468" i="1"/>
  <c r="I383" i="9"/>
  <c r="D22" i="7"/>
  <c r="C40" i="5"/>
  <c r="C420" i="1"/>
  <c r="B28" i="4"/>
  <c r="F186" i="9"/>
  <c r="H172" i="9"/>
  <c r="BD52" i="1"/>
  <c r="BD67" i="1" s="1"/>
  <c r="AM52" i="1"/>
  <c r="AM67" i="1" s="1"/>
  <c r="BF52" i="1"/>
  <c r="BF67" i="1" s="1"/>
  <c r="BF71" i="1" s="1"/>
  <c r="BQ52" i="1"/>
  <c r="BQ67" i="1" s="1"/>
  <c r="F52" i="1"/>
  <c r="F67" i="1" s="1"/>
  <c r="F71" i="1" s="1"/>
  <c r="BY52" i="1"/>
  <c r="BY67" i="1" s="1"/>
  <c r="BY71" i="1" s="1"/>
  <c r="AY52" i="1"/>
  <c r="AY67" i="1" s="1"/>
  <c r="BM52" i="1"/>
  <c r="BM67" i="1" s="1"/>
  <c r="CB52" i="1"/>
  <c r="CB67" i="1" s="1"/>
  <c r="CB71" i="1" s="1"/>
  <c r="AW52" i="1"/>
  <c r="AW67" i="1" s="1"/>
  <c r="T52" i="1"/>
  <c r="T67" i="1" s="1"/>
  <c r="BN52" i="1"/>
  <c r="BN67" i="1" s="1"/>
  <c r="BN71" i="1" s="1"/>
  <c r="M52" i="1"/>
  <c r="M67" i="1" s="1"/>
  <c r="AK52" i="1"/>
  <c r="AK67" i="1" s="1"/>
  <c r="BV52" i="1"/>
  <c r="BV67" i="1" s="1"/>
  <c r="BV71" i="1" s="1"/>
  <c r="D52" i="1"/>
  <c r="D67" i="1" s="1"/>
  <c r="AA52" i="1"/>
  <c r="AA67" i="1" s="1"/>
  <c r="BE52" i="1"/>
  <c r="BE67" i="1" s="1"/>
  <c r="AX52" i="1"/>
  <c r="AX67" i="1" s="1"/>
  <c r="AX71" i="1" s="1"/>
  <c r="G52" i="1"/>
  <c r="G67" i="1" s="1"/>
  <c r="BR52" i="1"/>
  <c r="BR67" i="1" s="1"/>
  <c r="I376" i="9"/>
  <c r="C463" i="1"/>
  <c r="D58" i="9"/>
  <c r="G26" i="9"/>
  <c r="E217" i="1"/>
  <c r="I384" i="9"/>
  <c r="L612" i="1"/>
  <c r="F218" i="9"/>
  <c r="D90" i="9"/>
  <c r="D364" i="9"/>
  <c r="CC71" i="1"/>
  <c r="D464" i="1"/>
  <c r="D465" i="1" s="1"/>
  <c r="H154" i="9"/>
  <c r="I367" i="9"/>
  <c r="D373" i="1"/>
  <c r="D434" i="1"/>
  <c r="D292" i="1"/>
  <c r="C58" i="9"/>
  <c r="CE62" i="1" l="1"/>
  <c r="I364" i="9" s="1"/>
  <c r="T71" i="1"/>
  <c r="BX71" i="1"/>
  <c r="F341" i="9" s="1"/>
  <c r="G273" i="9"/>
  <c r="H81" i="9"/>
  <c r="E145" i="9"/>
  <c r="G204" i="9"/>
  <c r="E305" i="9"/>
  <c r="E177" i="9"/>
  <c r="AN71" i="1"/>
  <c r="C705" i="1" s="1"/>
  <c r="BI71" i="1"/>
  <c r="C554" i="1" s="1"/>
  <c r="CE48" i="1"/>
  <c r="D49" i="9"/>
  <c r="AU71" i="1"/>
  <c r="C540" i="1" s="1"/>
  <c r="G540" i="1" s="1"/>
  <c r="BJ71" i="1"/>
  <c r="C555" i="1" s="1"/>
  <c r="H177" i="9"/>
  <c r="C71" i="1"/>
  <c r="C496" i="1" s="1"/>
  <c r="G496" i="1" s="1"/>
  <c r="I113" i="9"/>
  <c r="F273" i="9"/>
  <c r="C12" i="9"/>
  <c r="E241" i="9"/>
  <c r="D339" i="1"/>
  <c r="C102" i="8" s="1"/>
  <c r="AQ71" i="1"/>
  <c r="C536" i="1" s="1"/>
  <c r="G536" i="1" s="1"/>
  <c r="V71" i="1"/>
  <c r="C515" i="1" s="1"/>
  <c r="G515" i="1" s="1"/>
  <c r="I17" i="9"/>
  <c r="BA71" i="1"/>
  <c r="C546" i="1" s="1"/>
  <c r="G546" i="1" s="1"/>
  <c r="G177" i="9"/>
  <c r="BB71" i="1"/>
  <c r="C547" i="1" s="1"/>
  <c r="AD71" i="1"/>
  <c r="I117" i="9" s="1"/>
  <c r="BU71" i="1"/>
  <c r="C641" i="1" s="1"/>
  <c r="BL71" i="1"/>
  <c r="H277" i="9" s="1"/>
  <c r="G49" i="9"/>
  <c r="C337" i="9"/>
  <c r="I81" i="9"/>
  <c r="E17" i="9"/>
  <c r="E49" i="9"/>
  <c r="E113" i="9"/>
  <c r="AK71" i="1"/>
  <c r="C530" i="1" s="1"/>
  <c r="G530" i="1" s="1"/>
  <c r="AS71" i="1"/>
  <c r="C710" i="1" s="1"/>
  <c r="W71" i="1"/>
  <c r="C516" i="1" s="1"/>
  <c r="G516" i="1" s="1"/>
  <c r="AC71" i="1"/>
  <c r="C694" i="1" s="1"/>
  <c r="H49" i="9"/>
  <c r="AH71" i="1"/>
  <c r="C527" i="1" s="1"/>
  <c r="G527" i="1" s="1"/>
  <c r="I337" i="9"/>
  <c r="J71" i="1"/>
  <c r="C675" i="1" s="1"/>
  <c r="D273" i="9"/>
  <c r="D113" i="9"/>
  <c r="G81" i="9"/>
  <c r="C273" i="9"/>
  <c r="CE67" i="1"/>
  <c r="I305" i="9"/>
  <c r="AP71" i="1"/>
  <c r="C707" i="1" s="1"/>
  <c r="C241" i="9"/>
  <c r="I71" i="1"/>
  <c r="C674" i="1" s="1"/>
  <c r="AT71" i="1"/>
  <c r="D213" i="9" s="1"/>
  <c r="F337" i="9"/>
  <c r="E337" i="9"/>
  <c r="H273" i="9"/>
  <c r="C81" i="9"/>
  <c r="C113" i="9"/>
  <c r="BZ71" i="1"/>
  <c r="C571" i="1" s="1"/>
  <c r="AJ71" i="1"/>
  <c r="H149" i="9" s="1"/>
  <c r="X71" i="1"/>
  <c r="C689" i="1" s="1"/>
  <c r="Y71" i="1"/>
  <c r="E209" i="9"/>
  <c r="H17" i="9"/>
  <c r="F21" i="9"/>
  <c r="C499" i="1"/>
  <c r="G499" i="1" s="1"/>
  <c r="C671" i="1"/>
  <c r="BD71" i="1"/>
  <c r="C549" i="1" s="1"/>
  <c r="AM71" i="1"/>
  <c r="C532" i="1" s="1"/>
  <c r="G532" i="1" s="1"/>
  <c r="CE52" i="1"/>
  <c r="BR71" i="1"/>
  <c r="C563" i="1" s="1"/>
  <c r="Q71" i="1"/>
  <c r="C85" i="9" s="1"/>
  <c r="O71" i="1"/>
  <c r="C680" i="1" s="1"/>
  <c r="G300" i="9"/>
  <c r="H76" i="9"/>
  <c r="D204" i="9"/>
  <c r="C76" i="9"/>
  <c r="BP71" i="1"/>
  <c r="C561" i="1" s="1"/>
  <c r="I12" i="9"/>
  <c r="E204" i="9"/>
  <c r="K71" i="1"/>
  <c r="C676" i="1" s="1"/>
  <c r="AW71" i="1"/>
  <c r="C542" i="1" s="1"/>
  <c r="D172" i="9"/>
  <c r="G236" i="9"/>
  <c r="G76" i="9"/>
  <c r="N71" i="1"/>
  <c r="C679" i="1" s="1"/>
  <c r="F268" i="9"/>
  <c r="E71" i="1"/>
  <c r="E21" i="9" s="1"/>
  <c r="D71" i="1"/>
  <c r="D21" i="9" s="1"/>
  <c r="BW71" i="1"/>
  <c r="C568" i="1" s="1"/>
  <c r="H71" i="1"/>
  <c r="C673" i="1" s="1"/>
  <c r="AF71" i="1"/>
  <c r="C525" i="1" s="1"/>
  <c r="G525" i="1" s="1"/>
  <c r="E76" i="9"/>
  <c r="C236" i="9"/>
  <c r="AG71" i="1"/>
  <c r="C526" i="1" s="1"/>
  <c r="G526" i="1" s="1"/>
  <c r="U71" i="1"/>
  <c r="C514" i="1" s="1"/>
  <c r="G514" i="1" s="1"/>
  <c r="BH71" i="1"/>
  <c r="C553" i="1" s="1"/>
  <c r="I204" i="9"/>
  <c r="AY71" i="1"/>
  <c r="C625" i="1" s="1"/>
  <c r="AI71" i="1"/>
  <c r="C528" i="1" s="1"/>
  <c r="G528" i="1" s="1"/>
  <c r="S71" i="1"/>
  <c r="C684" i="1" s="1"/>
  <c r="R71" i="1"/>
  <c r="D85" i="9" s="1"/>
  <c r="BE71" i="1"/>
  <c r="H245" i="9" s="1"/>
  <c r="AB71" i="1"/>
  <c r="C521" i="1" s="1"/>
  <c r="G521" i="1" s="1"/>
  <c r="Z71" i="1"/>
  <c r="E117" i="9" s="1"/>
  <c r="G140" i="9"/>
  <c r="AR71" i="1"/>
  <c r="I181" i="9" s="1"/>
  <c r="G71" i="1"/>
  <c r="C500" i="1" s="1"/>
  <c r="G500" i="1" s="1"/>
  <c r="AA71" i="1"/>
  <c r="F117" i="9" s="1"/>
  <c r="M71" i="1"/>
  <c r="C678" i="1" s="1"/>
  <c r="I108" i="9"/>
  <c r="BQ71" i="1"/>
  <c r="C562" i="1" s="1"/>
  <c r="H300" i="9"/>
  <c r="BS71" i="1"/>
  <c r="C639" i="1" s="1"/>
  <c r="AZ71" i="1"/>
  <c r="C245" i="9" s="1"/>
  <c r="BG71" i="1"/>
  <c r="C552" i="1" s="1"/>
  <c r="E44" i="9"/>
  <c r="L71" i="1"/>
  <c r="E332" i="9"/>
  <c r="BM71" i="1"/>
  <c r="C638" i="1" s="1"/>
  <c r="H12" i="9"/>
  <c r="G268" i="9"/>
  <c r="BK71" i="1"/>
  <c r="AL71" i="1"/>
  <c r="C181" i="9" s="1"/>
  <c r="C502" i="1"/>
  <c r="G502" i="1" s="1"/>
  <c r="G108" i="9"/>
  <c r="I140" i="9"/>
  <c r="E172" i="9"/>
  <c r="BC71" i="1"/>
  <c r="C633" i="1" s="1"/>
  <c r="D140" i="9"/>
  <c r="AV71" i="1"/>
  <c r="F213" i="9" s="1"/>
  <c r="H268" i="9"/>
  <c r="I332" i="9"/>
  <c r="I44" i="9"/>
  <c r="P71" i="1"/>
  <c r="BT71" i="1"/>
  <c r="BO71" i="1"/>
  <c r="D309" i="9" s="1"/>
  <c r="F172" i="9"/>
  <c r="CA71" i="1"/>
  <c r="I341" i="9" s="1"/>
  <c r="AO71" i="1"/>
  <c r="F181" i="9" s="1"/>
  <c r="AE71" i="1"/>
  <c r="E181" i="9"/>
  <c r="C533" i="1"/>
  <c r="G533" i="1" s="1"/>
  <c r="C428" i="1"/>
  <c r="F85" i="9"/>
  <c r="C685" i="1"/>
  <c r="C513" i="1"/>
  <c r="G513" i="1" s="1"/>
  <c r="B570" i="1"/>
  <c r="B523" i="1"/>
  <c r="B557" i="1"/>
  <c r="B509" i="1"/>
  <c r="B506" i="1"/>
  <c r="B513" i="1"/>
  <c r="B518" i="1"/>
  <c r="B543" i="1"/>
  <c r="B502" i="1"/>
  <c r="B564" i="1"/>
  <c r="B521" i="1"/>
  <c r="B534" i="1"/>
  <c r="B501" i="1"/>
  <c r="B519" i="1"/>
  <c r="B498" i="1"/>
  <c r="B515" i="1"/>
  <c r="B565" i="1"/>
  <c r="B526" i="1"/>
  <c r="B560" i="1"/>
  <c r="B572" i="1"/>
  <c r="B562" i="1"/>
  <c r="B558" i="1"/>
  <c r="B574" i="1"/>
  <c r="B573" i="1"/>
  <c r="B527" i="1"/>
  <c r="B540" i="1"/>
  <c r="H540" i="1" s="1"/>
  <c r="G17" i="9"/>
  <c r="I273" i="9"/>
  <c r="D27" i="7"/>
  <c r="B448" i="1"/>
  <c r="D341" i="1"/>
  <c r="C481" i="1" s="1"/>
  <c r="C50" i="8"/>
  <c r="C620" i="1"/>
  <c r="C574" i="1"/>
  <c r="D373" i="9"/>
  <c r="H209" i="9"/>
  <c r="D337" i="9"/>
  <c r="F81" i="9"/>
  <c r="I209" i="9"/>
  <c r="I241" i="9"/>
  <c r="I378" i="9"/>
  <c r="K612" i="1"/>
  <c r="C465" i="1"/>
  <c r="C616" i="1"/>
  <c r="C543" i="1"/>
  <c r="H213" i="9"/>
  <c r="C619" i="1"/>
  <c r="C559" i="1"/>
  <c r="C309" i="9"/>
  <c r="C126" i="8"/>
  <c r="D391" i="1"/>
  <c r="F32" i="6"/>
  <c r="C478" i="1"/>
  <c r="C305" i="9"/>
  <c r="H241" i="9"/>
  <c r="I145" i="9"/>
  <c r="G209" i="9"/>
  <c r="G337" i="9"/>
  <c r="D177" i="9"/>
  <c r="C476" i="1"/>
  <c r="F16" i="6"/>
  <c r="C642" i="1"/>
  <c r="D341" i="9"/>
  <c r="C567" i="1"/>
  <c r="I245" i="9"/>
  <c r="C629" i="1"/>
  <c r="C551" i="1"/>
  <c r="G341" i="9"/>
  <c r="C570" i="1"/>
  <c r="C645" i="1"/>
  <c r="D17" i="9"/>
  <c r="F305" i="9"/>
  <c r="C622" i="1"/>
  <c r="C373" i="9"/>
  <c r="C573" i="1"/>
  <c r="G305" i="9"/>
  <c r="F113" i="9"/>
  <c r="F49" i="9"/>
  <c r="C369" i="9"/>
  <c r="F17" i="9"/>
  <c r="G241" i="9"/>
  <c r="C523" i="1" l="1"/>
  <c r="G523" i="1" s="1"/>
  <c r="C569" i="1"/>
  <c r="H341" i="9"/>
  <c r="C644" i="1"/>
  <c r="C21" i="9"/>
  <c r="C632" i="1"/>
  <c r="I21" i="9"/>
  <c r="C668" i="1"/>
  <c r="C539" i="1"/>
  <c r="G539" i="1" s="1"/>
  <c r="I369" i="9"/>
  <c r="E245" i="9"/>
  <c r="E213" i="9"/>
  <c r="C699" i="1"/>
  <c r="C341" i="9"/>
  <c r="C711" i="1"/>
  <c r="C687" i="1"/>
  <c r="E277" i="9"/>
  <c r="C566" i="1"/>
  <c r="C637" i="1"/>
  <c r="F277" i="9"/>
  <c r="C617" i="1"/>
  <c r="H181" i="9"/>
  <c r="C634" i="1"/>
  <c r="CE71" i="1"/>
  <c r="C716" i="1" s="1"/>
  <c r="C557" i="1"/>
  <c r="C712" i="1"/>
  <c r="C708" i="1"/>
  <c r="G309" i="9"/>
  <c r="C695" i="1"/>
  <c r="C482" i="1"/>
  <c r="C688" i="1"/>
  <c r="H85" i="9"/>
  <c r="D245" i="9"/>
  <c r="I149" i="9"/>
  <c r="I85" i="9"/>
  <c r="C522" i="1"/>
  <c r="G522" i="1" s="1"/>
  <c r="C630" i="1"/>
  <c r="D53" i="9"/>
  <c r="C213" i="9"/>
  <c r="D181" i="9"/>
  <c r="C538" i="1"/>
  <c r="G538" i="1" s="1"/>
  <c r="C535" i="1"/>
  <c r="G535" i="1" s="1"/>
  <c r="H117" i="9"/>
  <c r="C646" i="1"/>
  <c r="C701" i="1"/>
  <c r="G181" i="9"/>
  <c r="C508" i="1"/>
  <c r="G508" i="1" s="1"/>
  <c r="C702" i="1"/>
  <c r="C529" i="1"/>
  <c r="G529" i="1" s="1"/>
  <c r="F149" i="9"/>
  <c r="C53" i="9"/>
  <c r="C503" i="1"/>
  <c r="G503" i="1" s="1"/>
  <c r="C433" i="1"/>
  <c r="C690" i="1"/>
  <c r="C518" i="1"/>
  <c r="G518" i="1" s="1"/>
  <c r="D117" i="9"/>
  <c r="C441" i="1"/>
  <c r="C117" i="9"/>
  <c r="C517" i="1"/>
  <c r="G517" i="1" s="1"/>
  <c r="C498" i="1"/>
  <c r="G498" i="1" s="1"/>
  <c r="E149" i="9"/>
  <c r="I213" i="9"/>
  <c r="C693" i="1"/>
  <c r="F53" i="9"/>
  <c r="C669" i="1"/>
  <c r="C626" i="1"/>
  <c r="E309" i="9"/>
  <c r="C519" i="1"/>
  <c r="G519" i="1" s="1"/>
  <c r="C682" i="1"/>
  <c r="C672" i="1"/>
  <c r="G149" i="9"/>
  <c r="C511" i="1"/>
  <c r="G511" i="1" s="1"/>
  <c r="C510" i="1"/>
  <c r="G510" i="1" s="1"/>
  <c r="C624" i="1"/>
  <c r="C631" i="1"/>
  <c r="C704" i="1"/>
  <c r="G213" i="9"/>
  <c r="C621" i="1"/>
  <c r="G245" i="9"/>
  <c r="H53" i="9"/>
  <c r="C545" i="1"/>
  <c r="G545" i="1" s="1"/>
  <c r="G117" i="9"/>
  <c r="C628" i="1"/>
  <c r="C506" i="1"/>
  <c r="G506" i="1" s="1"/>
  <c r="C544" i="1"/>
  <c r="G544" i="1" s="1"/>
  <c r="D149" i="9"/>
  <c r="C647" i="1"/>
  <c r="C697" i="1"/>
  <c r="G21" i="9"/>
  <c r="C670" i="1"/>
  <c r="C700" i="1"/>
  <c r="C504" i="1"/>
  <c r="G504" i="1" s="1"/>
  <c r="C277" i="9"/>
  <c r="C618" i="1"/>
  <c r="C683" i="1"/>
  <c r="C507" i="1"/>
  <c r="G507" i="1" s="1"/>
  <c r="C643" i="1"/>
  <c r="C713" i="1"/>
  <c r="F309" i="9"/>
  <c r="C512" i="1"/>
  <c r="G512" i="1" s="1"/>
  <c r="C537" i="1"/>
  <c r="G537" i="1" s="1"/>
  <c r="C691" i="1"/>
  <c r="G53" i="9"/>
  <c r="E341" i="9"/>
  <c r="C497" i="1"/>
  <c r="G497" i="1" s="1"/>
  <c r="C698" i="1"/>
  <c r="C534" i="1"/>
  <c r="G534" i="1" s="1"/>
  <c r="C501" i="1"/>
  <c r="G501" i="1" s="1"/>
  <c r="C548" i="1"/>
  <c r="C623" i="1"/>
  <c r="E85" i="9"/>
  <c r="C706" i="1"/>
  <c r="H21" i="9"/>
  <c r="F245" i="9"/>
  <c r="C636" i="1"/>
  <c r="C692" i="1"/>
  <c r="C550" i="1"/>
  <c r="G550" i="1" s="1"/>
  <c r="C572" i="1"/>
  <c r="I277" i="9"/>
  <c r="D277" i="9"/>
  <c r="G85" i="9"/>
  <c r="C686" i="1"/>
  <c r="C614" i="1"/>
  <c r="C558" i="1"/>
  <c r="C520" i="1"/>
  <c r="G520" i="1" s="1"/>
  <c r="C560" i="1"/>
  <c r="H309" i="9"/>
  <c r="C709" i="1"/>
  <c r="C677" i="1"/>
  <c r="E53" i="9"/>
  <c r="C505" i="1"/>
  <c r="G505" i="1" s="1"/>
  <c r="C564" i="1"/>
  <c r="C531" i="1"/>
  <c r="G531" i="1" s="1"/>
  <c r="C541" i="1"/>
  <c r="C703" i="1"/>
  <c r="C627" i="1"/>
  <c r="C524" i="1"/>
  <c r="G524" i="1" s="1"/>
  <c r="C696" i="1"/>
  <c r="C149" i="9"/>
  <c r="I53" i="9"/>
  <c r="C509" i="1"/>
  <c r="G509" i="1" s="1"/>
  <c r="C681" i="1"/>
  <c r="C565" i="1"/>
  <c r="I309" i="9"/>
  <c r="C640" i="1"/>
  <c r="C635" i="1"/>
  <c r="C556" i="1"/>
  <c r="G277" i="9"/>
  <c r="F498" i="1"/>
  <c r="B541" i="1"/>
  <c r="F540" i="1"/>
  <c r="B503" i="1"/>
  <c r="F503" i="1" s="1"/>
  <c r="B554" i="1"/>
  <c r="B522" i="1"/>
  <c r="F522" i="1" s="1"/>
  <c r="B556" i="1"/>
  <c r="B555" i="1"/>
  <c r="B507" i="1"/>
  <c r="H507" i="1" s="1"/>
  <c r="B548" i="1"/>
  <c r="B500" i="1"/>
  <c r="H500" i="1" s="1"/>
  <c r="B552" i="1"/>
  <c r="B524" i="1"/>
  <c r="B571" i="1"/>
  <c r="B536" i="1"/>
  <c r="B551" i="1"/>
  <c r="B561" i="1"/>
  <c r="B535" i="1"/>
  <c r="B517" i="1"/>
  <c r="B529" i="1"/>
  <c r="B550" i="1"/>
  <c r="B568" i="1"/>
  <c r="B504" i="1"/>
  <c r="F504" i="1" s="1"/>
  <c r="B563" i="1"/>
  <c r="B537" i="1"/>
  <c r="B512" i="1"/>
  <c r="F512" i="1" s="1"/>
  <c r="B549" i="1"/>
  <c r="B520" i="1"/>
  <c r="B530" i="1"/>
  <c r="B569" i="1"/>
  <c r="B566" i="1"/>
  <c r="B544" i="1"/>
  <c r="B511" i="1"/>
  <c r="B545" i="1"/>
  <c r="B567" i="1"/>
  <c r="B553" i="1"/>
  <c r="B538" i="1"/>
  <c r="F538" i="1" s="1"/>
  <c r="B499" i="1"/>
  <c r="B539" i="1"/>
  <c r="B505" i="1"/>
  <c r="B531" i="1"/>
  <c r="B516" i="1"/>
  <c r="B525" i="1"/>
  <c r="F515" i="1"/>
  <c r="H515" i="1"/>
  <c r="B546" i="1"/>
  <c r="F546" i="1" s="1"/>
  <c r="B542" i="1"/>
  <c r="B547" i="1"/>
  <c r="B508" i="1"/>
  <c r="F508" i="1" s="1"/>
  <c r="B532" i="1"/>
  <c r="B533" i="1"/>
  <c r="B559" i="1"/>
  <c r="B510" i="1"/>
  <c r="F510" i="1" s="1"/>
  <c r="F501" i="1"/>
  <c r="H501" i="1"/>
  <c r="B528" i="1"/>
  <c r="B514" i="1"/>
  <c r="F514" i="1" s="1"/>
  <c r="B497" i="1"/>
  <c r="F513" i="1"/>
  <c r="H513" i="1"/>
  <c r="C142" i="8"/>
  <c r="D393" i="1"/>
  <c r="F534" i="1"/>
  <c r="H534" i="1"/>
  <c r="H502" i="1"/>
  <c r="F502" i="1"/>
  <c r="F526" i="1"/>
  <c r="H526" i="1" s="1"/>
  <c r="F518" i="1"/>
  <c r="F506" i="1"/>
  <c r="H506" i="1"/>
  <c r="F509" i="1"/>
  <c r="I373" i="9" l="1"/>
  <c r="H518" i="1"/>
  <c r="H498" i="1"/>
  <c r="C715" i="1"/>
  <c r="H512" i="1"/>
  <c r="C648" i="1"/>
  <c r="M716" i="1" s="1"/>
  <c r="H509" i="1"/>
  <c r="D615" i="1"/>
  <c r="D632" i="1" s="1"/>
  <c r="H508" i="1"/>
  <c r="H503" i="1"/>
  <c r="F500" i="1"/>
  <c r="F507" i="1"/>
  <c r="H538" i="1"/>
  <c r="H510" i="1"/>
  <c r="H546" i="1"/>
  <c r="H504" i="1"/>
  <c r="H522" i="1"/>
  <c r="F499" i="1"/>
  <c r="H499" i="1"/>
  <c r="H536" i="1"/>
  <c r="F536" i="1"/>
  <c r="H505" i="1"/>
  <c r="F505" i="1"/>
  <c r="B496" i="1"/>
  <c r="F516" i="1"/>
  <c r="H516" i="1"/>
  <c r="H511" i="1"/>
  <c r="F511" i="1"/>
  <c r="F517" i="1"/>
  <c r="H517" i="1"/>
  <c r="H514" i="1"/>
  <c r="F530" i="1"/>
  <c r="H530" i="1" s="1"/>
  <c r="F524" i="1"/>
  <c r="H524" i="1" s="1"/>
  <c r="H497" i="1"/>
  <c r="F497" i="1"/>
  <c r="H528" i="1"/>
  <c r="F528" i="1"/>
  <c r="H532" i="1"/>
  <c r="F532" i="1"/>
  <c r="F520" i="1"/>
  <c r="H520" i="1" s="1"/>
  <c r="F550" i="1"/>
  <c r="H550" i="1" s="1"/>
  <c r="F544" i="1"/>
  <c r="H544" i="1" s="1"/>
  <c r="F545" i="1"/>
  <c r="H545" i="1" s="1"/>
  <c r="H525" i="1"/>
  <c r="F525" i="1"/>
  <c r="F529" i="1"/>
  <c r="H529" i="1" s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D683" i="1" l="1"/>
  <c r="D694" i="1"/>
  <c r="D627" i="1"/>
  <c r="D628" i="1"/>
  <c r="D700" i="1"/>
  <c r="D672" i="1"/>
  <c r="D634" i="1"/>
  <c r="D619" i="1"/>
  <c r="D685" i="1"/>
  <c r="D681" i="1"/>
  <c r="D712" i="1"/>
  <c r="D682" i="1"/>
  <c r="D635" i="1"/>
  <c r="D617" i="1"/>
  <c r="D675" i="1"/>
  <c r="D643" i="1"/>
  <c r="D703" i="1"/>
  <c r="D687" i="1"/>
  <c r="D707" i="1"/>
  <c r="D630" i="1"/>
  <c r="D623" i="1"/>
  <c r="D644" i="1"/>
  <c r="D679" i="1"/>
  <c r="D646" i="1"/>
  <c r="D626" i="1"/>
  <c r="D701" i="1"/>
  <c r="D640" i="1"/>
  <c r="D673" i="1"/>
  <c r="D669" i="1"/>
  <c r="D629" i="1"/>
  <c r="D705" i="1"/>
  <c r="D645" i="1"/>
  <c r="D688" i="1"/>
  <c r="D710" i="1"/>
  <c r="D698" i="1"/>
  <c r="D702" i="1"/>
  <c r="D709" i="1"/>
  <c r="D674" i="1"/>
  <c r="D684" i="1"/>
  <c r="D676" i="1"/>
  <c r="D699" i="1"/>
  <c r="D622" i="1"/>
  <c r="D625" i="1"/>
  <c r="D695" i="1"/>
  <c r="D633" i="1"/>
  <c r="D696" i="1"/>
  <c r="D689" i="1"/>
  <c r="D677" i="1"/>
  <c r="D691" i="1"/>
  <c r="D620" i="1"/>
  <c r="D631" i="1"/>
  <c r="D639" i="1"/>
  <c r="D618" i="1"/>
  <c r="D680" i="1"/>
  <c r="D616" i="1"/>
  <c r="D713" i="1"/>
  <c r="D636" i="1"/>
  <c r="D716" i="1"/>
  <c r="D642" i="1"/>
  <c r="D706" i="1"/>
  <c r="D686" i="1"/>
  <c r="D692" i="1"/>
  <c r="D693" i="1"/>
  <c r="D708" i="1"/>
  <c r="D641" i="1"/>
  <c r="D678" i="1"/>
  <c r="D621" i="1"/>
  <c r="D670" i="1"/>
  <c r="D638" i="1"/>
  <c r="D671" i="1"/>
  <c r="D711" i="1"/>
  <c r="D704" i="1"/>
  <c r="D624" i="1"/>
  <c r="D668" i="1"/>
  <c r="D647" i="1"/>
  <c r="D637" i="1"/>
  <c r="D690" i="1"/>
  <c r="D697" i="1"/>
  <c r="F496" i="1"/>
  <c r="H496" i="1" s="1"/>
  <c r="E623" i="1" l="1"/>
  <c r="E716" i="1" s="1"/>
  <c r="E612" i="1"/>
  <c r="D715" i="1"/>
  <c r="E710" i="1" l="1"/>
  <c r="E675" i="1"/>
  <c r="E627" i="1"/>
  <c r="E669" i="1"/>
  <c r="E687" i="1"/>
  <c r="E709" i="1"/>
  <c r="E633" i="1"/>
  <c r="E677" i="1"/>
  <c r="E624" i="1"/>
  <c r="F624" i="1" s="1"/>
  <c r="F668" i="1" s="1"/>
  <c r="E637" i="1"/>
  <c r="E641" i="1"/>
  <c r="E695" i="1"/>
  <c r="E642" i="1"/>
  <c r="E706" i="1"/>
  <c r="E635" i="1"/>
  <c r="E630" i="1"/>
  <c r="E701" i="1"/>
  <c r="E711" i="1"/>
  <c r="E699" i="1"/>
  <c r="E682" i="1"/>
  <c r="E690" i="1"/>
  <c r="E689" i="1"/>
  <c r="E697" i="1"/>
  <c r="E704" i="1"/>
  <c r="E683" i="1"/>
  <c r="E634" i="1"/>
  <c r="E703" i="1"/>
  <c r="E707" i="1"/>
  <c r="E694" i="1"/>
  <c r="E712" i="1"/>
  <c r="E640" i="1"/>
  <c r="E713" i="1"/>
  <c r="E674" i="1"/>
  <c r="E702" i="1"/>
  <c r="E678" i="1"/>
  <c r="E708" i="1"/>
  <c r="E705" i="1"/>
  <c r="E688" i="1"/>
  <c r="E671" i="1"/>
  <c r="E645" i="1"/>
  <c r="E626" i="1"/>
  <c r="E686" i="1"/>
  <c r="E698" i="1"/>
  <c r="E639" i="1"/>
  <c r="E691" i="1"/>
  <c r="E696" i="1"/>
  <c r="E646" i="1"/>
  <c r="E644" i="1"/>
  <c r="E625" i="1"/>
  <c r="E681" i="1"/>
  <c r="E684" i="1"/>
  <c r="E647" i="1"/>
  <c r="E668" i="1"/>
  <c r="E700" i="1"/>
  <c r="E676" i="1"/>
  <c r="E636" i="1"/>
  <c r="E672" i="1"/>
  <c r="E693" i="1"/>
  <c r="E631" i="1"/>
  <c r="E685" i="1"/>
  <c r="E632" i="1"/>
  <c r="E680" i="1"/>
  <c r="E679" i="1"/>
  <c r="E638" i="1"/>
  <c r="E643" i="1"/>
  <c r="E673" i="1"/>
  <c r="E628" i="1"/>
  <c r="E692" i="1"/>
  <c r="E670" i="1"/>
  <c r="E629" i="1"/>
  <c r="F710" i="1" l="1"/>
  <c r="F693" i="1"/>
  <c r="F712" i="1"/>
  <c r="F700" i="1"/>
  <c r="F682" i="1"/>
  <c r="F631" i="1"/>
  <c r="F627" i="1"/>
  <c r="F674" i="1"/>
  <c r="F707" i="1"/>
  <c r="F684" i="1"/>
  <c r="F695" i="1"/>
  <c r="F635" i="1"/>
  <c r="F702" i="1"/>
  <c r="F638" i="1"/>
  <c r="F705" i="1"/>
  <c r="F685" i="1"/>
  <c r="F628" i="1"/>
  <c r="F645" i="1"/>
  <c r="F639" i="1"/>
  <c r="F634" i="1"/>
  <c r="F636" i="1"/>
  <c r="F709" i="1"/>
  <c r="F689" i="1"/>
  <c r="F698" i="1"/>
  <c r="F703" i="1"/>
  <c r="F675" i="1"/>
  <c r="F716" i="1"/>
  <c r="F708" i="1"/>
  <c r="F670" i="1"/>
  <c r="F671" i="1"/>
  <c r="F706" i="1"/>
  <c r="F626" i="1"/>
  <c r="F637" i="1"/>
  <c r="F696" i="1"/>
  <c r="F629" i="1"/>
  <c r="F677" i="1"/>
  <c r="F711" i="1"/>
  <c r="F632" i="1"/>
  <c r="F683" i="1"/>
  <c r="F646" i="1"/>
  <c r="F633" i="1"/>
  <c r="F686" i="1"/>
  <c r="F672" i="1"/>
  <c r="F669" i="1"/>
  <c r="F713" i="1"/>
  <c r="F694" i="1"/>
  <c r="F701" i="1"/>
  <c r="F704" i="1"/>
  <c r="F678" i="1"/>
  <c r="F691" i="1"/>
  <c r="F697" i="1"/>
  <c r="F680" i="1"/>
  <c r="F699" i="1"/>
  <c r="F690" i="1"/>
  <c r="F642" i="1"/>
  <c r="F681" i="1"/>
  <c r="F647" i="1"/>
  <c r="F641" i="1"/>
  <c r="F676" i="1"/>
  <c r="F625" i="1"/>
  <c r="F692" i="1"/>
  <c r="F687" i="1"/>
  <c r="F640" i="1"/>
  <c r="F679" i="1"/>
  <c r="F644" i="1"/>
  <c r="F630" i="1"/>
  <c r="F643" i="1"/>
  <c r="G625" i="1"/>
  <c r="G645" i="1" s="1"/>
  <c r="F673" i="1"/>
  <c r="F688" i="1"/>
  <c r="E715" i="1"/>
  <c r="G686" i="1" l="1"/>
  <c r="G640" i="1"/>
  <c r="G672" i="1"/>
  <c r="G677" i="1"/>
  <c r="G716" i="1"/>
  <c r="G641" i="1"/>
  <c r="G635" i="1"/>
  <c r="G627" i="1"/>
  <c r="F715" i="1"/>
  <c r="G684" i="1"/>
  <c r="G675" i="1"/>
  <c r="G639" i="1"/>
  <c r="G687" i="1"/>
  <c r="G700" i="1"/>
  <c r="G691" i="1"/>
  <c r="G696" i="1"/>
  <c r="G668" i="1"/>
  <c r="G707" i="1"/>
  <c r="G673" i="1"/>
  <c r="G633" i="1"/>
  <c r="G646" i="1"/>
  <c r="G680" i="1"/>
  <c r="G704" i="1"/>
  <c r="G701" i="1"/>
  <c r="G676" i="1"/>
  <c r="G697" i="1"/>
  <c r="G703" i="1"/>
  <c r="G706" i="1"/>
  <c r="G693" i="1"/>
  <c r="G632" i="1"/>
  <c r="G669" i="1"/>
  <c r="G681" i="1"/>
  <c r="G628" i="1"/>
  <c r="G644" i="1"/>
  <c r="G642" i="1"/>
  <c r="G702" i="1"/>
  <c r="G708" i="1"/>
  <c r="G711" i="1"/>
  <c r="G682" i="1"/>
  <c r="G683" i="1"/>
  <c r="G713" i="1"/>
  <c r="G709" i="1"/>
  <c r="G699" i="1"/>
  <c r="G631" i="1"/>
  <c r="G636" i="1"/>
  <c r="G685" i="1"/>
  <c r="G670" i="1"/>
  <c r="G710" i="1"/>
  <c r="G712" i="1"/>
  <c r="G674" i="1"/>
  <c r="G638" i="1"/>
  <c r="G671" i="1"/>
  <c r="G626" i="1"/>
  <c r="G692" i="1"/>
  <c r="G678" i="1"/>
  <c r="G634" i="1"/>
  <c r="G698" i="1"/>
  <c r="G637" i="1"/>
  <c r="G695" i="1"/>
  <c r="G647" i="1"/>
  <c r="G679" i="1"/>
  <c r="G690" i="1"/>
  <c r="G643" i="1"/>
  <c r="G694" i="1"/>
  <c r="G688" i="1"/>
  <c r="G629" i="1"/>
  <c r="G689" i="1"/>
  <c r="G630" i="1"/>
  <c r="G705" i="1"/>
  <c r="H628" i="1" l="1"/>
  <c r="H692" i="1" s="1"/>
  <c r="G715" i="1"/>
  <c r="H632" i="1" l="1"/>
  <c r="H716" i="1"/>
  <c r="H646" i="1"/>
  <c r="H636" i="1"/>
  <c r="H643" i="1"/>
  <c r="H712" i="1"/>
  <c r="H701" i="1"/>
  <c r="H683" i="1"/>
  <c r="H703" i="1"/>
  <c r="H693" i="1"/>
  <c r="H640" i="1"/>
  <c r="H706" i="1"/>
  <c r="H687" i="1"/>
  <c r="H675" i="1"/>
  <c r="H638" i="1"/>
  <c r="H698" i="1"/>
  <c r="H709" i="1"/>
  <c r="H630" i="1"/>
  <c r="H685" i="1"/>
  <c r="H686" i="1"/>
  <c r="H629" i="1"/>
  <c r="I629" i="1" s="1"/>
  <c r="I697" i="1" s="1"/>
  <c r="H637" i="1"/>
  <c r="H670" i="1"/>
  <c r="H674" i="1"/>
  <c r="H635" i="1"/>
  <c r="H702" i="1"/>
  <c r="H639" i="1"/>
  <c r="H668" i="1"/>
  <c r="H676" i="1"/>
  <c r="H689" i="1"/>
  <c r="H631" i="1"/>
  <c r="H711" i="1"/>
  <c r="H682" i="1"/>
  <c r="H678" i="1"/>
  <c r="H691" i="1"/>
  <c r="H688" i="1"/>
  <c r="H633" i="1"/>
  <c r="H707" i="1"/>
  <c r="H644" i="1"/>
  <c r="H634" i="1"/>
  <c r="H694" i="1"/>
  <c r="H695" i="1"/>
  <c r="H705" i="1"/>
  <c r="H704" i="1"/>
  <c r="H647" i="1"/>
  <c r="H645" i="1"/>
  <c r="H679" i="1"/>
  <c r="H710" i="1"/>
  <c r="H677" i="1"/>
  <c r="H641" i="1"/>
  <c r="H713" i="1"/>
  <c r="H690" i="1"/>
  <c r="H642" i="1"/>
  <c r="H700" i="1"/>
  <c r="H699" i="1"/>
  <c r="H671" i="1"/>
  <c r="H672" i="1"/>
  <c r="H669" i="1"/>
  <c r="H708" i="1"/>
  <c r="H681" i="1"/>
  <c r="H673" i="1"/>
  <c r="H696" i="1"/>
  <c r="H697" i="1"/>
  <c r="H684" i="1"/>
  <c r="H680" i="1"/>
  <c r="I693" i="1" l="1"/>
  <c r="I684" i="1"/>
  <c r="I682" i="1"/>
  <c r="I676" i="1"/>
  <c r="I695" i="1"/>
  <c r="I681" i="1"/>
  <c r="I690" i="1"/>
  <c r="I710" i="1"/>
  <c r="I691" i="1"/>
  <c r="I630" i="1"/>
  <c r="I677" i="1"/>
  <c r="I696" i="1"/>
  <c r="I669" i="1"/>
  <c r="I707" i="1"/>
  <c r="I694" i="1"/>
  <c r="I716" i="1"/>
  <c r="I640" i="1"/>
  <c r="I686" i="1"/>
  <c r="I645" i="1"/>
  <c r="I633" i="1"/>
  <c r="I688" i="1"/>
  <c r="I712" i="1"/>
  <c r="I680" i="1"/>
  <c r="I646" i="1"/>
  <c r="I709" i="1"/>
  <c r="I701" i="1"/>
  <c r="I705" i="1"/>
  <c r="I671" i="1"/>
  <c r="I638" i="1"/>
  <c r="I685" i="1"/>
  <c r="I647" i="1"/>
  <c r="I636" i="1"/>
  <c r="I673" i="1"/>
  <c r="I643" i="1"/>
  <c r="I699" i="1"/>
  <c r="I702" i="1"/>
  <c r="I711" i="1"/>
  <c r="I700" i="1"/>
  <c r="I634" i="1"/>
  <c r="I631" i="1"/>
  <c r="I674" i="1"/>
  <c r="I703" i="1"/>
  <c r="I698" i="1"/>
  <c r="I670" i="1"/>
  <c r="I708" i="1"/>
  <c r="I713" i="1"/>
  <c r="I704" i="1"/>
  <c r="I637" i="1"/>
  <c r="I692" i="1"/>
  <c r="I644" i="1"/>
  <c r="I632" i="1"/>
  <c r="I641" i="1"/>
  <c r="I635" i="1"/>
  <c r="I679" i="1"/>
  <c r="I689" i="1"/>
  <c r="I687" i="1"/>
  <c r="I668" i="1"/>
  <c r="I642" i="1"/>
  <c r="I706" i="1"/>
  <c r="I675" i="1"/>
  <c r="I672" i="1"/>
  <c r="I678" i="1"/>
  <c r="I639" i="1"/>
  <c r="I683" i="1"/>
  <c r="H715" i="1"/>
  <c r="J630" i="1"/>
  <c r="I715" i="1" l="1"/>
  <c r="J699" i="1"/>
  <c r="J692" i="1"/>
  <c r="J633" i="1"/>
  <c r="J636" i="1"/>
  <c r="J678" i="1"/>
  <c r="J688" i="1"/>
  <c r="J673" i="1"/>
  <c r="J674" i="1"/>
  <c r="J716" i="1"/>
  <c r="J670" i="1"/>
  <c r="J691" i="1"/>
  <c r="J634" i="1"/>
  <c r="J668" i="1"/>
  <c r="J681" i="1"/>
  <c r="J635" i="1"/>
  <c r="J675" i="1"/>
  <c r="J683" i="1"/>
  <c r="J641" i="1"/>
  <c r="J695" i="1"/>
  <c r="J632" i="1"/>
  <c r="J631" i="1"/>
  <c r="J642" i="1"/>
  <c r="J707" i="1"/>
  <c r="J705" i="1"/>
  <c r="J693" i="1"/>
  <c r="J686" i="1"/>
  <c r="J703" i="1"/>
  <c r="J644" i="1"/>
  <c r="J643" i="1"/>
  <c r="J696" i="1"/>
  <c r="J672" i="1"/>
  <c r="J639" i="1"/>
  <c r="J700" i="1"/>
  <c r="J684" i="1"/>
  <c r="J682" i="1"/>
  <c r="J711" i="1"/>
  <c r="J685" i="1"/>
  <c r="J680" i="1"/>
  <c r="J712" i="1"/>
  <c r="J710" i="1"/>
  <c r="J704" i="1"/>
  <c r="J708" i="1"/>
  <c r="J694" i="1"/>
  <c r="J709" i="1"/>
  <c r="J701" i="1"/>
  <c r="J646" i="1"/>
  <c r="J638" i="1"/>
  <c r="J698" i="1"/>
  <c r="J677" i="1"/>
  <c r="J671" i="1"/>
  <c r="J679" i="1"/>
  <c r="J676" i="1"/>
  <c r="J640" i="1"/>
  <c r="J702" i="1"/>
  <c r="J637" i="1"/>
  <c r="J647" i="1"/>
  <c r="J687" i="1"/>
  <c r="J645" i="1"/>
  <c r="J669" i="1"/>
  <c r="J706" i="1"/>
  <c r="J690" i="1"/>
  <c r="J713" i="1"/>
  <c r="J697" i="1"/>
  <c r="J689" i="1"/>
  <c r="J715" i="1" l="1"/>
  <c r="L647" i="1"/>
  <c r="L679" i="1" s="1"/>
  <c r="K644" i="1"/>
  <c r="K716" i="1" s="1"/>
  <c r="L680" i="1" l="1"/>
  <c r="L709" i="1"/>
  <c r="L703" i="1"/>
  <c r="L694" i="1"/>
  <c r="L691" i="1"/>
  <c r="L688" i="1"/>
  <c r="L684" i="1"/>
  <c r="L686" i="1"/>
  <c r="L670" i="1"/>
  <c r="L669" i="1"/>
  <c r="L689" i="1"/>
  <c r="L704" i="1"/>
  <c r="L695" i="1"/>
  <c r="L672" i="1"/>
  <c r="L699" i="1"/>
  <c r="L673" i="1"/>
  <c r="L677" i="1"/>
  <c r="L700" i="1"/>
  <c r="L716" i="1"/>
  <c r="L706" i="1"/>
  <c r="L675" i="1"/>
  <c r="L702" i="1"/>
  <c r="L690" i="1"/>
  <c r="L713" i="1"/>
  <c r="L698" i="1"/>
  <c r="L697" i="1"/>
  <c r="L707" i="1"/>
  <c r="L705" i="1"/>
  <c r="L687" i="1"/>
  <c r="L710" i="1"/>
  <c r="L681" i="1"/>
  <c r="L678" i="1"/>
  <c r="L683" i="1"/>
  <c r="L701" i="1"/>
  <c r="L692" i="1"/>
  <c r="L708" i="1"/>
  <c r="L674" i="1"/>
  <c r="L682" i="1"/>
  <c r="L712" i="1"/>
  <c r="L671" i="1"/>
  <c r="L693" i="1"/>
  <c r="L685" i="1"/>
  <c r="L668" i="1"/>
  <c r="L676" i="1"/>
  <c r="L711" i="1"/>
  <c r="K676" i="1"/>
  <c r="K703" i="1"/>
  <c r="M703" i="1" s="1"/>
  <c r="K705" i="1"/>
  <c r="M705" i="1" s="1"/>
  <c r="L696" i="1"/>
  <c r="K695" i="1"/>
  <c r="K693" i="1"/>
  <c r="K694" i="1"/>
  <c r="M694" i="1" s="1"/>
  <c r="K670" i="1"/>
  <c r="M670" i="1" s="1"/>
  <c r="K679" i="1"/>
  <c r="M679" i="1" s="1"/>
  <c r="K683" i="1"/>
  <c r="K686" i="1"/>
  <c r="M686" i="1" s="1"/>
  <c r="K689" i="1"/>
  <c r="K713" i="1"/>
  <c r="K691" i="1"/>
  <c r="K707" i="1"/>
  <c r="K675" i="1"/>
  <c r="M675" i="1" s="1"/>
  <c r="K672" i="1"/>
  <c r="M672" i="1" s="1"/>
  <c r="K710" i="1"/>
  <c r="K684" i="1"/>
  <c r="K673" i="1"/>
  <c r="K697" i="1"/>
  <c r="M697" i="1" s="1"/>
  <c r="K692" i="1"/>
  <c r="M692" i="1" s="1"/>
  <c r="K712" i="1"/>
  <c r="K677" i="1"/>
  <c r="M677" i="1" s="1"/>
  <c r="K668" i="1"/>
  <c r="K698" i="1"/>
  <c r="K681" i="1"/>
  <c r="K678" i="1"/>
  <c r="K704" i="1"/>
  <c r="K709" i="1"/>
  <c r="K674" i="1"/>
  <c r="K688" i="1"/>
  <c r="K701" i="1"/>
  <c r="M701" i="1" s="1"/>
  <c r="K706" i="1"/>
  <c r="K699" i="1"/>
  <c r="K687" i="1"/>
  <c r="M687" i="1" s="1"/>
  <c r="K680" i="1"/>
  <c r="K708" i="1"/>
  <c r="K702" i="1"/>
  <c r="K690" i="1"/>
  <c r="K696" i="1"/>
  <c r="K682" i="1"/>
  <c r="K700" i="1"/>
  <c r="K685" i="1"/>
  <c r="K669" i="1"/>
  <c r="M669" i="1" s="1"/>
  <c r="D23" i="9" s="1"/>
  <c r="K671" i="1"/>
  <c r="K711" i="1"/>
  <c r="M671" i="1" l="1"/>
  <c r="M706" i="1"/>
  <c r="F183" i="9" s="1"/>
  <c r="M713" i="1"/>
  <c r="F215" i="9" s="1"/>
  <c r="M708" i="1"/>
  <c r="M704" i="1"/>
  <c r="M678" i="1"/>
  <c r="F55" i="9" s="1"/>
  <c r="M673" i="1"/>
  <c r="M698" i="1"/>
  <c r="E151" i="9" s="1"/>
  <c r="M691" i="1"/>
  <c r="E119" i="9" s="1"/>
  <c r="M683" i="1"/>
  <c r="D87" i="9" s="1"/>
  <c r="M680" i="1"/>
  <c r="H55" i="9" s="1"/>
  <c r="M695" i="1"/>
  <c r="I119" i="9" s="1"/>
  <c r="M699" i="1"/>
  <c r="M681" i="1"/>
  <c r="I55" i="9" s="1"/>
  <c r="M684" i="1"/>
  <c r="E87" i="9" s="1"/>
  <c r="M707" i="1"/>
  <c r="M690" i="1"/>
  <c r="D119" i="9" s="1"/>
  <c r="M689" i="1"/>
  <c r="M700" i="1"/>
  <c r="G151" i="9" s="1"/>
  <c r="M702" i="1"/>
  <c r="M709" i="1"/>
  <c r="I183" i="9" s="1"/>
  <c r="M688" i="1"/>
  <c r="I87" i="9" s="1"/>
  <c r="M710" i="1"/>
  <c r="C215" i="9" s="1"/>
  <c r="M712" i="1"/>
  <c r="M668" i="1"/>
  <c r="M674" i="1"/>
  <c r="M682" i="1"/>
  <c r="C87" i="9" s="1"/>
  <c r="M693" i="1"/>
  <c r="G119" i="9" s="1"/>
  <c r="M685" i="1"/>
  <c r="F87" i="9" s="1"/>
  <c r="L715" i="1"/>
  <c r="M676" i="1"/>
  <c r="D55" i="9" s="1"/>
  <c r="M711" i="1"/>
  <c r="D215" i="9" s="1"/>
  <c r="E183" i="9"/>
  <c r="C183" i="9"/>
  <c r="F119" i="9"/>
  <c r="H151" i="9"/>
  <c r="D151" i="9"/>
  <c r="G55" i="9"/>
  <c r="H87" i="9"/>
  <c r="E55" i="9"/>
  <c r="C55" i="9"/>
  <c r="E23" i="9"/>
  <c r="G87" i="9"/>
  <c r="H119" i="9"/>
  <c r="K715" i="1"/>
  <c r="G23" i="9"/>
  <c r="M696" i="1"/>
  <c r="C23" i="9" l="1"/>
  <c r="D183" i="9"/>
  <c r="F151" i="9"/>
  <c r="F23" i="9"/>
  <c r="H23" i="9"/>
  <c r="C119" i="9"/>
  <c r="H183" i="9"/>
  <c r="G183" i="9"/>
  <c r="E215" i="9"/>
  <c r="I151" i="9"/>
  <c r="I23" i="9"/>
  <c r="M715" i="1"/>
  <c r="C151" i="9"/>
</calcChain>
</file>

<file path=xl/comments1.xml><?xml version="1.0" encoding="utf-8"?>
<comments xmlns="http://schemas.openxmlformats.org/spreadsheetml/2006/main">
  <authors>
    <author>Sevillano, Michelle (Tacoma)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Can't have duplicate accts need to combine the amounts into 1 line</t>
        </r>
      </text>
    </comment>
    <comment ref="E57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F57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J57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L57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M57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N57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O57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P57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look at prior year and see where this was coded and mimic</t>
        </r>
      </text>
    </comment>
    <comment ref="D76" authorId="0" shapeId="0">
      <text>
        <r>
          <rPr>
            <b/>
            <sz val="9"/>
            <color indexed="81"/>
            <rFont val="Tahoma"/>
            <family val="2"/>
          </rPr>
          <t>Sevillano, Michelle (Tacoma):</t>
        </r>
        <r>
          <rPr>
            <sz val="9"/>
            <color indexed="81"/>
            <rFont val="Tahoma"/>
            <family val="2"/>
          </rPr>
          <t xml:space="preserve">
include zone 934</t>
        </r>
      </text>
    </comment>
  </commentList>
</comments>
</file>

<file path=xl/sharedStrings.xml><?xml version="1.0" encoding="utf-8"?>
<sst xmlns="http://schemas.openxmlformats.org/spreadsheetml/2006/main" count="5145" uniqueCount="1478">
  <si>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</si>
  <si>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</si>
  <si>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</si>
  <si>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</si>
  <si>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</si>
  <si>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</si>
  <si>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</si>
  <si>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</si>
  <si>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</si>
  <si>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</si>
  <si>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</si>
  <si>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</si>
  <si>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</si>
  <si>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</si>
  <si>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</si>
  <si>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</si>
  <si>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</si>
  <si>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</si>
  <si>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</si>
  <si>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</si>
  <si>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</si>
  <si>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</si>
  <si>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</si>
  <si>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</si>
  <si>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</si>
  <si>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</si>
  <si>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</si>
  <si>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</si>
  <si>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</si>
  <si>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</si>
  <si>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</si>
  <si>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</si>
  <si>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</si>
  <si>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</si>
  <si>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</si>
  <si>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</si>
  <si>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</si>
  <si>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</si>
  <si>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</si>
  <si>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</si>
  <si>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</si>
  <si>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</si>
  <si>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</si>
  <si>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</si>
  <si>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</si>
  <si>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</si>
  <si>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</si>
  <si>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</si>
  <si>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</si>
  <si>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</si>
  <si>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</si>
  <si>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</si>
  <si>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</si>
  <si>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</si>
  <si>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</si>
  <si>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</si>
  <si>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</si>
  <si>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</si>
  <si>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</si>
  <si>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</si>
  <si>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</si>
  <si>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</si>
  <si>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</si>
  <si>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</si>
  <si>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</si>
  <si>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</si>
  <si>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</si>
  <si>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</si>
  <si>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</si>
  <si>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</si>
  <si>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</si>
  <si>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</si>
  <si>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</si>
  <si>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</si>
  <si>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</si>
  <si>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</si>
  <si>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</si>
  <si>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</si>
  <si>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</si>
  <si>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</si>
  <si>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</si>
  <si>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</si>
  <si>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</si>
  <si>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</si>
  <si>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</si>
  <si>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</si>
  <si>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</si>
  <si>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</si>
  <si>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</si>
  <si>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</si>
  <si>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</si>
  <si>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</si>
  <si>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</si>
  <si>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</si>
  <si>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</si>
  <si>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</si>
  <si>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</si>
  <si>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</si>
  <si>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</si>
  <si>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</si>
  <si>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</si>
  <si>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</si>
  <si>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</si>
  <si>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</si>
  <si>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</si>
  <si>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</si>
  <si>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</si>
  <si>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</si>
  <si>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</si>
  <si>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</si>
  <si>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</si>
  <si>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</si>
  <si>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</si>
  <si>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</si>
  <si>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</si>
  <si>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</si>
  <si>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</si>
  <si>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</si>
  <si>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</si>
  <si>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</si>
  <si>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</si>
  <si>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</si>
  <si>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</si>
  <si>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</si>
  <si>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</si>
  <si>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</si>
  <si>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</si>
  <si>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</si>
  <si>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</si>
  <si>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</si>
  <si>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</si>
  <si>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</si>
  <si>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</si>
  <si>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</si>
  <si>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</si>
  <si>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</si>
  <si>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</si>
  <si>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</si>
  <si>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</si>
  <si>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</si>
  <si>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</si>
  <si>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</si>
  <si>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</si>
  <si>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</si>
  <si>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</si>
  <si>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</si>
  <si>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</si>
  <si>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</si>
  <si>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</si>
  <si>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</si>
  <si>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</si>
  <si>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</si>
  <si>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</si>
  <si>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</si>
  <si>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</si>
  <si>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</si>
  <si>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</si>
  <si>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</si>
  <si>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</si>
  <si>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</si>
  <si>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</si>
  <si>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</si>
  <si>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</si>
  <si>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</si>
  <si>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</si>
  <si>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</si>
  <si>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</si>
  <si>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</si>
  <si>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</si>
  <si>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</si>
  <si>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</si>
  <si>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</si>
  <si>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</si>
  <si>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</si>
  <si>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</si>
  <si>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</si>
  <si>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</si>
  <si>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</si>
  <si>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</si>
  <si>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</si>
  <si>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</si>
  <si>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</si>
  <si>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</si>
  <si>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</si>
  <si>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</si>
  <si>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</si>
  <si>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</si>
  <si>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</si>
  <si>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</si>
  <si>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</si>
  <si>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</si>
  <si>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</si>
  <si>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</si>
  <si>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</si>
  <si>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</si>
  <si>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</si>
  <si>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</si>
  <si>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</si>
  <si>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</si>
  <si>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</si>
  <si>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</si>
  <si>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</si>
  <si>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</si>
  <si>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</si>
  <si>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</si>
  <si>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</si>
  <si>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</si>
  <si>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</si>
  <si>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</si>
  <si>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</si>
  <si>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</si>
  <si>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</si>
  <si>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</si>
  <si>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</si>
  <si>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</si>
  <si>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</si>
  <si>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</si>
  <si>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</si>
  <si>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</si>
  <si>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</si>
  <si>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</si>
  <si>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</si>
  <si>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</si>
  <si>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</si>
  <si>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</si>
  <si>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</si>
  <si>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</si>
  <si>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</si>
  <si>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</si>
  <si>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</si>
  <si>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</si>
  <si>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</si>
  <si>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</si>
  <si>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</si>
  <si>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</si>
  <si>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</si>
  <si>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</si>
  <si>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</si>
  <si>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</si>
  <si>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</si>
  <si>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</si>
  <si>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</si>
  <si>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</si>
  <si>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</si>
  <si>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</si>
  <si>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</si>
  <si>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</si>
  <si>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</si>
  <si>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</si>
  <si>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</si>
  <si>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</si>
  <si>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</si>
  <si>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</si>
  <si>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</si>
  <si>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</si>
  <si>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</si>
  <si>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</si>
  <si>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</si>
  <si>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</si>
  <si>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</si>
  <si>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</si>
  <si>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</si>
  <si>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</si>
  <si>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</si>
  <si>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</si>
  <si>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</si>
  <si>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</si>
  <si>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</si>
  <si>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</si>
  <si>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</si>
  <si>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</si>
  <si>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</si>
  <si>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</si>
  <si>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</si>
  <si>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</si>
  <si>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</si>
  <si>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</si>
  <si>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</si>
  <si>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</si>
  <si>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</si>
  <si>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</si>
  <si>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</si>
  <si>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</si>
  <si>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</si>
  <si>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</si>
  <si>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</si>
  <si>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</si>
  <si>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</si>
  <si>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</si>
  <si>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</si>
  <si>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</si>
  <si>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</si>
  <si>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</si>
  <si>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</si>
  <si>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</si>
  <si>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</si>
  <si>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</si>
  <si>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</si>
  <si>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</si>
  <si>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</si>
  <si>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</si>
  <si>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</si>
  <si>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</si>
  <si>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</si>
  <si>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</si>
  <si>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</si>
  <si>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</si>
  <si>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</si>
  <si>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</si>
  <si>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</si>
  <si>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</si>
  <si>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</si>
  <si>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</si>
  <si>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</si>
  <si>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</si>
  <si>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</si>
  <si>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</si>
  <si>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</si>
  <si>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</si>
  <si>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</si>
  <si>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</si>
  <si>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</si>
  <si>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</si>
  <si>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</si>
  <si>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</si>
  <si>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</si>
  <si>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</si>
  <si>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</si>
  <si>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</si>
  <si>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</si>
  <si>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</si>
  <si>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</si>
  <si>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</si>
  <si>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</si>
  <si>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</si>
  <si>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</si>
  <si>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</si>
  <si>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</si>
  <si>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</si>
  <si>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</si>
  <si>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</si>
  <si>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</si>
  <si>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</si>
  <si>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</si>
  <si>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</si>
  <si>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</si>
  <si>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</si>
  <si>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</si>
  <si>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</si>
  <si>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</si>
  <si>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</si>
  <si>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</si>
  <si>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</si>
  <si>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</si>
  <si>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</si>
  <si>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</si>
  <si>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</si>
  <si>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</si>
  <si>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</si>
  <si>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</si>
  <si>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</si>
  <si>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</si>
  <si>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</si>
  <si>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</si>
  <si>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</si>
  <si>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</si>
  <si>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</si>
  <si>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</si>
  <si>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</si>
  <si>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</si>
  <si>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</si>
  <si>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</si>
  <si>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</si>
  <si>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</si>
  <si>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</si>
  <si>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</si>
  <si>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</si>
  <si>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</si>
  <si>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</si>
  <si>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</si>
  <si>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</si>
  <si>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</si>
  <si>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</si>
  <si>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</si>
  <si>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</si>
  <si>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</si>
  <si>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</si>
  <si>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</si>
  <si>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</si>
  <si>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</si>
  <si>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</si>
  <si>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</si>
  <si>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</si>
  <si>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</si>
  <si>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</si>
  <si>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</si>
  <si>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</si>
  <si>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</si>
  <si>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</si>
  <si>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</si>
  <si>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</si>
  <si>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</si>
  <si>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</si>
  <si>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</si>
  <si>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</si>
  <si>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</si>
  <si>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</si>
  <si>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</si>
  <si>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</si>
  <si>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</si>
  <si>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</si>
  <si>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</si>
  <si>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</si>
  <si>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</si>
  <si>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</si>
  <si>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</si>
  <si>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</si>
  <si>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</si>
  <si>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</si>
  <si>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</si>
  <si>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</si>
  <si>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</si>
  <si>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</si>
  <si>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</si>
  <si>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</si>
  <si>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</si>
  <si>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</si>
  <si>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</si>
  <si>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</si>
  <si>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</si>
  <si>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</si>
  <si>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</si>
  <si>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</si>
  <si>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</si>
  <si>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</si>
  <si>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</si>
  <si>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</si>
  <si>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</si>
  <si>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</si>
  <si>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</si>
  <si>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</si>
  <si>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</si>
  <si>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</si>
  <si>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</si>
  <si>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</si>
  <si>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</si>
  <si>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</si>
  <si>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</si>
  <si>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</si>
  <si>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</si>
  <si>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</si>
  <si>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</si>
  <si>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</si>
  <si>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</si>
  <si>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</si>
  <si>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</si>
  <si>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</si>
  <si>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</si>
  <si>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</si>
  <si>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</si>
  <si>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</si>
  <si>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</si>
  <si>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</si>
  <si>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</si>
  <si>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</si>
  <si>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</si>
  <si>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</si>
  <si>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</si>
  <si>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</si>
  <si>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</si>
  <si>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</si>
  <si>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</si>
  <si>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</si>
  <si>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</si>
  <si>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</si>
  <si>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</si>
  <si>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</si>
  <si>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</si>
  <si>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</si>
  <si>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</si>
  <si>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</si>
  <si>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</si>
  <si>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</si>
  <si>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</si>
  <si>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</si>
  <si>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</si>
  <si>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</si>
  <si>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</si>
  <si>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</si>
  <si>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</si>
  <si>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</si>
  <si>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</si>
  <si>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</si>
  <si>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</si>
  <si>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</si>
  <si>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</si>
  <si>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</si>
  <si>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</si>
  <si>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</si>
  <si>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</si>
  <si>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</si>
  <si>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</si>
  <si>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</si>
  <si>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</si>
  <si>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</si>
  <si>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</si>
  <si>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</si>
  <si>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</si>
  <si>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</si>
  <si>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</si>
  <si>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</si>
  <si>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</si>
  <si>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</si>
  <si>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</si>
  <si>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</si>
  <si>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</si>
  <si>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</si>
  <si>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</si>
  <si>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</si>
  <si>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</si>
  <si>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</si>
  <si>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</si>
  <si>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</si>
  <si>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</si>
  <si>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</si>
  <si>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</si>
  <si>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</si>
  <si>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</si>
  <si>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</si>
  <si>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</si>
  <si>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</si>
  <si>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</si>
  <si>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</si>
  <si>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</si>
  <si>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</si>
  <si>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</si>
  <si>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</si>
  <si>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</si>
  <si>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</si>
  <si>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</si>
  <si>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</si>
  <si>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</si>
  <si>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</si>
  <si>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</si>
  <si>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</si>
  <si>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</si>
  <si>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</si>
  <si>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</si>
  <si>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</si>
  <si>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</si>
  <si>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</si>
  <si>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</si>
  <si>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</si>
  <si>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</si>
  <si>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</si>
  <si>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</si>
  <si>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</si>
  <si>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</si>
  <si>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</si>
  <si>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</si>
  <si>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</si>
  <si>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</si>
  <si>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</si>
  <si>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</si>
  <si>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</si>
  <si>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</si>
  <si>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</si>
  <si>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</si>
  <si>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</si>
  <si>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</si>
  <si>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</si>
  <si>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</si>
  <si>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</si>
  <si>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</si>
  <si>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</si>
  <si>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</si>
  <si>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</si>
  <si>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</si>
  <si>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</si>
  <si>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</si>
  <si>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</si>
  <si>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</si>
  <si>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</si>
  <si>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</si>
  <si>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</si>
  <si>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</si>
  <si>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</si>
  <si>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</si>
  <si>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</si>
  <si>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</si>
  <si>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</si>
  <si>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</si>
  <si>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</si>
  <si>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</si>
  <si>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</si>
  <si>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</si>
  <si>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</si>
  <si>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</si>
  <si>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</si>
  <si>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</si>
  <si>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</si>
  <si>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</si>
  <si>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</si>
  <si>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</si>
  <si>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</si>
  <si>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</si>
  <si>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</si>
  <si>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</si>
  <si>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</si>
  <si>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</si>
  <si>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</si>
  <si>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</si>
  <si>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</si>
  <si>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</si>
  <si>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</si>
  <si>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</si>
  <si>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</si>
  <si>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</si>
  <si>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</si>
  <si>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</si>
  <si>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</si>
  <si>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</si>
  <si>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</si>
  <si>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</si>
  <si>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</si>
  <si>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</si>
  <si>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</si>
  <si>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</si>
  <si>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</si>
  <si>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</si>
  <si>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</si>
  <si>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</si>
  <si>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</si>
  <si>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</si>
  <si>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</si>
  <si>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</si>
  <si>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</si>
  <si>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</si>
  <si>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</si>
  <si>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</si>
  <si>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</si>
  <si>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</si>
  <si>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</si>
  <si>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</si>
  <si>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</si>
  <si>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</si>
  <si>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</si>
  <si>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</si>
  <si>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</si>
  <si>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</si>
  <si>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</si>
  <si>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</si>
  <si>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</si>
  <si>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</si>
  <si>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</si>
  <si>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</si>
  <si>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</si>
  <si>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</si>
  <si>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</si>
  <si>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</si>
  <si>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</si>
  <si>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</si>
  <si>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</si>
  <si>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</si>
  <si>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</si>
  <si>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</si>
  <si>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</si>
  <si>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</si>
  <si>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</si>
  <si>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</si>
  <si>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</si>
  <si>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</si>
  <si>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</si>
  <si>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</si>
  <si>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</si>
  <si>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</si>
  <si>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</si>
  <si>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</si>
  <si>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</si>
  <si>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</si>
  <si>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</si>
  <si>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</si>
  <si>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</si>
  <si>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</si>
  <si>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</si>
  <si>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</si>
  <si>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</si>
  <si>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</si>
  <si>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</si>
  <si>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</si>
  <si>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</si>
  <si>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</si>
  <si>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</si>
  <si>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</si>
  <si>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</si>
  <si>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</si>
  <si>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</si>
  <si>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</si>
  <si>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</si>
  <si>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</si>
  <si>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</si>
  <si>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</si>
  <si>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</si>
  <si>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</si>
  <si>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</si>
  <si>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</si>
  <si>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</si>
  <si>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</si>
  <si>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</si>
  <si>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</si>
  <si>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</si>
  <si>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</si>
  <si>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</si>
  <si>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</si>
  <si>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</si>
  <si>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</si>
  <si>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</si>
  <si>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</si>
  <si>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</si>
  <si>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</si>
  <si>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</si>
  <si>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</si>
  <si>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</si>
  <si>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</si>
  <si>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</si>
  <si>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</si>
  <si>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</si>
  <si>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</si>
  <si>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</si>
  <si>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</si>
  <si>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</si>
  <si>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</si>
  <si>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</si>
  <si>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</si>
  <si>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</si>
  <si>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</si>
  <si>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</si>
  <si>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</si>
  <si>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</si>
  <si>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</si>
  <si>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</si>
  <si>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</si>
  <si>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</si>
  <si>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</si>
  <si>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</si>
  <si>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</si>
  <si>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</si>
  <si>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</si>
  <si>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</si>
  <si>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</si>
  <si>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</si>
  <si>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</si>
  <si>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</si>
  <si>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</si>
  <si>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</si>
  <si>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</si>
  <si>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</si>
  <si>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</si>
  <si>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</si>
  <si>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</si>
  <si>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</si>
  <si>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</si>
  <si>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</si>
  <si>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</si>
  <si>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</si>
  <si>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</si>
  <si>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</si>
  <si>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</si>
  <si>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</si>
  <si>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</si>
  <si>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</si>
  <si>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</si>
  <si>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</si>
  <si>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</si>
  <si>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</si>
  <si>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</si>
  <si>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</si>
  <si>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</si>
  <si>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</si>
  <si>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</si>
  <si>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</si>
  <si>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</si>
  <si>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</si>
  <si>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</si>
  <si>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</si>
  <si>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</si>
  <si>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</si>
  <si>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</si>
  <si>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</si>
  <si>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</si>
  <si>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</si>
  <si>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</si>
  <si>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</si>
  <si>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</si>
  <si>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</si>
  <si>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</si>
  <si>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</si>
  <si>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</si>
  <si>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</si>
  <si>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</si>
  <si>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</si>
  <si>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</si>
  <si>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</si>
  <si>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</si>
  <si>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</si>
  <si>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</si>
  <si>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</si>
  <si>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</si>
  <si>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</si>
  <si>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</si>
  <si>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</si>
  <si>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</si>
  <si>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</si>
  <si>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</si>
  <si>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</si>
  <si>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</si>
  <si>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</si>
  <si>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</si>
  <si>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</si>
  <si>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</si>
  <si>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</si>
  <si>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</si>
  <si>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</si>
  <si>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</si>
  <si>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</si>
  <si>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</si>
  <si>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</si>
  <si>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</si>
  <si>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</si>
  <si>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</si>
  <si>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</si>
  <si>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</si>
  <si>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</si>
  <si>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</si>
  <si>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</si>
  <si>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</si>
  <si>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</si>
  <si>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</si>
  <si>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</si>
  <si>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</si>
  <si>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</si>
  <si>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</si>
  <si>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</si>
  <si>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</si>
  <si>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</si>
  <si>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</si>
  <si>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</si>
  <si>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</si>
  <si>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</si>
  <si>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</si>
  <si>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</si>
  <si>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</si>
  <si>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</si>
  <si>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</si>
  <si>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</si>
  <si>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</si>
  <si>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</si>
  <si>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</si>
  <si>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</si>
  <si>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</si>
  <si>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</si>
  <si>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</si>
  <si>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</si>
  <si>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</si>
  <si>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</si>
  <si>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</si>
  <si>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</si>
  <si>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</si>
  <si>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</si>
  <si>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</si>
  <si>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</si>
  <si>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</si>
  <si>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</si>
  <si>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</si>
  <si>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</si>
  <si>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</si>
  <si>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</si>
  <si>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</si>
  <si>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</si>
  <si>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</si>
  <si>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</si>
  <si>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</si>
  <si>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</si>
  <si>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</si>
  <si>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</si>
  <si>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</si>
  <si>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</si>
  <si>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</si>
  <si>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</si>
  <si>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</si>
  <si>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</si>
  <si>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</si>
  <si>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</si>
  <si>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</si>
  <si>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</si>
  <si>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</si>
  <si>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</si>
  <si>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</si>
  <si>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</si>
  <si>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</si>
  <si>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</si>
  <si>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</si>
  <si>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</si>
  <si>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</si>
  <si>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</si>
  <si>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</si>
  <si>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</si>
  <si>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</si>
  <si>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</si>
  <si>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</si>
  <si>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</si>
  <si>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</si>
  <si>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</si>
  <si>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</si>
  <si>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</si>
  <si>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</si>
  <si>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</si>
  <si>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</si>
  <si>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</si>
  <si>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</si>
  <si>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</si>
  <si>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</si>
  <si>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</si>
  <si>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</si>
  <si>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</si>
  <si>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</si>
  <si>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</si>
  <si>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</si>
  <si>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</si>
  <si>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</si>
  <si>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</si>
  <si>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</si>
  <si>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</si>
  <si>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</si>
  <si>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</si>
  <si>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</si>
  <si>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</si>
  <si>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</si>
  <si>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</si>
  <si>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</si>
  <si>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</si>
  <si>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</si>
  <si>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</si>
  <si>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</si>
  <si>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</si>
  <si>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</si>
  <si>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</si>
  <si>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</si>
  <si>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</si>
  <si>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</si>
  <si>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</si>
  <si>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</si>
  <si>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</si>
  <si>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</si>
  <si>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</si>
  <si>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</si>
  <si>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</si>
  <si>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</si>
  <si>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</si>
  <si>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</si>
  <si>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</si>
  <si>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</si>
  <si>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</si>
  <si>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</si>
  <si>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</si>
  <si>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</si>
  <si>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</si>
  <si>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</si>
  <si>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</si>
  <si>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</si>
  <si>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</si>
  <si>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</si>
  <si>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</si>
  <si>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</si>
  <si>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</si>
  <si>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</si>
  <si>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</si>
  <si>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</si>
  <si>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</si>
  <si>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</si>
  <si>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</si>
  <si>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</si>
  <si>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</si>
  <si>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</si>
  <si>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</si>
  <si>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</si>
  <si>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</si>
  <si>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</si>
  <si>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</si>
  <si>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</si>
  <si>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</si>
  <si>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</si>
  <si>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</si>
  <si>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</si>
  <si>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</si>
  <si>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</si>
  <si>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</si>
  <si>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</si>
  <si>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</si>
  <si>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</si>
  <si>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</si>
  <si>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</si>
  <si>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</si>
  <si>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</si>
  <si>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</si>
  <si>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</si>
  <si>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</si>
  <si>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</si>
  <si>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</si>
  <si>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</si>
  <si>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</si>
  <si>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</si>
  <si>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</si>
  <si>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</si>
  <si>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</si>
  <si>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</si>
  <si>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</si>
  <si>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</si>
  <si>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</si>
  <si>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</si>
  <si>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</si>
  <si>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</si>
  <si>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</si>
  <si>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</si>
  <si>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</si>
  <si>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</si>
  <si>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</si>
  <si>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</si>
  <si>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</si>
  <si>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</si>
  <si>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</si>
  <si>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</si>
  <si>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</si>
  <si>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</si>
  <si>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</si>
  <si>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</si>
  <si>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</si>
  <si>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</si>
  <si>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</si>
  <si>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</si>
  <si>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</si>
  <si>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</si>
  <si>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</si>
  <si>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</si>
  <si>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</si>
  <si>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</si>
  <si>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</si>
  <si>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</si>
  <si>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</si>
  <si>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</si>
  <si>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</si>
  <si>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</si>
  <si>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</si>
  <si>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</si>
  <si>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</si>
  <si>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</si>
  <si>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</si>
  <si>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</si>
  <si>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</si>
  <si>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</si>
  <si>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</si>
  <si>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</si>
  <si>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</si>
  <si>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</si>
  <si>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</si>
  <si>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</si>
  <si>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</si>
  <si>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</si>
  <si>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</si>
  <si>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</si>
  <si>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</si>
  <si>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</si>
  <si>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</si>
  <si>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</si>
  <si>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</si>
  <si>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</si>
  <si>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</si>
  <si>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</si>
  <si>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</si>
  <si>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</si>
  <si>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</si>
  <si>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</si>
  <si>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</si>
  <si>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</si>
  <si>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</si>
  <si>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</si>
  <si>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</si>
  <si>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</si>
  <si>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</si>
  <si>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</si>
  <si>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</si>
  <si>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</si>
  <si>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</si>
  <si>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</si>
  <si>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</si>
  <si>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</si>
  <si>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</si>
  <si>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</si>
  <si>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</si>
  <si>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</si>
  <si>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</si>
  <si>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</si>
  <si>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</si>
  <si>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</si>
  <si>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</si>
  <si>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</si>
  <si>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</si>
  <si>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</si>
  <si>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</si>
  <si>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</si>
  <si>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</si>
  <si>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</si>
  <si>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</si>
  <si>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</si>
  <si>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</si>
  <si>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</si>
  <si>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</si>
  <si>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</si>
  <si>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</si>
  <si>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</si>
  <si>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</si>
  <si>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</si>
  <si>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</si>
  <si>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</si>
  <si>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</si>
  <si>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</si>
  <si>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</si>
  <si>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</si>
  <si>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</si>
  <si>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</si>
  <si>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</si>
  <si>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</si>
  <si>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</si>
  <si>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</si>
  <si>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</si>
  <si>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</si>
  <si>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</si>
  <si>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</si>
  <si>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</si>
  <si>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</si>
  <si>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</si>
  <si>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</si>
  <si>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</si>
  <si>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</si>
  <si>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</si>
  <si>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</si>
  <si>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</si>
  <si>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</si>
  <si>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</si>
  <si>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</si>
  <si>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</si>
  <si>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</si>
  <si>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</si>
  <si>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</si>
  <si>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</si>
  <si>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</si>
  <si>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</si>
  <si>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</si>
  <si>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</si>
  <si>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</si>
  <si>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</si>
  <si>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</si>
  <si>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</si>
  <si>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</si>
  <si>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</si>
  <si>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</si>
  <si>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</si>
  <si>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</si>
  <si>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</si>
  <si>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</si>
  <si>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</si>
  <si>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</si>
  <si>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</si>
  <si>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</si>
  <si>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</si>
  <si>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</si>
  <si>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</si>
  <si>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</si>
  <si>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</si>
  <si>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</si>
  <si>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</si>
  <si>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</si>
  <si>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</si>
  <si>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</si>
  <si>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</si>
  <si>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</si>
  <si>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</si>
  <si>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</si>
  <si>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</si>
  <si>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</si>
  <si>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</si>
  <si>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</si>
  <si>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</si>
  <si>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</si>
  <si>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</si>
  <si>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</si>
  <si>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</si>
  <si>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</si>
  <si>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</si>
  <si>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</si>
  <si>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</si>
  <si>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</si>
  <si>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</si>
  <si>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</si>
  <si>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</si>
  <si>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</si>
  <si>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</si>
  <si>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</si>
  <si>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</si>
  <si>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</si>
  <si>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</si>
  <si>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</si>
  <si>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</si>
  <si>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</si>
  <si>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</si>
  <si>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</si>
  <si>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</si>
  <si>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</si>
  <si>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</si>
  <si>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</si>
  <si>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</si>
  <si>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</si>
  <si>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</si>
  <si>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</si>
  <si>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</si>
  <si>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</si>
  <si>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</si>
  <si>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</si>
  <si>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</si>
  <si>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</si>
  <si>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</si>
  <si>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</si>
  <si>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</si>
  <si>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</si>
  <si>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</si>
  <si>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</si>
  <si>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</si>
  <si>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</si>
  <si>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</si>
  <si>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</si>
  <si>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</si>
  <si>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</si>
  <si>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</si>
  <si>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</si>
  <si>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</si>
  <si>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</si>
  <si>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</si>
  <si>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</si>
  <si>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</si>
  <si>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</si>
  <si>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</si>
  <si>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</si>
  <si>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</si>
  <si>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</si>
  <si>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</si>
  <si>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</si>
  <si>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</si>
  <si>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</si>
  <si>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</si>
  <si>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</si>
  <si>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</si>
  <si>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</si>
  <si>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</si>
  <si>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</si>
  <si>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</si>
  <si>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06/30/2018</t>
  </si>
  <si>
    <t>2017</t>
  </si>
  <si>
    <t>06/30/2019</t>
  </si>
  <si>
    <t>Pierce</t>
  </si>
  <si>
    <t>Ketul Patel</t>
  </si>
  <si>
    <t>Mike Fitzgerald</t>
  </si>
  <si>
    <t>Roy Brooks</t>
  </si>
  <si>
    <t>FY18 STAT MEASURE CHANGES: USING PREMIER FOR LABOR &amp; PRODUCTIVITY &amp; BENCHMARKING WHICH WAS CHI MANDATED</t>
  </si>
  <si>
    <t>FY18 STAT MEASURE CHANGES: CPT4 PROCEDURES USED INSTEAD OF APC/RVU'S WHICH LED TO NOTABLE DECREASES OF MEASURE</t>
  </si>
  <si>
    <t>209</t>
  </si>
  <si>
    <t>St. Anthony Hospital</t>
  </si>
  <si>
    <t>11567 Canterwood Blvd.N.W.</t>
  </si>
  <si>
    <t>Gig Harbor, WA 98322</t>
  </si>
  <si>
    <t>253-530-2000</t>
  </si>
  <si>
    <t>FY17 SURG 3RD FLOOR WAS RECORDED TO ACUTE CARE / FY18 MOVED TO SURGICAL SERVICES AND TITLED 5TH FLOOR SURGERY</t>
  </si>
  <si>
    <t>FY17 SURG 3RD FLOOR WAS RECORDED TO ACUTE CARE / FY18 MOVED TO SURGICAL SERVICES AND TITLED 5TH FLOOR</t>
  </si>
  <si>
    <t>FY18 ADDITON OF MED SURG 5TH FLOOR (JAN-JUNE 2018)</t>
  </si>
  <si>
    <t>FY18 TOTAL EXPENSE INCREASED SLIGHTLY HOWEVER LESS MEALS SERVED.</t>
  </si>
  <si>
    <t>Row Labels</t>
  </si>
  <si>
    <t>Sum of 
Inpatient services gross revenue</t>
  </si>
  <si>
    <t>Sum of Total Outpatient Revenue</t>
  </si>
  <si>
    <t>Sum of 
Gross patient services revenue</t>
  </si>
  <si>
    <t>Sum of 
Net patient services revenue</t>
  </si>
  <si>
    <t>Sum of 
Total nonpatient revenues</t>
  </si>
  <si>
    <t>Sum of 
Total operating revenue</t>
  </si>
  <si>
    <t>Sum of 
Salaries and wages</t>
  </si>
  <si>
    <t>Sum of 
Employee benefits</t>
  </si>
  <si>
    <t>Sum of 
Medical professional fees</t>
  </si>
  <si>
    <t>Sum of 
Purchased services</t>
  </si>
  <si>
    <t>Sum of 
Repairs and maintenance</t>
  </si>
  <si>
    <t>Sum of National Assessment</t>
  </si>
  <si>
    <t>Sum of 
Consulting</t>
  </si>
  <si>
    <t>Sum of Total P/S</t>
  </si>
  <si>
    <t>Sum of 
Supplies expense</t>
  </si>
  <si>
    <t>Sum of 
Utilities expense</t>
  </si>
  <si>
    <t>Sum of 
Rentals and leases</t>
  </si>
  <si>
    <t>Sum of 
Depreciation and amortization</t>
  </si>
  <si>
    <t>Sum of 
Total operating expenses</t>
  </si>
  <si>
    <t>Sum of 
Other expenses</t>
  </si>
  <si>
    <t>Sum of 
Nonoperating gains (losses)</t>
  </si>
  <si>
    <t>Sum of Income Statement</t>
  </si>
  <si>
    <t>6010  ICU</t>
  </si>
  <si>
    <t>6120  Physical Rehab</t>
  </si>
  <si>
    <t>7020  Surgery</t>
  </si>
  <si>
    <t>7030  Recovery</t>
  </si>
  <si>
    <t>7050  Medical Supplies</t>
  </si>
  <si>
    <t>7060 IVT</t>
  </si>
  <si>
    <t>7070  Lab</t>
  </si>
  <si>
    <t>7120  MRI</t>
  </si>
  <si>
    <t>7130 CT Scan</t>
  </si>
  <si>
    <t>7140  Radiology</t>
  </si>
  <si>
    <t>7160  Nuclear Med</t>
  </si>
  <si>
    <t>7180  Resp Therapy</t>
  </si>
  <si>
    <t>7190 Renal</t>
  </si>
  <si>
    <t>7230  Emergency</t>
  </si>
  <si>
    <t>7310  Occup Therapy</t>
  </si>
  <si>
    <t>7320  Speech</t>
  </si>
  <si>
    <t>7490  Other Ancilliary</t>
  </si>
  <si>
    <t>8310  Printing</t>
  </si>
  <si>
    <t>8350  Laundry</t>
  </si>
  <si>
    <t>8370  Central Transp</t>
  </si>
  <si>
    <t>8470  Communications</t>
  </si>
  <si>
    <t>8490  Other General</t>
  </si>
  <si>
    <t>8530  Patient Acctg</t>
  </si>
  <si>
    <t>8610  Administration</t>
  </si>
  <si>
    <t>8630  Marketing</t>
  </si>
  <si>
    <t>8660  Auxilliary</t>
  </si>
  <si>
    <t>8670  Chaplaincy</t>
  </si>
  <si>
    <t>8710  Utilization Review</t>
  </si>
  <si>
    <t>8720  Nursing Admin</t>
  </si>
  <si>
    <t>8740  Education</t>
  </si>
  <si>
    <t>8770  Comm Health</t>
  </si>
  <si>
    <t>8790  Other Admin</t>
  </si>
  <si>
    <t>8900  Unassigned</t>
  </si>
  <si>
    <t>Grand Total</t>
  </si>
  <si>
    <t>ICU</t>
  </si>
  <si>
    <t>Physical Rehab</t>
  </si>
  <si>
    <t>Surgery</t>
  </si>
  <si>
    <t>Medical Supplies</t>
  </si>
  <si>
    <t>IVT</t>
  </si>
  <si>
    <t>Lab</t>
  </si>
  <si>
    <t>MRI</t>
  </si>
  <si>
    <t>CT Scan</t>
  </si>
  <si>
    <t>Radiology</t>
  </si>
  <si>
    <t>Nuclear Med</t>
  </si>
  <si>
    <t>Resp Therapy</t>
  </si>
  <si>
    <t>Renal</t>
  </si>
  <si>
    <t>Occup Therapy</t>
  </si>
  <si>
    <t>Other Ancilliary</t>
  </si>
  <si>
    <t>Printing</t>
  </si>
  <si>
    <t>Laundry</t>
  </si>
  <si>
    <t>Central Transp</t>
  </si>
  <si>
    <t>Patient Acctg</t>
  </si>
  <si>
    <t>Employee Health</t>
  </si>
  <si>
    <t>Marketing</t>
  </si>
  <si>
    <t>Auxilliary</t>
  </si>
  <si>
    <t>Utilization Review</t>
  </si>
  <si>
    <t>Nursing Admin</t>
  </si>
  <si>
    <t>Comm Health</t>
  </si>
  <si>
    <t>Other Admin</t>
  </si>
  <si>
    <t>DOH Acct</t>
  </si>
  <si>
    <t>Sum of Inpatient services gross revenue</t>
  </si>
  <si>
    <t>Sum of Total Outpatient Rev</t>
  </si>
  <si>
    <t>Sum of Gross patient services revenue</t>
  </si>
  <si>
    <t>Sum of Total nonpatient revenues</t>
  </si>
  <si>
    <t>Sum of Total operating revenue</t>
  </si>
  <si>
    <t>Sum of Salaries and wages</t>
  </si>
  <si>
    <t>Sum of Employee benefits</t>
  </si>
  <si>
    <t>Sum of Medical professional fees</t>
  </si>
  <si>
    <t>Sum of Supplies expense</t>
  </si>
  <si>
    <t>Sum of Utilities expense</t>
  </si>
  <si>
    <t>Sum of Rentals and leases</t>
  </si>
  <si>
    <t>Sum of Interest expense</t>
  </si>
  <si>
    <t>Sum of Insurance expense</t>
  </si>
  <si>
    <t>Sum of Total Other Exp</t>
  </si>
  <si>
    <t>Sum of Total operating expenses</t>
  </si>
  <si>
    <t>Sum of Depreciation and amortization</t>
  </si>
  <si>
    <t>Sum of Nonoperating gains (losses)</t>
  </si>
  <si>
    <t>Entered into DOH category as noted</t>
  </si>
  <si>
    <t>Enter into 7490 - add this cell to current formula</t>
  </si>
  <si>
    <t>Enter in 7490-add this cell to current formula</t>
  </si>
  <si>
    <t>Manually Enter - Data Tab Cell CD70</t>
  </si>
  <si>
    <t xml:space="preserve">Enter into 8790-other admin-add this cell to current formula </t>
  </si>
  <si>
    <t>Manually Enter - Data Tab B48</t>
  </si>
  <si>
    <t>Enter into 7490-add this cell to current formula</t>
  </si>
  <si>
    <t>Enter into 8790-other admin</t>
  </si>
  <si>
    <t>Manually Enter - Data Tab Cell CD69</t>
  </si>
  <si>
    <t>Manually Enter - Data Tab Cell B52</t>
  </si>
  <si>
    <t>Enter in 8790 - other Admin</t>
  </si>
  <si>
    <t>Tie out is completed on</t>
  </si>
  <si>
    <t>source doc on diff tabs</t>
  </si>
  <si>
    <t>DOH</t>
  </si>
  <si>
    <t>Sum of Nurse Total</t>
  </si>
  <si>
    <t>Sum of FTE Total</t>
  </si>
  <si>
    <t>Allocation - HK HRS are based of sq ft</t>
  </si>
  <si>
    <t>Square Foot</t>
  </si>
  <si>
    <t xml:space="preserve">% </t>
  </si>
  <si>
    <t>IntensiveCare</t>
  </si>
  <si>
    <t>Semi-IntensiveCare</t>
  </si>
  <si>
    <t>AcuteCare</t>
  </si>
  <si>
    <t>AlternativeBirth Ctr</t>
  </si>
  <si>
    <t>PhysicalRehab</t>
  </si>
  <si>
    <t>PsychiatricCare</t>
  </si>
  <si>
    <t>ChemicalDependency</t>
  </si>
  <si>
    <t>SkilledNursing</t>
  </si>
  <si>
    <t>SwingBeds</t>
  </si>
  <si>
    <t>HospiceInpatient</t>
  </si>
  <si>
    <t>Other DailyServices</t>
  </si>
  <si>
    <t>Labor &amp;Delivery</t>
  </si>
  <si>
    <t>SurgicalServices</t>
  </si>
  <si>
    <t>RecoveryRoom</t>
  </si>
  <si>
    <t>CentralServices</t>
  </si>
  <si>
    <t>IntravenousTherapy</t>
  </si>
  <si>
    <t>Electro-diagnosis</t>
  </si>
  <si>
    <t>Magnetic ResImaging</t>
  </si>
  <si>
    <t>CTScanning</t>
  </si>
  <si>
    <t>NuclearMedicine</t>
  </si>
  <si>
    <t>RespiratoryTherapy</t>
  </si>
  <si>
    <t>PhysicalTherapy</t>
  </si>
  <si>
    <t>PsychiatricDay Care</t>
  </si>
  <si>
    <t>EmergencyRoom</t>
  </si>
  <si>
    <t>ShortStay</t>
  </si>
  <si>
    <t>OccupationalTherapy</t>
  </si>
  <si>
    <t>SpeechTherapy</t>
  </si>
  <si>
    <t>RecreationalTherapy</t>
  </si>
  <si>
    <t>Electro-myogray</t>
  </si>
  <si>
    <t>ObservationUnit</t>
  </si>
  <si>
    <t>Free-StandingClinics</t>
  </si>
  <si>
    <t>AirTransportation</t>
  </si>
  <si>
    <t>Home CareServices</t>
  </si>
  <si>
    <t>OrganTransplants</t>
  </si>
  <si>
    <t>OutpatientChem. Dep.</t>
  </si>
  <si>
    <t>OtherAncillary</t>
  </si>
  <si>
    <t>Research/EducationCosts</t>
  </si>
  <si>
    <t>Printing &amp;Duplication</t>
  </si>
  <si>
    <t>Laundry &amp;Linen</t>
  </si>
  <si>
    <t>SocialServices</t>
  </si>
  <si>
    <t>CentralTransportation</t>
  </si>
  <si>
    <t>DataProcessing</t>
  </si>
  <si>
    <t>Other GeneralServices</t>
  </si>
  <si>
    <t>PatientAccounts</t>
  </si>
  <si>
    <t>OtherFiscal Svcs</t>
  </si>
  <si>
    <t>HospitalAdministration</t>
  </si>
  <si>
    <t>EmployeeHealth</t>
  </si>
  <si>
    <t>PublicRelations</t>
  </si>
  <si>
    <t>ManagementEngineering</t>
  </si>
  <si>
    <t>AuxiliaryGroups</t>
  </si>
  <si>
    <t>ChaplaincyServices</t>
  </si>
  <si>
    <t>MedicalLibrary</t>
  </si>
  <si>
    <t>MedicalRecords</t>
  </si>
  <si>
    <t>MedicalStaff</t>
  </si>
  <si>
    <t>UtilizationManagement</t>
  </si>
  <si>
    <t>NursingAdministration</t>
  </si>
  <si>
    <t>Nursing FloatPersonnel</t>
  </si>
  <si>
    <t>InserviceEducation</t>
  </si>
  <si>
    <t>Comm. HealthEducation</t>
  </si>
  <si>
    <t>OtherAdmin Services</t>
  </si>
  <si>
    <t/>
  </si>
  <si>
    <t>Will have FTE in Non nursing</t>
  </si>
  <si>
    <t>Depts. Just ignore, not reported</t>
  </si>
  <si>
    <t>on DOH report.</t>
  </si>
  <si>
    <t>This category is not recorded</t>
  </si>
  <si>
    <t>on the purple sheet. Excluded</t>
  </si>
  <si>
    <t>this year.</t>
  </si>
  <si>
    <t>Total Hours</t>
  </si>
  <si>
    <t>Row 59 Col BE</t>
  </si>
  <si>
    <t>NOTE: Cant have sq footage calculate any hours to the purple highlighted xxxxx Acct # so zero out sq footage on Nhon's Stat worksheet and copy below.</t>
  </si>
  <si>
    <t>It will re distribute the houskeeping hours.</t>
  </si>
  <si>
    <t>Sq footage balances</t>
  </si>
  <si>
    <t>with housekeeping hours</t>
  </si>
  <si>
    <t>worksheet for HK SQ Ft only</t>
  </si>
  <si>
    <t>FY19 Expense is in line with higher revenue.</t>
  </si>
  <si>
    <t>Expense calculates based on depreciation. Higher depreciation was recorded for FY19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</si>
</sst>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2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name val="Tahoma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2"/>
      <color theme="3" tint="0.39997558519241921"/>
      <name val="Arial"/>
      <family val="2"/>
    </font>
    <font>
      <b/>
      <sz val="10"/>
      <color rgb="FF0000FF"/>
      <name val="Arial"/>
      <family val="2"/>
    </font>
    <font>
      <b/>
      <sz val="12"/>
      <name val="Courier"/>
    </font>
    <font>
      <b/>
      <sz val="12"/>
      <name val="Arial"/>
      <family val="2"/>
    </font>
    <font>
      <sz val="11"/>
      <color rgb="FF0070C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4" fillId="0" borderId="0"/>
    <xf numFmtId="37" fontId="6" fillId="0" borderId="0"/>
    <xf numFmtId="37" fontId="6" fillId="0" borderId="0"/>
  </cellStyleXfs>
  <cellXfs count="342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8" fontId="9" fillId="4" borderId="1" xfId="0" applyNumberFormat="1" applyFont="1" applyFill="1" applyBorder="1" applyAlignment="1" applyProtection="1">
      <alignment horizontal="center"/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0" fillId="0" borderId="0" xfId="0" applyAlignment="1">
      <alignment horizontal="left"/>
    </xf>
    <xf numFmtId="165" fontId="0" fillId="0" borderId="0" xfId="0" applyNumberFormat="1"/>
    <xf numFmtId="165" fontId="0" fillId="0" borderId="0" xfId="1" applyNumberFormat="1" applyFont="1"/>
    <xf numFmtId="0" fontId="15" fillId="9" borderId="12" xfId="0" applyNumberFormat="1" applyFont="1" applyFill="1" applyBorder="1" applyAlignment="1">
      <alignment wrapText="1"/>
    </xf>
    <xf numFmtId="37" fontId="15" fillId="0" borderId="12" xfId="0" applyFont="1" applyBorder="1" applyAlignment="1">
      <alignment wrapText="1"/>
    </xf>
    <xf numFmtId="165" fontId="5" fillId="0" borderId="0" xfId="0" applyNumberFormat="1" applyFont="1"/>
    <xf numFmtId="37" fontId="5" fillId="0" borderId="0" xfId="0" applyFont="1" applyAlignment="1">
      <alignment horizontal="left"/>
    </xf>
    <xf numFmtId="165" fontId="5" fillId="0" borderId="0" xfId="1" applyNumberFormat="1" applyFont="1"/>
    <xf numFmtId="0" fontId="5" fillId="0" borderId="0" xfId="0" applyNumberFormat="1" applyFont="1" applyAlignment="1">
      <alignment horizontal="left"/>
    </xf>
    <xf numFmtId="37" fontId="5" fillId="8" borderId="0" xfId="0" applyFont="1" applyFill="1" applyAlignment="1">
      <alignment horizontal="center"/>
    </xf>
    <xf numFmtId="37" fontId="5" fillId="10" borderId="0" xfId="0" applyFont="1" applyFill="1" applyAlignment="1">
      <alignment wrapText="1"/>
    </xf>
    <xf numFmtId="37" fontId="5" fillId="0" borderId="0" xfId="0" applyFont="1" applyAlignment="1">
      <alignment horizontal="center"/>
    </xf>
    <xf numFmtId="37" fontId="5" fillId="10" borderId="0" xfId="0" applyFont="1" applyFill="1" applyAlignment="1">
      <alignment horizontal="left"/>
    </xf>
    <xf numFmtId="165" fontId="5" fillId="10" borderId="0" xfId="0" applyNumberFormat="1" applyFont="1" applyFill="1"/>
    <xf numFmtId="165" fontId="18" fillId="11" borderId="33" xfId="0" applyNumberFormat="1" applyFont="1" applyFill="1" applyBorder="1"/>
    <xf numFmtId="165" fontId="5" fillId="12" borderId="0" xfId="0" applyNumberFormat="1" applyFont="1" applyFill="1"/>
    <xf numFmtId="165" fontId="5" fillId="13" borderId="0" xfId="0" applyNumberFormat="1" applyFont="1" applyFill="1"/>
    <xf numFmtId="0" fontId="1" fillId="12" borderId="0" xfId="1" applyNumberFormat="1" applyFont="1" applyFill="1" applyBorder="1" applyAlignment="1">
      <alignment horizontal="center" wrapText="1"/>
    </xf>
    <xf numFmtId="43" fontId="1" fillId="13" borderId="0" xfId="1" applyFont="1" applyFill="1" applyBorder="1" applyAlignment="1">
      <alignment horizontal="center" wrapText="1"/>
    </xf>
    <xf numFmtId="43" fontId="1" fillId="12" borderId="0" xfId="1" applyFont="1" applyFill="1" applyBorder="1" applyAlignment="1">
      <alignment wrapText="1"/>
    </xf>
    <xf numFmtId="37" fontId="19" fillId="0" borderId="0" xfId="0" applyFont="1"/>
    <xf numFmtId="166" fontId="14" fillId="0" borderId="34" xfId="4" applyNumberFormat="1" applyBorder="1" applyAlignment="1">
      <alignment horizontal="center"/>
    </xf>
    <xf numFmtId="0" fontId="14" fillId="0" borderId="35" xfId="4" applyBorder="1"/>
    <xf numFmtId="43" fontId="1" fillId="0" borderId="35" xfId="1" applyFont="1" applyBorder="1"/>
    <xf numFmtId="43" fontId="1" fillId="0" borderId="36" xfId="1" applyFont="1" applyBorder="1"/>
    <xf numFmtId="166" fontId="15" fillId="0" borderId="37" xfId="4" applyNumberFormat="1" applyFont="1" applyBorder="1" applyAlignment="1">
      <alignment horizontal="center"/>
    </xf>
    <xf numFmtId="0" fontId="15" fillId="0" borderId="12" xfId="4" applyFont="1" applyBorder="1"/>
    <xf numFmtId="43" fontId="15" fillId="0" borderId="12" xfId="1" applyFont="1" applyBorder="1" applyAlignment="1">
      <alignment wrapText="1"/>
    </xf>
    <xf numFmtId="43" fontId="15" fillId="0" borderId="38" xfId="1" applyFont="1" applyBorder="1" applyAlignment="1">
      <alignment wrapText="1"/>
    </xf>
    <xf numFmtId="37" fontId="0" fillId="0" borderId="0" xfId="0" applyAlignment="1">
      <alignment horizontal="center"/>
    </xf>
    <xf numFmtId="1" fontId="20" fillId="0" borderId="0" xfId="1" applyNumberFormat="1" applyFont="1" applyBorder="1" applyAlignment="1">
      <alignment horizontal="center"/>
    </xf>
    <xf numFmtId="0" fontId="1" fillId="0" borderId="39" xfId="0" applyNumberFormat="1" applyFont="1" applyBorder="1"/>
    <xf numFmtId="43" fontId="1" fillId="0" borderId="39" xfId="1" applyFont="1" applyBorder="1"/>
    <xf numFmtId="0" fontId="15" fillId="0" borderId="40" xfId="0" applyNumberFormat="1" applyFont="1" applyBorder="1" applyAlignment="1">
      <alignment wrapText="1"/>
    </xf>
    <xf numFmtId="37" fontId="15" fillId="0" borderId="40" xfId="0" applyFont="1" applyBorder="1" applyAlignment="1">
      <alignment wrapText="1"/>
    </xf>
    <xf numFmtId="0" fontId="3" fillId="3" borderId="0" xfId="0" applyNumberFormat="1" applyFont="1" applyFill="1" applyAlignment="1" applyProtection="1">
      <alignment horizontal="center"/>
    </xf>
    <xf numFmtId="0" fontId="1" fillId="0" borderId="0" xfId="4" applyFont="1" applyBorder="1"/>
    <xf numFmtId="166" fontId="1" fillId="0" borderId="5" xfId="4" applyNumberFormat="1" applyFont="1" applyBorder="1" applyAlignment="1">
      <alignment horizontal="center"/>
    </xf>
    <xf numFmtId="37" fontId="1" fillId="0" borderId="6" xfId="0" applyFont="1" applyBorder="1"/>
    <xf numFmtId="166" fontId="1" fillId="0" borderId="13" xfId="4" applyNumberFormat="1" applyFont="1" applyBorder="1" applyAlignment="1">
      <alignment horizontal="center"/>
    </xf>
    <xf numFmtId="37" fontId="21" fillId="0" borderId="15" xfId="0" applyFont="1" applyBorder="1"/>
    <xf numFmtId="37" fontId="22" fillId="0" borderId="12" xfId="0" applyFont="1" applyBorder="1"/>
    <xf numFmtId="39" fontId="22" fillId="0" borderId="12" xfId="0" applyNumberFormat="1" applyFont="1" applyBorder="1"/>
    <xf numFmtId="37" fontId="5" fillId="8" borderId="0" xfId="0" applyFont="1" applyFill="1"/>
    <xf numFmtId="37" fontId="5" fillId="14" borderId="0" xfId="0" applyFont="1" applyFill="1" applyBorder="1"/>
    <xf numFmtId="43" fontId="5" fillId="0" borderId="0" xfId="0" applyNumberFormat="1" applyFont="1"/>
    <xf numFmtId="43" fontId="5" fillId="14" borderId="0" xfId="0" applyNumberFormat="1" applyFont="1" applyFill="1"/>
    <xf numFmtId="43" fontId="5" fillId="8" borderId="0" xfId="0" applyNumberFormat="1" applyFont="1" applyFill="1"/>
    <xf numFmtId="37" fontId="9" fillId="14" borderId="1" xfId="0" quotePrefix="1" applyNumberFormat="1" applyFont="1" applyFill="1" applyBorder="1" applyProtection="1">
      <protection locked="0"/>
    </xf>
    <xf numFmtId="37" fontId="23" fillId="14" borderId="1" xfId="0" quotePrefix="1" applyNumberFormat="1" applyFont="1" applyFill="1" applyBorder="1" applyProtection="1">
      <protection locked="0"/>
    </xf>
    <xf numFmtId="37" fontId="9" fillId="14" borderId="1" xfId="1" quotePrefix="1" applyNumberFormat="1" applyFont="1" applyFill="1" applyBorder="1" applyProtection="1">
      <protection locked="0"/>
    </xf>
    <xf numFmtId="37" fontId="3" fillId="3" borderId="0" xfId="0" quotePrefix="1" applyNumberFormat="1" applyFont="1" applyFill="1" applyAlignment="1">
      <alignment horizontal="fill"/>
    </xf>
    <xf numFmtId="10" fontId="0" fillId="0" borderId="0" xfId="3" applyNumberFormat="1" applyFont="1"/>
    <xf numFmtId="0" fontId="1" fillId="0" borderId="0" xfId="4" applyFont="1" applyFill="1" applyBorder="1"/>
    <xf numFmtId="165" fontId="15" fillId="15" borderId="3" xfId="1" applyNumberFormat="1" applyFont="1" applyFill="1" applyBorder="1"/>
    <xf numFmtId="165" fontId="15" fillId="12" borderId="3" xfId="1" applyNumberFormat="1" applyFont="1" applyFill="1" applyBorder="1"/>
    <xf numFmtId="10" fontId="15" fillId="15" borderId="3" xfId="3" applyNumberFormat="1" applyFont="1" applyFill="1" applyBorder="1"/>
    <xf numFmtId="37" fontId="15" fillId="15" borderId="3" xfId="0" applyFont="1" applyFill="1" applyBorder="1"/>
    <xf numFmtId="43" fontId="0" fillId="0" borderId="0" xfId="1" applyFont="1"/>
    <xf numFmtId="37" fontId="9" fillId="3" borderId="0" xfId="0" applyFont="1" applyFill="1" applyAlignment="1" applyProtection="1">
      <alignment horizontal="center" vertical="center"/>
    </xf>
  </cellXfs>
  <cellStyles count="7">
    <cellStyle name="Comma" xfId="1" builtinId="3"/>
    <cellStyle name="Hyperlink" xfId="2" builtinId="8"/>
    <cellStyle name="Normal" xfId="0" builtinId="0"/>
    <cellStyle name="Normal 2" xfId="4"/>
    <cellStyle name="Normal 3 2" xfId="6"/>
    <cellStyle name="Normal 6" xfId="5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9" t="s">
        <v>1232</v>
      </c>
      <c r="B1" s="230"/>
      <c r="C1" s="230"/>
      <c r="D1" s="230"/>
      <c r="E1" s="230"/>
      <c r="F1" s="230"/>
    </row>
    <row r="2" spans="1:6" ht="12.75" customHeight="1" x14ac:dyDescent="0.25">
      <c r="A2" s="230" t="s">
        <v>1233</v>
      </c>
      <c r="B2" s="230"/>
      <c r="C2" s="231"/>
      <c r="D2" s="230"/>
      <c r="E2" s="230"/>
      <c r="F2" s="230"/>
    </row>
    <row r="3" spans="1:6" ht="12.75" customHeight="1" x14ac:dyDescent="0.25">
      <c r="A3" s="197"/>
      <c r="C3" s="232"/>
    </row>
    <row r="4" spans="1:6" ht="12.75" customHeight="1" x14ac:dyDescent="0.25">
      <c r="C4" s="232"/>
    </row>
    <row r="5" spans="1:6" ht="12.75" customHeight="1" x14ac:dyDescent="0.25">
      <c r="A5" s="197" t="s">
        <v>1258</v>
      </c>
      <c r="C5" s="232"/>
    </row>
    <row r="6" spans="1:6" ht="12.75" customHeight="1" x14ac:dyDescent="0.25">
      <c r="A6" s="197" t="s">
        <v>0</v>
      </c>
      <c r="C6" s="232"/>
    </row>
    <row r="7" spans="1:6" ht="12.75" customHeight="1" x14ac:dyDescent="0.25">
      <c r="A7" s="197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6" t="s">
        <v>1228</v>
      </c>
      <c r="C10" s="232"/>
    </row>
    <row r="11" spans="1:6" ht="12.75" customHeight="1" x14ac:dyDescent="0.25">
      <c r="A11" s="196" t="s">
        <v>1231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7" t="s">
        <v>2</v>
      </c>
      <c r="C14" s="232"/>
    </row>
    <row r="15" spans="1:6" ht="12.75" customHeight="1" x14ac:dyDescent="0.25">
      <c r="A15" s="197"/>
      <c r="C15" s="232"/>
    </row>
    <row r="16" spans="1:6" ht="12.75" customHeight="1" x14ac:dyDescent="0.25">
      <c r="A16" s="180" t="s">
        <v>1260</v>
      </c>
      <c r="C16" s="232"/>
      <c r="F16" s="279" t="s">
        <v>1259</v>
      </c>
    </row>
    <row r="17" spans="1:6" ht="12.75" customHeight="1" x14ac:dyDescent="0.25">
      <c r="A17" s="180" t="s">
        <v>1230</v>
      </c>
      <c r="C17" s="279" t="s">
        <v>1259</v>
      </c>
    </row>
    <row r="18" spans="1:6" ht="12.75" customHeight="1" x14ac:dyDescent="0.25">
      <c r="A18" s="224"/>
      <c r="C18" s="232"/>
    </row>
    <row r="19" spans="1:6" ht="12.75" customHeight="1" x14ac:dyDescent="0.25">
      <c r="C19" s="232"/>
    </row>
    <row r="20" spans="1:6" ht="12.75" customHeight="1" x14ac:dyDescent="0.25">
      <c r="A20" s="269" t="s">
        <v>1234</v>
      </c>
      <c r="B20" s="269"/>
      <c r="C20" s="280"/>
      <c r="D20" s="269"/>
      <c r="E20" s="269"/>
      <c r="F20" s="269"/>
    </row>
    <row r="21" spans="1:6" ht="22.5" customHeight="1" x14ac:dyDescent="0.25">
      <c r="A21" s="197"/>
      <c r="C21" s="232"/>
    </row>
    <row r="22" spans="1:6" ht="12.6" customHeight="1" x14ac:dyDescent="0.25">
      <c r="A22" s="233" t="s">
        <v>1254</v>
      </c>
      <c r="B22" s="234"/>
      <c r="C22" s="235"/>
      <c r="D22" s="233"/>
      <c r="E22" s="233"/>
    </row>
    <row r="23" spans="1:6" ht="12.6" customHeight="1" x14ac:dyDescent="0.25">
      <c r="B23" s="197"/>
      <c r="C23" s="232"/>
    </row>
    <row r="24" spans="1:6" ht="12.6" customHeight="1" x14ac:dyDescent="0.25">
      <c r="A24" s="236" t="s">
        <v>3</v>
      </c>
      <c r="C24" s="232"/>
    </row>
    <row r="25" spans="1:6" ht="12.6" customHeight="1" x14ac:dyDescent="0.25">
      <c r="A25" s="196" t="s">
        <v>1235</v>
      </c>
      <c r="C25" s="232"/>
    </row>
    <row r="26" spans="1:6" ht="12.6" customHeight="1" x14ac:dyDescent="0.25">
      <c r="A26" s="197" t="s">
        <v>4</v>
      </c>
      <c r="C26" s="232"/>
    </row>
    <row r="27" spans="1:6" ht="12.6" customHeight="1" x14ac:dyDescent="0.25">
      <c r="A27" s="196" t="s">
        <v>1236</v>
      </c>
      <c r="C27" s="232"/>
    </row>
    <row r="28" spans="1:6" ht="12.6" customHeight="1" x14ac:dyDescent="0.25">
      <c r="A28" s="197" t="s">
        <v>5</v>
      </c>
      <c r="C28" s="232"/>
    </row>
    <row r="29" spans="1:6" ht="12.6" customHeight="1" x14ac:dyDescent="0.25">
      <c r="A29" s="196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7" t="s">
        <v>7</v>
      </c>
      <c r="C31" s="232"/>
    </row>
    <row r="32" spans="1:6" ht="12.6" customHeight="1" x14ac:dyDescent="0.25">
      <c r="A32" s="197" t="s">
        <v>8</v>
      </c>
      <c r="C32" s="232"/>
    </row>
    <row r="33" spans="1:83" ht="12.6" customHeight="1" x14ac:dyDescent="0.25">
      <c r="A33" s="196" t="s">
        <v>1237</v>
      </c>
      <c r="C33" s="232"/>
    </row>
    <row r="34" spans="1:83" ht="12.6" customHeight="1" x14ac:dyDescent="0.25">
      <c r="A34" s="197" t="s">
        <v>9</v>
      </c>
      <c r="C34" s="232"/>
    </row>
    <row r="35" spans="1:83" ht="12.6" customHeight="1" x14ac:dyDescent="0.25">
      <c r="A35" s="197"/>
      <c r="C35" s="232"/>
    </row>
    <row r="36" spans="1:83" ht="12.6" customHeight="1" x14ac:dyDescent="0.25">
      <c r="A36" s="196" t="s">
        <v>1238</v>
      </c>
      <c r="C36" s="232"/>
    </row>
    <row r="37" spans="1:83" ht="12.6" customHeight="1" x14ac:dyDescent="0.25">
      <c r="A37" s="197" t="s">
        <v>1229</v>
      </c>
      <c r="C37" s="232"/>
    </row>
    <row r="38" spans="1:83" ht="12" customHeight="1" x14ac:dyDescent="0.25">
      <c r="A38" s="196"/>
      <c r="C38" s="232"/>
    </row>
    <row r="39" spans="1:83" ht="12.6" customHeight="1" x14ac:dyDescent="0.25">
      <c r="A39" s="197"/>
      <c r="C39" s="232"/>
    </row>
    <row r="40" spans="1:83" ht="12" customHeight="1" x14ac:dyDescent="0.25">
      <c r="A40" s="197"/>
      <c r="C40" s="232"/>
    </row>
    <row r="41" spans="1:83" ht="12" customHeight="1" x14ac:dyDescent="0.25">
      <c r="A41" s="197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25">
      <c r="A42" s="197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25">
      <c r="A43" s="197"/>
      <c r="C43" s="232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15636202</v>
      </c>
      <c r="C47" s="184">
        <f>IF(ISERR(VLOOKUP(VALUE(C$44),'SA Data'!$C$3:$K$49,9,0)="TRUE"),0,VLOOKUP(VALUE(C$44),'SA Data'!$C$3:$K$49,9,0))</f>
        <v>933912.89000000013</v>
      </c>
      <c r="D47" s="184">
        <f>IF(ISERR(VLOOKUP(VALUE(D$44),'SA Data'!$C$3:$K$49,9,0)="TRUE"),0,VLOOKUP(VALUE(D$44),'SA Data'!$C$3:$K$49,9,0))</f>
        <v>0</v>
      </c>
      <c r="E47" s="184">
        <f>IF(ISERR(VLOOKUP(VALUE(E$44),'SA Data'!$C$3:$K$49,9,0)="TRUE"),0,VLOOKUP(VALUE(E$44),'SA Data'!$C$3:$K$49,9,0))</f>
        <v>2181899.7599999998</v>
      </c>
      <c r="F47" s="184">
        <f>IF(ISERR(VLOOKUP(VALUE(F$44),'SA Data'!$C$3:$K$49,9,0)="TRUE"),0,VLOOKUP(VALUE(F$44),'SA Data'!$C$3:$K$49,9,0))</f>
        <v>0</v>
      </c>
      <c r="G47" s="184">
        <f>IF(ISERR(VLOOKUP(VALUE(G$44),'SA Data'!$C$3:$K$49,9,0)="TRUE"),0,VLOOKUP(VALUE(G$44),'SA Data'!$C$3:$K$49,9,0))</f>
        <v>0</v>
      </c>
      <c r="H47" s="184">
        <f>IF(ISERR(VLOOKUP(VALUE(H$44),'SA Data'!$C$3:$K$49,9,0)="TRUE"),0,VLOOKUP(VALUE(H$44),'SA Data'!$C$3:$K$49,9,0))</f>
        <v>0</v>
      </c>
      <c r="I47" s="184">
        <f>IF(ISERR(VLOOKUP(VALUE(I$44),'SA Data'!$C$3:$K$49,9,0)="TRUE"),0,VLOOKUP(VALUE(I$44),'SA Data'!$C$3:$K$49,9,0))</f>
        <v>0</v>
      </c>
      <c r="J47" s="184">
        <f>IF(ISERR(VLOOKUP(VALUE(J$44),'SA Data'!$C$3:$K$49,9,0)="TRUE"),0,VLOOKUP(VALUE(J$44),'SA Data'!$C$3:$K$49,9,0))</f>
        <v>0</v>
      </c>
      <c r="K47" s="184">
        <f>IF(ISERR(VLOOKUP(VALUE(K$44),'SA Data'!$C$3:$K$49,9,0)="TRUE"),0,VLOOKUP(VALUE(K$44),'SA Data'!$C$3:$K$49,9,0))</f>
        <v>0</v>
      </c>
      <c r="L47" s="184">
        <f>IF(ISERR(VLOOKUP(VALUE(L$44),'SA Data'!$C$3:$K$49,9,0)="TRUE"),0,VLOOKUP(VALUE(L$44),'SA Data'!$C$3:$K$49,9,0))</f>
        <v>0</v>
      </c>
      <c r="M47" s="184">
        <f>IF(ISERR(VLOOKUP(VALUE(M$44),'SA Data'!$C$3:$K$49,9,0)="TRUE"),0,VLOOKUP(VALUE(M$44),'SA Data'!$C$3:$K$49,9,0))</f>
        <v>0</v>
      </c>
      <c r="N47" s="184">
        <f>IF(ISERR(VLOOKUP(VALUE(N$44),'SA Data'!$C$3:$K$49,9,0)="TRUE"),0,VLOOKUP(VALUE(N$44),'SA Data'!$C$3:$K$49,9,0))</f>
        <v>0</v>
      </c>
      <c r="O47" s="184">
        <f>IF(ISERR(VLOOKUP(VALUE(O$44),'SA Data'!$C$3:$K$49,9,0)="TRUE"),0,VLOOKUP(VALUE(O$44),'SA Data'!$C$3:$K$49,9,0))</f>
        <v>0</v>
      </c>
      <c r="P47" s="184">
        <f>IF(ISERR(VLOOKUP(VALUE(P$44),'SA Data'!$C$3:$K$49,9,0)="TRUE"),0,VLOOKUP(VALUE(P$44),'SA Data'!$C$3:$K$49,9,0))</f>
        <v>1842400.94</v>
      </c>
      <c r="Q47" s="184">
        <f>IF(ISERR(VLOOKUP(VALUE(Q$44),'SA Data'!$C$3:$K$49,9,0)="TRUE"),0,VLOOKUP(VALUE(Q$44),'SA Data'!$C$3:$K$49,9,0))</f>
        <v>604691.06999999995</v>
      </c>
      <c r="R47" s="184">
        <f>IF(ISERR(VLOOKUP(VALUE(R$44),'SA Data'!$C$3:$K$49,9,0)="TRUE"),0,VLOOKUP(VALUE(R$44),'SA Data'!$C$3:$K$49,9,0))</f>
        <v>0</v>
      </c>
      <c r="S47" s="184">
        <f>IF(ISERR(VLOOKUP(VALUE(S$44),'SA Data'!$C$3:$K$49,9,0)="TRUE"),0,VLOOKUP(VALUE(S$44),'SA Data'!$C$3:$K$49,9,0))</f>
        <v>266276.32</v>
      </c>
      <c r="T47" s="184">
        <f>IF(ISERR(VLOOKUP(VALUE(T$44),'SA Data'!$C$3:$K$49,9,0)="TRUE"),0,VLOOKUP(VALUE(T$44),'SA Data'!$C$3:$K$49,9,0))</f>
        <v>91343.489999999991</v>
      </c>
      <c r="U47" s="184">
        <f>IF(ISERR(VLOOKUP(VALUE(U$44),'SA Data'!$C$3:$K$49,9,0)="TRUE"),0,VLOOKUP(VALUE(U$44),'SA Data'!$C$3:$K$49,9,0))</f>
        <v>367586.00999999995</v>
      </c>
      <c r="V47" s="184">
        <f>IF(ISERR(VLOOKUP(VALUE(V$44),'SA Data'!$C$3:$K$49,9,0)="TRUE"),0,VLOOKUP(VALUE(V$44),'SA Data'!$C$3:$K$49,9,0))</f>
        <v>0</v>
      </c>
      <c r="W47" s="184">
        <f>IF(ISERR(VLOOKUP(VALUE(W$44),'SA Data'!$C$3:$K$49,9,0)="TRUE"),0,VLOOKUP(VALUE(W$44),'SA Data'!$C$3:$K$49,9,0))</f>
        <v>86734.010000000009</v>
      </c>
      <c r="X47" s="184">
        <f>IF(ISERR(VLOOKUP(VALUE(X$44),'SA Data'!$C$3:$K$49,9,0)="TRUE"),0,VLOOKUP(VALUE(X$44),'SA Data'!$C$3:$K$49,9,0))</f>
        <v>142606.75</v>
      </c>
      <c r="Y47" s="184">
        <f>IF(ISERR(VLOOKUP(VALUE(Y$44),'SA Data'!$C$3:$K$49,9,0)="TRUE"),0,VLOOKUP(VALUE(Y$44),'SA Data'!$C$3:$K$49,9,0))</f>
        <v>440648.99000000005</v>
      </c>
      <c r="Z47" s="184">
        <f>IF(ISERR(VLOOKUP(VALUE(Z$44),'SA Data'!$C$3:$K$49,9,0)="TRUE"),0,VLOOKUP(VALUE(Z$44),'SA Data'!$C$3:$K$49,9,0))</f>
        <v>0</v>
      </c>
      <c r="AA47" s="184">
        <f>IF(ISERR(VLOOKUP(VALUE(AA$44),'SA Data'!$C$3:$K$49,9,0)="TRUE"),0,VLOOKUP(VALUE(AA$44),'SA Data'!$C$3:$K$49,9,0))</f>
        <v>60398.909999999996</v>
      </c>
      <c r="AB47" s="184">
        <f>IF(ISERR(VLOOKUP(VALUE(AB$44),'SA Data'!$C$3:$K$49,9,0)="TRUE"),0,VLOOKUP(VALUE(AB$44),'SA Data'!$C$3:$K$49,9,0))</f>
        <v>655160.67999999993</v>
      </c>
      <c r="AC47" s="184">
        <f>IF(ISERR(VLOOKUP(VALUE(AC$44),'SA Data'!$C$3:$K$49,9,0)="TRUE"),0,VLOOKUP(VALUE(AC$44),'SA Data'!$C$3:$K$49,9,0))</f>
        <v>283762.97000000003</v>
      </c>
      <c r="AD47" s="184">
        <f>IF(ISERR(VLOOKUP(VALUE(AD$44),'SA Data'!$C$3:$K$49,9,0)="TRUE"),0,VLOOKUP(VALUE(AD$44),'SA Data'!$C$3:$K$49,9,0))</f>
        <v>0</v>
      </c>
      <c r="AE47" s="184">
        <f>IF(ISERR(VLOOKUP(VALUE(AE$44),'SA Data'!$C$3:$K$49,9,0)="TRUE"),0,VLOOKUP(VALUE(AE$44),'SA Data'!$C$3:$K$49,9,0))</f>
        <v>253460.47000000003</v>
      </c>
      <c r="AF47" s="184">
        <f>IF(ISERR(VLOOKUP(VALUE(AF$44),'SA Data'!$C$3:$K$49,9,0)="TRUE"),0,VLOOKUP(VALUE(AF$44),'SA Data'!$C$3:$K$49,9,0))</f>
        <v>0</v>
      </c>
      <c r="AG47" s="184">
        <f>IF(ISERR(VLOOKUP(VALUE(AG$44),'SA Data'!$C$3:$K$49,9,0)="TRUE"),0,VLOOKUP(VALUE(AG$44),'SA Data'!$C$3:$K$49,9,0))</f>
        <v>876065.33000000007</v>
      </c>
      <c r="AH47" s="184">
        <f>IF(ISERR(VLOOKUP(VALUE(AH$44),'SA Data'!$C$3:$K$49,9,0)="TRUE"),0,VLOOKUP(VALUE(AH$44),'SA Data'!$C$3:$K$49,9,0))</f>
        <v>0</v>
      </c>
      <c r="AI47" s="184">
        <f>IF(ISERR(VLOOKUP(VALUE(AI$44),'SA Data'!$C$3:$K$49,9,0)="TRUE"),0,VLOOKUP(VALUE(AI$44),'SA Data'!$C$3:$K$49,9,0))</f>
        <v>0</v>
      </c>
      <c r="AJ47" s="184">
        <f>IF(ISERR(VLOOKUP(VALUE(AJ$44),'SA Data'!$C$3:$K$49,9,0)="TRUE"),0,VLOOKUP(VALUE(AJ$44),'SA Data'!$C$3:$K$49,9,0))</f>
        <v>4523718.3199999994</v>
      </c>
      <c r="AK47" s="184">
        <f>IF(ISERR(VLOOKUP(VALUE(AK$44),'SA Data'!$C$3:$K$49,9,0)="TRUE"),0,VLOOKUP(VALUE(AK$44),'SA Data'!$C$3:$K$49,9,0))</f>
        <v>67425.38</v>
      </c>
      <c r="AL47" s="184">
        <f>IF(ISERR(VLOOKUP(VALUE(AL$44),'SA Data'!$C$3:$K$49,9,0)="TRUE"),0,VLOOKUP(VALUE(AL$44),'SA Data'!$C$3:$K$49,9,0))</f>
        <v>21721.639999999996</v>
      </c>
      <c r="AM47" s="184">
        <f>IF(ISERR(VLOOKUP(VALUE(AM$44),'SA Data'!$C$3:$K$49,9,0)="TRUE"),0,VLOOKUP(VALUE(AM$44),'SA Data'!$C$3:$K$49,9,0))</f>
        <v>0</v>
      </c>
      <c r="AN47" s="184">
        <f>IF(ISERR(VLOOKUP(VALUE(AN$44),'SA Data'!$C$3:$K$49,9,0)="TRUE"),0,VLOOKUP(VALUE(AN$44),'SA Data'!$C$3:$K$49,9,0))</f>
        <v>0</v>
      </c>
      <c r="AO47" s="184">
        <f>IF(ISERR(VLOOKUP(VALUE(AO$44),'SA Data'!$C$3:$K$49,9,0)="TRUE"),0,VLOOKUP(VALUE(AO$44),'SA Data'!$C$3:$K$49,9,0))</f>
        <v>0</v>
      </c>
      <c r="AP47" s="184">
        <f>IF(ISERR(VLOOKUP(VALUE(AP$44),'SA Data'!$C$3:$K$49,9,0)="TRUE"),0,VLOOKUP(VALUE(AP$44),'SA Data'!$C$3:$K$49,9,0))</f>
        <v>0</v>
      </c>
      <c r="AQ47" s="184">
        <f>IF(ISERR(VLOOKUP(VALUE(AQ$44),'SA Data'!$C$3:$K$49,9,0)="TRUE"),0,VLOOKUP(VALUE(AQ$44),'SA Data'!$C$3:$K$49,9,0))</f>
        <v>0</v>
      </c>
      <c r="AR47" s="184">
        <f>IF(ISERR(VLOOKUP(VALUE(AR$44),'SA Data'!$C$3:$K$49,9,0)="TRUE"),0,VLOOKUP(VALUE(AR$44),'SA Data'!$C$3:$K$49,9,0))</f>
        <v>0</v>
      </c>
      <c r="AS47" s="184">
        <f>IF(ISERR(VLOOKUP(VALUE(AS$44),'SA Data'!$C$3:$K$49,9,0)="TRUE"),0,VLOOKUP(VALUE(AS$44),'SA Data'!$C$3:$K$49,9,0))</f>
        <v>0</v>
      </c>
      <c r="AT47" s="184">
        <f>IF(ISERR(VLOOKUP(VALUE(AT$44),'SA Data'!$C$3:$K$49,9,0)="TRUE"),0,VLOOKUP(VALUE(AT$44),'SA Data'!$C$3:$K$49,9,0))</f>
        <v>0</v>
      </c>
      <c r="AU47" s="184">
        <f>IF(ISERR(VLOOKUP(VALUE(AU$44),'SA Data'!$C$3:$K$49,9,0)="TRUE"),0,VLOOKUP(VALUE(AU$44),'SA Data'!$C$3:$K$49,9,0))</f>
        <v>0</v>
      </c>
      <c r="AV47" s="184">
        <f>IF(ISERR(VLOOKUP(VALUE(AV$44),'SA Data'!$C$3:$K$49,9,0)="TRUE"),0,VLOOKUP(VALUE(AV$44),'SA Data'!$C$3:$K$49,9,0))</f>
        <v>74236.92</v>
      </c>
      <c r="AW47" s="184">
        <f>IF(ISERR(VLOOKUP(VALUE(AW$44),'SA Data'!$C$3:$K$49,9,0)="TRUE"),0,VLOOKUP(VALUE(AW$44),'SA Data'!$C$3:$K$49,9,0))</f>
        <v>0</v>
      </c>
      <c r="AX47" s="184">
        <f>IF(ISERR(VLOOKUP(VALUE(AX$44),'SA Data'!$C$3:$K$49,9,0)="TRUE"),0,VLOOKUP(VALUE(AX$44),'SA Data'!$C$3:$K$49,9,0))</f>
        <v>0</v>
      </c>
      <c r="AY47" s="184">
        <f>IF(ISERR(VLOOKUP(VALUE(AY$44),'SA Data'!$C$3:$K$49,9,0)="TRUE"),0,VLOOKUP(VALUE(AY$44),'SA Data'!$C$3:$K$49,9,0))</f>
        <v>0</v>
      </c>
      <c r="AZ47" s="184">
        <f>IF(ISERR(VLOOKUP(VALUE(AZ$44),'SA Data'!$C$3:$K$49,9,0)="TRUE"),0,VLOOKUP(VALUE(AZ$44),'SA Data'!$C$3:$K$49,9,0))</f>
        <v>504932.37</v>
      </c>
      <c r="BA47" s="184">
        <f>IF(ISERR(VLOOKUP(VALUE(BA$44),'SA Data'!$C$3:$K$49,9,0)="TRUE"),0,VLOOKUP(VALUE(BA$44),'SA Data'!$C$3:$K$49,9,0))</f>
        <v>21258.87</v>
      </c>
      <c r="BB47" s="184">
        <f>IF(ISERR(VLOOKUP(VALUE(BB$44),'SA Data'!$C$3:$K$49,9,0)="TRUE"),0,VLOOKUP(VALUE(BB$44),'SA Data'!$C$3:$K$49,9,0))</f>
        <v>0</v>
      </c>
      <c r="BC47" s="184">
        <f>IF(ISERR(VLOOKUP(VALUE(BC$44),'SA Data'!$C$3:$K$49,9,0)="TRUE"),0,VLOOKUP(VALUE(BC$44),'SA Data'!$C$3:$K$49,9,0))</f>
        <v>61302.600000000013</v>
      </c>
      <c r="BD47" s="184">
        <f>IF(ISERR(VLOOKUP(VALUE(BD$44),'SA Data'!$C$3:$K$49,9,0)="TRUE"),0,VLOOKUP(VALUE(BD$44),'SA Data'!$C$3:$K$49,9,0))</f>
        <v>0</v>
      </c>
      <c r="BE47" s="184">
        <f>IF(ISERR(VLOOKUP(VALUE(BE$44),'SA Data'!$C$3:$K$49,9,0)="TRUE"),0,VLOOKUP(VALUE(BE$44),'SA Data'!$C$3:$K$49,9,0))</f>
        <v>119194.34999999999</v>
      </c>
      <c r="BF47" s="184">
        <f>IF(ISERR(VLOOKUP(VALUE(BF$44),'SA Data'!$C$3:$K$49,9,0)="TRUE"),0,VLOOKUP(VALUE(BF$44),'SA Data'!$C$3:$K$49,9,0))</f>
        <v>440189.69999999995</v>
      </c>
      <c r="BG47" s="184">
        <f>IF(ISERR(VLOOKUP(VALUE(BG$44),'SA Data'!$C$3:$K$49,9,0)="TRUE"),0,VLOOKUP(VALUE(BG$44),'SA Data'!$C$3:$K$49,9,0))</f>
        <v>0</v>
      </c>
      <c r="BH47" s="184">
        <f>IF(ISERR(VLOOKUP(VALUE(BH$44),'SA Data'!$C$3:$K$49,9,0)="TRUE"),0,VLOOKUP(VALUE(BH$44),'SA Data'!$C$3:$K$49,9,0))</f>
        <v>0</v>
      </c>
      <c r="BI47" s="184">
        <f>IF(ISERR(VLOOKUP(VALUE(BI$44),'SA Data'!$C$3:$K$49,9,0)="TRUE"),0,VLOOKUP(VALUE(BI$44),'SA Data'!$C$3:$K$49,9,0))</f>
        <v>3034.73</v>
      </c>
      <c r="BJ47" s="184">
        <f>IF(ISERR(VLOOKUP(VALUE(BJ$44),'SA Data'!$C$3:$K$49,9,0)="TRUE"),0,VLOOKUP(VALUE(BJ$44),'SA Data'!$C$3:$K$49,9,0))</f>
        <v>0</v>
      </c>
      <c r="BK47" s="184">
        <f>IF(ISERR(VLOOKUP(VALUE(BK$44),'SA Data'!$C$3:$K$49,9,0)="TRUE"),0,VLOOKUP(VALUE(BK$44),'SA Data'!$C$3:$K$49,9,0))</f>
        <v>0</v>
      </c>
      <c r="BL47" s="184">
        <f>IF(ISERR(VLOOKUP(VALUE(BL$44),'SA Data'!$C$3:$K$49,9,0)="TRUE"),0,VLOOKUP(VALUE(BL$44),'SA Data'!$C$3:$K$49,9,0))</f>
        <v>0</v>
      </c>
      <c r="BM47" s="184">
        <f>IF(ISERR(VLOOKUP(VALUE(BM$44),'SA Data'!$C$3:$K$49,9,0)="TRUE"),0,VLOOKUP(VALUE(BM$44),'SA Data'!$C$3:$K$49,9,0))</f>
        <v>0</v>
      </c>
      <c r="BN47" s="184">
        <f>IF(ISERR(VLOOKUP(VALUE(BN$44),'SA Data'!$C$3:$K$49,9,0)="TRUE"),0,VLOOKUP(VALUE(BN$44),'SA Data'!$C$3:$K$49,9,0))</f>
        <v>377925.04</v>
      </c>
      <c r="BO47" s="184">
        <f>IF(ISERR(VLOOKUP(VALUE(BO$44),'SA Data'!$C$3:$K$49,9,0)="TRUE"),0,VLOOKUP(VALUE(BO$44),'SA Data'!$C$3:$K$49,9,0))</f>
        <v>0</v>
      </c>
      <c r="BP47" s="184">
        <f>IF(ISERR(VLOOKUP(VALUE(BP$44),'SA Data'!$C$3:$K$49,9,0)="TRUE"),0,VLOOKUP(VALUE(BP$44),'SA Data'!$C$3:$K$49,9,0))</f>
        <v>0</v>
      </c>
      <c r="BQ47" s="184">
        <f>IF(ISERR(VLOOKUP(VALUE(BQ$44),'SA Data'!$C$3:$K$49,9,0)="TRUE"),0,VLOOKUP(VALUE(BQ$44),'SA Data'!$C$3:$K$49,9,0))</f>
        <v>0</v>
      </c>
      <c r="BR47" s="184">
        <f>IF(ISERR(VLOOKUP(VALUE(BR$44),'SA Data'!$C$3:$K$49,9,0)="TRUE"),0,VLOOKUP(VALUE(BR$44),'SA Data'!$C$3:$K$49,9,0))</f>
        <v>21.429999999937991</v>
      </c>
      <c r="BS47" s="184">
        <f>IF(ISERR(VLOOKUP(VALUE(BS$44),'SA Data'!$C$3:$K$49,9,0)="TRUE"),0,VLOOKUP(VALUE(BS$44),'SA Data'!$C$3:$K$49,9,0))</f>
        <v>0</v>
      </c>
      <c r="BT47" s="184">
        <f>IF(ISERR(VLOOKUP(VALUE(BT$44),'SA Data'!$C$3:$K$49,9,0)="TRUE"),0,VLOOKUP(VALUE(BT$44),'SA Data'!$C$3:$K$49,9,0))</f>
        <v>0</v>
      </c>
      <c r="BU47" s="184">
        <f>IF(ISERR(VLOOKUP(VALUE(BU$44),'SA Data'!$C$3:$K$49,9,0)="TRUE"),0,VLOOKUP(VALUE(BU$44),'SA Data'!$C$3:$K$49,9,0))</f>
        <v>0</v>
      </c>
      <c r="BV47" s="184">
        <f>IF(ISERR(VLOOKUP(VALUE(BV$44),'SA Data'!$C$3:$K$49,9,0)="TRUE"),0,VLOOKUP(VALUE(BV$44),'SA Data'!$C$3:$K$49,9,0))</f>
        <v>0</v>
      </c>
      <c r="BW47" s="184">
        <f>IF(ISERR(VLOOKUP(VALUE(BW$44),'SA Data'!$C$3:$K$49,9,0)="TRUE"),0,VLOOKUP(VALUE(BW$44),'SA Data'!$C$3:$K$49,9,0))</f>
        <v>0</v>
      </c>
      <c r="BX47" s="184">
        <f>IF(ISERR(VLOOKUP(VALUE(BX$44),'SA Data'!$C$3:$K$49,9,0)="TRUE"),0,VLOOKUP(VALUE(BX$44),'SA Data'!$C$3:$K$49,9,0))</f>
        <v>0</v>
      </c>
      <c r="BY47" s="184">
        <f>IF(ISERR(VLOOKUP(VALUE(BY$44),'SA Data'!$C$3:$K$49,9,0)="TRUE"),0,VLOOKUP(VALUE(BY$44),'SA Data'!$C$3:$K$49,9,0))</f>
        <v>288224.64000000001</v>
      </c>
      <c r="BZ47" s="184">
        <f>IF(ISERR(VLOOKUP(VALUE(BZ$44),'SA Data'!$C$3:$K$49,9,0)="TRUE"),0,VLOOKUP(VALUE(BZ$44),'SA Data'!$C$3:$K$49,9,0))</f>
        <v>0</v>
      </c>
      <c r="CA47" s="184">
        <f>IF(ISERR(VLOOKUP(VALUE(CA$44),'SA Data'!$C$3:$K$49,9,0)="TRUE"),0,VLOOKUP(VALUE(CA$44),'SA Data'!$C$3:$K$49,9,0))</f>
        <v>42484.179999999993</v>
      </c>
      <c r="CB47" s="184">
        <f>IF(ISERR(VLOOKUP(VALUE(CB$44),'SA Data'!$C$3:$K$49,9,0)="TRUE"),0,VLOOKUP(VALUE(CB$44),'SA Data'!$C$3:$K$49,9,0))</f>
        <v>0</v>
      </c>
      <c r="CC47" s="184">
        <f>IF(ISERR(VLOOKUP(VALUE(CC$44),'SA Data'!$C$3:$K$49,9,0)="TRUE"),0,VLOOKUP(VALUE(CC$44),'SA Data'!$C$3:$K$49,9,0))</f>
        <v>3583.2400000000007</v>
      </c>
      <c r="CD47" s="193"/>
      <c r="CE47" s="193">
        <f>SUM(C47:CC47)</f>
        <v>15636201.999999998</v>
      </c>
    </row>
    <row r="48" spans="1:83" ht="12.6" customHeight="1" x14ac:dyDescent="0.25">
      <c r="A48" s="175" t="s">
        <v>205</v>
      </c>
      <c r="B48" s="183">
        <v>0</v>
      </c>
      <c r="C48" s="241">
        <f>ROUND(((B48/CE61)*C61),0)</f>
        <v>0</v>
      </c>
      <c r="D48" s="241">
        <f>ROUND(((B48/CE61)*D61),0)</f>
        <v>0</v>
      </c>
      <c r="E48" s="193">
        <f>ROUND(((B48/CE61)*E61),0)</f>
        <v>0</v>
      </c>
      <c r="F48" s="193">
        <f>ROUND(((B48/CE61)*F61),0)</f>
        <v>0</v>
      </c>
      <c r="G48" s="193">
        <f>ROUND(((B48/CE61)*G61),0)</f>
        <v>0</v>
      </c>
      <c r="H48" s="193">
        <f>ROUND(((B48/CE61)*H61),0)</f>
        <v>0</v>
      </c>
      <c r="I48" s="193">
        <f>ROUND(((B48/CE61)*I61),0)</f>
        <v>0</v>
      </c>
      <c r="J48" s="193">
        <f>ROUND(((B48/CE61)*J61),0)</f>
        <v>0</v>
      </c>
      <c r="K48" s="193">
        <f>ROUND(((B48/CE61)*K61),0)</f>
        <v>0</v>
      </c>
      <c r="L48" s="193">
        <f>ROUND(((B48/CE61)*L61),0)</f>
        <v>0</v>
      </c>
      <c r="M48" s="193">
        <f>ROUND(((B48/CE61)*M61),0)</f>
        <v>0</v>
      </c>
      <c r="N48" s="193">
        <f>ROUND(((B48/CE61)*N61),0)</f>
        <v>0</v>
      </c>
      <c r="O48" s="193">
        <f>ROUND(((B48/CE61)*O61),0)</f>
        <v>0</v>
      </c>
      <c r="P48" s="193">
        <f>ROUND(((B48/CE61)*P61),0)</f>
        <v>0</v>
      </c>
      <c r="Q48" s="193">
        <f>ROUND(((B48/CE61)*Q61),0)</f>
        <v>0</v>
      </c>
      <c r="R48" s="193">
        <f>ROUND(((B48/CE61)*R61),0)</f>
        <v>0</v>
      </c>
      <c r="S48" s="193">
        <f>ROUND(((B48/CE61)*S61),0)</f>
        <v>0</v>
      </c>
      <c r="T48" s="193">
        <f>ROUND(((B48/CE61)*T61),0)</f>
        <v>0</v>
      </c>
      <c r="U48" s="193">
        <f>ROUND(((B48/CE61)*U61),0)</f>
        <v>0</v>
      </c>
      <c r="V48" s="193">
        <f>ROUND(((B48/CE61)*V61),0)</f>
        <v>0</v>
      </c>
      <c r="W48" s="193">
        <f>ROUND(((B48/CE61)*W61),0)</f>
        <v>0</v>
      </c>
      <c r="X48" s="193">
        <f>ROUND(((B48/CE61)*X61),0)</f>
        <v>0</v>
      </c>
      <c r="Y48" s="193">
        <f>ROUND(((B48/CE61)*Y61),0)</f>
        <v>0</v>
      </c>
      <c r="Z48" s="193">
        <f>ROUND(((B48/CE61)*Z61),0)</f>
        <v>0</v>
      </c>
      <c r="AA48" s="193">
        <f>ROUND(((B48/CE61)*AA61),0)</f>
        <v>0</v>
      </c>
      <c r="AB48" s="193">
        <f>ROUND(((B48/CE61)*AB61),0)</f>
        <v>0</v>
      </c>
      <c r="AC48" s="193">
        <f>ROUND(((B48/CE61)*AC61),0)</f>
        <v>0</v>
      </c>
      <c r="AD48" s="193">
        <f>ROUND(((B48/CE61)*AD61),0)</f>
        <v>0</v>
      </c>
      <c r="AE48" s="193">
        <f>ROUND(((B48/CE61)*AE61),0)</f>
        <v>0</v>
      </c>
      <c r="AF48" s="193">
        <f>ROUND(((B48/CE61)*AF61),0)</f>
        <v>0</v>
      </c>
      <c r="AG48" s="193">
        <f>ROUND(((B48/CE61)*AG61),0)</f>
        <v>0</v>
      </c>
      <c r="AH48" s="193">
        <f>ROUND(((B48/CE61)*AH61),0)</f>
        <v>0</v>
      </c>
      <c r="AI48" s="193">
        <f>ROUND(((B48/CE61)*AI61),0)</f>
        <v>0</v>
      </c>
      <c r="AJ48" s="193">
        <f>ROUND(((B48/CE61)*AJ61),0)</f>
        <v>0</v>
      </c>
      <c r="AK48" s="193">
        <f>ROUND(((B48/CE61)*AK61),0)</f>
        <v>0</v>
      </c>
      <c r="AL48" s="193">
        <f>ROUND(((B48/CE61)*AL61),0)</f>
        <v>0</v>
      </c>
      <c r="AM48" s="193">
        <f>ROUND(((B48/CE61)*AM61),0)</f>
        <v>0</v>
      </c>
      <c r="AN48" s="193">
        <f>ROUND(((B48/CE61)*AN61),0)</f>
        <v>0</v>
      </c>
      <c r="AO48" s="193">
        <f>ROUND(((B48/CE61)*AO61),0)</f>
        <v>0</v>
      </c>
      <c r="AP48" s="193">
        <f>ROUND(((B48/CE61)*AP61),0)</f>
        <v>0</v>
      </c>
      <c r="AQ48" s="193">
        <f>ROUND(((B48/CE61)*AQ61),0)</f>
        <v>0</v>
      </c>
      <c r="AR48" s="193">
        <f>ROUND(((B48/CE61)*AR61),0)</f>
        <v>0</v>
      </c>
      <c r="AS48" s="193">
        <f>ROUND(((B48/CE61)*AS61),0)</f>
        <v>0</v>
      </c>
      <c r="AT48" s="193">
        <f>ROUND(((B48/CE61)*AT61),0)</f>
        <v>0</v>
      </c>
      <c r="AU48" s="193">
        <f>ROUND(((B48/CE61)*AU61),0)</f>
        <v>0</v>
      </c>
      <c r="AV48" s="193">
        <f>ROUND(((B48/CE61)*AV61),0)</f>
        <v>0</v>
      </c>
      <c r="AW48" s="193">
        <f>ROUND(((B48/CE61)*AW61),0)</f>
        <v>0</v>
      </c>
      <c r="AX48" s="193">
        <f>ROUND(((B48/CE61)*AX61),0)</f>
        <v>0</v>
      </c>
      <c r="AY48" s="193">
        <f>ROUND(((B48/CE61)*AY61),0)</f>
        <v>0</v>
      </c>
      <c r="AZ48" s="193">
        <f>ROUND(((B48/CE61)*AZ61),0)</f>
        <v>0</v>
      </c>
      <c r="BA48" s="193">
        <f>ROUND(((B48/CE61)*BA61),0)</f>
        <v>0</v>
      </c>
      <c r="BB48" s="193">
        <f>ROUND(((B48/CE61)*BB61),0)</f>
        <v>0</v>
      </c>
      <c r="BC48" s="193">
        <f>ROUND(((B48/CE61)*BC61),0)</f>
        <v>0</v>
      </c>
      <c r="BD48" s="193">
        <f>ROUND(((B48/CE61)*BD61),0)</f>
        <v>0</v>
      </c>
      <c r="BE48" s="193">
        <f>ROUND(((B48/CE61)*BE61),0)</f>
        <v>0</v>
      </c>
      <c r="BF48" s="193">
        <f>ROUND(((B48/CE61)*BF61),0)</f>
        <v>0</v>
      </c>
      <c r="BG48" s="193">
        <f>ROUND(((B48/CE61)*BG61),0)</f>
        <v>0</v>
      </c>
      <c r="BH48" s="193">
        <f>ROUND(((B48/CE61)*BH61),0)</f>
        <v>0</v>
      </c>
      <c r="BI48" s="193">
        <f>ROUND(((B48/CE61)*BI61),0)</f>
        <v>0</v>
      </c>
      <c r="BJ48" s="193">
        <f>ROUND(((B48/CE61)*BJ61),0)</f>
        <v>0</v>
      </c>
      <c r="BK48" s="193">
        <f>ROUND(((B48/CE61)*BK61),0)</f>
        <v>0</v>
      </c>
      <c r="BL48" s="193">
        <f>ROUND(((B48/CE61)*BL61),0)</f>
        <v>0</v>
      </c>
      <c r="BM48" s="193">
        <f>ROUND(((B48/CE61)*BM61),0)</f>
        <v>0</v>
      </c>
      <c r="BN48" s="193">
        <f>ROUND(((B48/CE61)*BN61),0)</f>
        <v>0</v>
      </c>
      <c r="BO48" s="193">
        <f>ROUND(((B48/CE61)*BO61),0)</f>
        <v>0</v>
      </c>
      <c r="BP48" s="193">
        <f>ROUND(((B48/CE61)*BP61),0)</f>
        <v>0</v>
      </c>
      <c r="BQ48" s="193">
        <f>ROUND(((B48/CE61)*BQ61),0)</f>
        <v>0</v>
      </c>
      <c r="BR48" s="193">
        <f>ROUND(((B48/CE61)*BR61),0)</f>
        <v>0</v>
      </c>
      <c r="BS48" s="193">
        <f>ROUND(((B48/CE61)*BS61),0)</f>
        <v>0</v>
      </c>
      <c r="BT48" s="193">
        <f>ROUND(((B48/CE61)*BT61),0)</f>
        <v>0</v>
      </c>
      <c r="BU48" s="193">
        <f>ROUND(((B48/CE61)*BU61),0)</f>
        <v>0</v>
      </c>
      <c r="BV48" s="193">
        <f>ROUND(((B48/CE61)*BV61),0)</f>
        <v>0</v>
      </c>
      <c r="BW48" s="193">
        <f>ROUND(((B48/CE61)*BW61),0)</f>
        <v>0</v>
      </c>
      <c r="BX48" s="193">
        <f>ROUND(((B48/CE61)*BX61),0)</f>
        <v>0</v>
      </c>
      <c r="BY48" s="193">
        <f>ROUND(((B48/CE61)*BY61),0)</f>
        <v>0</v>
      </c>
      <c r="BZ48" s="193">
        <f>ROUND(((B48/CE61)*BZ61),0)</f>
        <v>0</v>
      </c>
      <c r="CA48" s="193">
        <f>ROUND(((B48/CE61)*CA61),0)</f>
        <v>0</v>
      </c>
      <c r="CB48" s="193">
        <f>ROUND(((B48/CE61)*CB61),0)</f>
        <v>0</v>
      </c>
      <c r="CC48" s="193">
        <f>ROUND(((B48/CE61)*CC61),0)</f>
        <v>0</v>
      </c>
      <c r="CD48" s="193"/>
      <c r="CE48" s="193">
        <f>SUM(C48:CD48)</f>
        <v>0</v>
      </c>
    </row>
    <row r="49" spans="1:84" ht="12.6" customHeight="1" x14ac:dyDescent="0.25">
      <c r="A49" s="175" t="s">
        <v>206</v>
      </c>
      <c r="B49" s="193">
        <f>B47+B48</f>
        <v>15636202</v>
      </c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D49" s="193"/>
      <c r="CE49" s="193"/>
    </row>
    <row r="50" spans="1:84" ht="12.6" customHeight="1" x14ac:dyDescent="0.25">
      <c r="A50" s="175" t="s">
        <v>6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</row>
    <row r="51" spans="1:84" ht="12.6" customHeight="1" x14ac:dyDescent="0.25">
      <c r="A51" s="171" t="s">
        <v>207</v>
      </c>
      <c r="B51" s="184">
        <v>9281315</v>
      </c>
      <c r="C51" s="184">
        <f>IF(ISERR(VLOOKUP(VALUE(C$44),'SA Data'!$C$3:$U$48,19,0)="TRUE"),0,VLOOKUP(VALUE(C$44),'SA Data'!$C$3:$U$48,19,0))</f>
        <v>332492.94000000006</v>
      </c>
      <c r="D51" s="184">
        <f>IF(ISERR(VLOOKUP(VALUE(D$44),'SA Data'!$C$3:$U$48,19,0)="TRUE"),0,VLOOKUP(VALUE(D$44),'SA Data'!$C$3:$U$48,19,0))</f>
        <v>0</v>
      </c>
      <c r="E51" s="184">
        <f>IF(ISERR(VLOOKUP(VALUE(E$44),'SA Data'!$C$3:$U$48,19,0)="TRUE"),0,VLOOKUP(VALUE(E$44),'SA Data'!$C$3:$U$48,19,0))</f>
        <v>116713.78</v>
      </c>
      <c r="F51" s="184">
        <f>IF(ISERR(VLOOKUP(VALUE(F$44),'SA Data'!$C$3:$U$48,19,0)="TRUE"),0,VLOOKUP(VALUE(F$44),'SA Data'!$C$3:$U$48,19,0))</f>
        <v>0</v>
      </c>
      <c r="G51" s="184">
        <f>IF(ISERR(VLOOKUP(VALUE(G$44),'SA Data'!$C$3:$U$48,19,0)="TRUE"),0,VLOOKUP(VALUE(G$44),'SA Data'!$C$3:$U$48,19,0))</f>
        <v>0</v>
      </c>
      <c r="H51" s="184">
        <f>IF(ISERR(VLOOKUP(VALUE(H$44),'SA Data'!$C$3:$U$48,19,0)="TRUE"),0,VLOOKUP(VALUE(H$44),'SA Data'!$C$3:$U$48,19,0))</f>
        <v>0</v>
      </c>
      <c r="I51" s="184">
        <f>IF(ISERR(VLOOKUP(VALUE(I$44),'SA Data'!$C$3:$U$48,19,0)="TRUE"),0,VLOOKUP(VALUE(I$44),'SA Data'!$C$3:$U$48,19,0))</f>
        <v>0</v>
      </c>
      <c r="J51" s="184">
        <f>IF(ISERR(VLOOKUP(VALUE(J$44),'SA Data'!$C$3:$U$48,19,0)="TRUE"),0,VLOOKUP(VALUE(J$44),'SA Data'!$C$3:$U$48,19,0))</f>
        <v>0</v>
      </c>
      <c r="K51" s="184">
        <f>IF(ISERR(VLOOKUP(VALUE(K$44),'SA Data'!$C$3:$U$48,19,0)="TRUE"),0,VLOOKUP(VALUE(K$44),'SA Data'!$C$3:$U$48,19,0))</f>
        <v>0</v>
      </c>
      <c r="L51" s="184">
        <f>IF(ISERR(VLOOKUP(VALUE(L$44),'SA Data'!$C$3:$U$48,19,0)="TRUE"),0,VLOOKUP(VALUE(L$44),'SA Data'!$C$3:$U$48,19,0))</f>
        <v>0</v>
      </c>
      <c r="M51" s="184">
        <f>IF(ISERR(VLOOKUP(VALUE(M$44),'SA Data'!$C$3:$U$48,19,0)="TRUE"),0,VLOOKUP(VALUE(M$44),'SA Data'!$C$3:$U$48,19,0))</f>
        <v>0</v>
      </c>
      <c r="N51" s="184">
        <f>IF(ISERR(VLOOKUP(VALUE(N$44),'SA Data'!$C$3:$U$48,19,0)="TRUE"),0,VLOOKUP(VALUE(N$44),'SA Data'!$C$3:$U$48,19,0))</f>
        <v>0</v>
      </c>
      <c r="O51" s="184">
        <f>IF(ISERR(VLOOKUP(VALUE(O$44),'SA Data'!$C$3:$U$48,19,0)="TRUE"),0,VLOOKUP(VALUE(O$44),'SA Data'!$C$3:$U$48,19,0))</f>
        <v>0</v>
      </c>
      <c r="P51" s="184">
        <f>IF(ISERR(VLOOKUP(VALUE(P$44),'SA Data'!$C$3:$U$48,19,0)="TRUE"),0,VLOOKUP(VALUE(P$44),'SA Data'!$C$3:$U$48,19,0))</f>
        <v>4260880.6199999992</v>
      </c>
      <c r="Q51" s="184">
        <f>IF(ISERR(VLOOKUP(VALUE(Q$44),'SA Data'!$C$3:$U$48,19,0)="TRUE"),0,VLOOKUP(VALUE(Q$44),'SA Data'!$C$3:$U$48,19,0))</f>
        <v>45818.869999999988</v>
      </c>
      <c r="R51" s="184">
        <f>IF(ISERR(VLOOKUP(VALUE(R$44),'SA Data'!$C$3:$U$48,19,0)="TRUE"),0,VLOOKUP(VALUE(R$44),'SA Data'!$C$3:$U$48,19,0))</f>
        <v>0</v>
      </c>
      <c r="S51" s="184">
        <f>IF(ISERR(VLOOKUP(VALUE(S$44),'SA Data'!$C$3:$U$48,19,0)="TRUE"),0,VLOOKUP(VALUE(S$44),'SA Data'!$C$3:$U$48,19,0))</f>
        <v>215075.74</v>
      </c>
      <c r="T51" s="184">
        <f>IF(ISERR(VLOOKUP(VALUE(T$44),'SA Data'!$C$3:$U$48,19,0)="TRUE"),0,VLOOKUP(VALUE(T$44),'SA Data'!$C$3:$U$48,19,0))</f>
        <v>14939.41</v>
      </c>
      <c r="U51" s="184">
        <f>IF(ISERR(VLOOKUP(VALUE(U$44),'SA Data'!$C$3:$U$48,19,0)="TRUE"),0,VLOOKUP(VALUE(U$44),'SA Data'!$C$3:$U$48,19,0))</f>
        <v>190815.43</v>
      </c>
      <c r="V51" s="184">
        <f>IF(ISERR(VLOOKUP(VALUE(V$44),'SA Data'!$C$3:$U$48,19,0)="TRUE"),0,VLOOKUP(VALUE(V$44),'SA Data'!$C$3:$U$48,19,0))</f>
        <v>0</v>
      </c>
      <c r="W51" s="184">
        <f>IF(ISERR(VLOOKUP(VALUE(W$44),'SA Data'!$C$3:$U$48,19,0)="TRUE"),0,VLOOKUP(VALUE(W$44),'SA Data'!$C$3:$U$48,19,0))</f>
        <v>6707.62</v>
      </c>
      <c r="X51" s="184">
        <f>IF(ISERR(VLOOKUP(VALUE(X$44),'SA Data'!$C$3:$U$48,19,0)="TRUE"),0,VLOOKUP(VALUE(X$44),'SA Data'!$C$3:$U$48,19,0))</f>
        <v>4305.45</v>
      </c>
      <c r="Y51" s="184">
        <f>IF(ISERR(VLOOKUP(VALUE(Y$44),'SA Data'!$C$3:$U$48,19,0)="TRUE"),0,VLOOKUP(VALUE(Y$44),'SA Data'!$C$3:$U$48,19,0))</f>
        <v>538325.19999999995</v>
      </c>
      <c r="Z51" s="184">
        <f>IF(ISERR(VLOOKUP(VALUE(Z$44),'SA Data'!$C$3:$U$48,19,0)="TRUE"),0,VLOOKUP(VALUE(Z$44),'SA Data'!$C$3:$U$48,19,0))</f>
        <v>0</v>
      </c>
      <c r="AA51" s="184">
        <f>IF(ISERR(VLOOKUP(VALUE(AA$44),'SA Data'!$C$3:$U$48,19,0)="TRUE"),0,VLOOKUP(VALUE(AA$44),'SA Data'!$C$3:$U$48,19,0))</f>
        <v>6955.38</v>
      </c>
      <c r="AB51" s="184">
        <f>IF(ISERR(VLOOKUP(VALUE(AB$44),'SA Data'!$C$3:$U$48,19,0)="TRUE"),0,VLOOKUP(VALUE(AB$44),'SA Data'!$C$3:$U$48,19,0))</f>
        <v>174862.09000000003</v>
      </c>
      <c r="AC51" s="184">
        <f>IF(ISERR(VLOOKUP(VALUE(AC$44),'SA Data'!$C$3:$U$48,19,0)="TRUE"),0,VLOOKUP(VALUE(AC$44),'SA Data'!$C$3:$U$48,19,0))</f>
        <v>13429.42</v>
      </c>
      <c r="AD51" s="184">
        <f>IF(ISERR(VLOOKUP(VALUE(AD$44),'SA Data'!$C$3:$U$48,19,0)="TRUE"),0,VLOOKUP(VALUE(AD$44),'SA Data'!$C$3:$U$48,19,0))</f>
        <v>0</v>
      </c>
      <c r="AE51" s="184">
        <f>IF(ISERR(VLOOKUP(VALUE(AE$44),'SA Data'!$C$3:$U$48,19,0)="TRUE"),0,VLOOKUP(VALUE(AE$44),'SA Data'!$C$3:$U$48,19,0))</f>
        <v>4138.7300000000005</v>
      </c>
      <c r="AF51" s="184">
        <f>IF(ISERR(VLOOKUP(VALUE(AF$44),'SA Data'!$C$3:$U$48,19,0)="TRUE"),0,VLOOKUP(VALUE(AF$44),'SA Data'!$C$3:$U$48,19,0))</f>
        <v>0</v>
      </c>
      <c r="AG51" s="184">
        <f>IF(ISERR(VLOOKUP(VALUE(AG$44),'SA Data'!$C$3:$U$48,19,0)="TRUE"),0,VLOOKUP(VALUE(AG$44),'SA Data'!$C$3:$U$48,19,0))</f>
        <v>287164.90999999992</v>
      </c>
      <c r="AH51" s="184">
        <f>IF(ISERR(VLOOKUP(VALUE(AH$44),'SA Data'!$C$3:$U$48,19,0)="TRUE"),0,VLOOKUP(VALUE(AH$44),'SA Data'!$C$3:$U$48,19,0))</f>
        <v>0</v>
      </c>
      <c r="AI51" s="184">
        <f>IF(ISERR(VLOOKUP(VALUE(AI$44),'SA Data'!$C$3:$U$48,19,0)="TRUE"),0,VLOOKUP(VALUE(AI$44),'SA Data'!$C$3:$U$48,19,0))</f>
        <v>0</v>
      </c>
      <c r="AJ51" s="184">
        <f>IF(ISERR(VLOOKUP(VALUE(AJ$44),'SA Data'!$C$3:$U$48,19,0)="TRUE"),0,VLOOKUP(VALUE(AJ$44),'SA Data'!$C$3:$U$48,19,0))</f>
        <v>1578874.63</v>
      </c>
      <c r="AK51" s="184">
        <f>IF(ISERR(VLOOKUP(VALUE(AK$44),'SA Data'!$C$3:$U$48,19,0)="TRUE"),0,VLOOKUP(VALUE(AK$44),'SA Data'!$C$3:$U$48,19,0))</f>
        <v>70425.3</v>
      </c>
      <c r="AL51" s="184">
        <f>IF(ISERR(VLOOKUP(VALUE(AL$44),'SA Data'!$C$3:$U$48,19,0)="TRUE"),0,VLOOKUP(VALUE(AL$44),'SA Data'!$C$3:$U$48,19,0))</f>
        <v>131.82</v>
      </c>
      <c r="AM51" s="184">
        <f>IF(ISERR(VLOOKUP(VALUE(AM$44),'SA Data'!$C$3:$U$48,19,0)="TRUE"),0,VLOOKUP(VALUE(AM$44),'SA Data'!$C$3:$U$48,19,0))</f>
        <v>0</v>
      </c>
      <c r="AN51" s="184">
        <f>IF(ISERR(VLOOKUP(VALUE(AN$44),'SA Data'!$C$3:$U$48,19,0)="TRUE"),0,VLOOKUP(VALUE(AN$44),'SA Data'!$C$3:$U$48,19,0))</f>
        <v>0</v>
      </c>
      <c r="AO51" s="184">
        <f>IF(ISERR(VLOOKUP(VALUE(AO$44),'SA Data'!$C$3:$U$48,19,0)="TRUE"),0,VLOOKUP(VALUE(AO$44),'SA Data'!$C$3:$U$48,19,0))</f>
        <v>0</v>
      </c>
      <c r="AP51" s="184">
        <f>IF(ISERR(VLOOKUP(VALUE(AP$44),'SA Data'!$C$3:$U$48,19,0)="TRUE"),0,VLOOKUP(VALUE(AP$44),'SA Data'!$C$3:$U$48,19,0))</f>
        <v>0</v>
      </c>
      <c r="AQ51" s="184">
        <f>IF(ISERR(VLOOKUP(VALUE(AQ$44),'SA Data'!$C$3:$U$48,19,0)="TRUE"),0,VLOOKUP(VALUE(AQ$44),'SA Data'!$C$3:$U$48,19,0))</f>
        <v>0</v>
      </c>
      <c r="AR51" s="184">
        <f>IF(ISERR(VLOOKUP(VALUE(AR$44),'SA Data'!$C$3:$U$48,19,0)="TRUE"),0,VLOOKUP(VALUE(AR$44),'SA Data'!$C$3:$U$48,19,0))</f>
        <v>0</v>
      </c>
      <c r="AS51" s="184">
        <f>IF(ISERR(VLOOKUP(VALUE(AS$44),'SA Data'!$C$3:$U$48,19,0)="TRUE"),0,VLOOKUP(VALUE(AS$44),'SA Data'!$C$3:$U$48,19,0))</f>
        <v>0</v>
      </c>
      <c r="AT51" s="184">
        <f>IF(ISERR(VLOOKUP(VALUE(AT$44),'SA Data'!$C$3:$U$48,19,0)="TRUE"),0,VLOOKUP(VALUE(AT$44),'SA Data'!$C$3:$U$48,19,0))</f>
        <v>0</v>
      </c>
      <c r="AU51" s="184">
        <f>IF(ISERR(VLOOKUP(VALUE(AU$44),'SA Data'!$C$3:$U$48,19,0)="TRUE"),0,VLOOKUP(VALUE(AU$44),'SA Data'!$C$3:$U$48,19,0))</f>
        <v>0</v>
      </c>
      <c r="AV51" s="184">
        <f>IF(ISERR(VLOOKUP(VALUE(AV$44),'SA Data'!$C$3:$U$48,19,0)="TRUE"),0,VLOOKUP(VALUE(AV$44),'SA Data'!$C$3:$U$48,19,0))</f>
        <v>17742.509999999998</v>
      </c>
      <c r="AW51" s="184">
        <f>IF(ISERR(VLOOKUP(VALUE(AW$44),'SA Data'!$C$3:$U$48,19,0)="TRUE"),0,VLOOKUP(VALUE(AW$44),'SA Data'!$C$3:$U$48,19,0))</f>
        <v>0</v>
      </c>
      <c r="AX51" s="184">
        <f>IF(ISERR(VLOOKUP(VALUE(AX$44),'SA Data'!$C$3:$U$48,19,0)="TRUE"),0,VLOOKUP(VALUE(AX$44),'SA Data'!$C$3:$U$48,19,0))</f>
        <v>0</v>
      </c>
      <c r="AY51" s="184">
        <f>IF(ISERR(VLOOKUP(VALUE(AY$44),'SA Data'!$C$3:$U$48,19,0)="TRUE"),0,VLOOKUP(VALUE(AY$44),'SA Data'!$C$3:$U$48,19,0))</f>
        <v>0</v>
      </c>
      <c r="AZ51" s="184">
        <f>IF(ISERR(VLOOKUP(VALUE(AZ$44),'SA Data'!$C$3:$U$48,19,0)="TRUE"),0,VLOOKUP(VALUE(AZ$44),'SA Data'!$C$3:$U$48,19,0))</f>
        <v>200576.25</v>
      </c>
      <c r="BA51" s="184">
        <f>IF(ISERR(VLOOKUP(VALUE(BA$44),'SA Data'!$C$3:$U$48,19,0)="TRUE"),0,VLOOKUP(VALUE(BA$44),'SA Data'!$C$3:$U$48,19,0))</f>
        <v>12683.819999999998</v>
      </c>
      <c r="BB51" s="184">
        <f>IF(ISERR(VLOOKUP(VALUE(BB$44),'SA Data'!$C$3:$U$48,19,0)="TRUE"),0,VLOOKUP(VALUE(BB$44),'SA Data'!$C$3:$U$48,19,0))</f>
        <v>0</v>
      </c>
      <c r="BC51" s="184">
        <f>IF(ISERR(VLOOKUP(VALUE(BC$44),'SA Data'!$C$3:$U$48,19,0)="TRUE"),0,VLOOKUP(VALUE(BC$44),'SA Data'!$C$3:$U$48,19,0))</f>
        <v>0</v>
      </c>
      <c r="BD51" s="184">
        <f>IF(ISERR(VLOOKUP(VALUE(BD$44),'SA Data'!$C$3:$U$48,19,0)="TRUE"),0,VLOOKUP(VALUE(BD$44),'SA Data'!$C$3:$U$48,19,0))</f>
        <v>0</v>
      </c>
      <c r="BE51" s="184">
        <f>IF(ISERR(VLOOKUP(VALUE(BE$44),'SA Data'!$C$3:$U$48,19,0)="TRUE"),0,VLOOKUP(VALUE(BE$44),'SA Data'!$C$3:$U$48,19,0))</f>
        <v>247539.13999999996</v>
      </c>
      <c r="BF51" s="184">
        <f>IF(ISERR(VLOOKUP(VALUE(BF$44),'SA Data'!$C$3:$U$48,19,0)="TRUE"),0,VLOOKUP(VALUE(BF$44),'SA Data'!$C$3:$U$48,19,0))</f>
        <v>50731.38</v>
      </c>
      <c r="BG51" s="184">
        <f>IF(ISERR(VLOOKUP(VALUE(BG$44),'SA Data'!$C$3:$U$48,19,0)="TRUE"),0,VLOOKUP(VALUE(BG$44),'SA Data'!$C$3:$U$48,19,0))</f>
        <v>0</v>
      </c>
      <c r="BH51" s="184">
        <f>IF(ISERR(VLOOKUP(VALUE(BH$44),'SA Data'!$C$3:$U$48,19,0)="TRUE"),0,VLOOKUP(VALUE(BH$44),'SA Data'!$C$3:$U$48,19,0))</f>
        <v>0</v>
      </c>
      <c r="BI51" s="184">
        <f>IF(ISERR(VLOOKUP(VALUE(BI$44),'SA Data'!$C$3:$U$48,19,0)="TRUE"),0,VLOOKUP(VALUE(BI$44),'SA Data'!$C$3:$U$48,19,0))</f>
        <v>8942.4399999999987</v>
      </c>
      <c r="BJ51" s="184">
        <f>IF(ISERR(VLOOKUP(VALUE(BJ$44),'SA Data'!$C$3:$U$48,19,0)="TRUE"),0,VLOOKUP(VALUE(BJ$44),'SA Data'!$C$3:$U$48,19,0))</f>
        <v>0</v>
      </c>
      <c r="BK51" s="184">
        <f>IF(ISERR(VLOOKUP(VALUE(BK$44),'SA Data'!$C$3:$U$48,19,0)="TRUE"),0,VLOOKUP(VALUE(BK$44),'SA Data'!$C$3:$U$48,19,0))</f>
        <v>0</v>
      </c>
      <c r="BL51" s="184">
        <f>IF(ISERR(VLOOKUP(VALUE(BL$44),'SA Data'!$C$3:$U$48,19,0)="TRUE"),0,VLOOKUP(VALUE(BL$44),'SA Data'!$C$3:$U$48,19,0))</f>
        <v>19992.489999999998</v>
      </c>
      <c r="BM51" s="184">
        <f>IF(ISERR(VLOOKUP(VALUE(BM$44),'SA Data'!$C$3:$U$48,19,0)="TRUE"),0,VLOOKUP(VALUE(BM$44),'SA Data'!$C$3:$U$48,19,0))</f>
        <v>0</v>
      </c>
      <c r="BN51" s="184">
        <f>IF(ISERR(VLOOKUP(VALUE(BN$44),'SA Data'!$C$3:$U$48,19,0)="TRUE"),0,VLOOKUP(VALUE(BN$44),'SA Data'!$C$3:$U$48,19,0))</f>
        <v>859444.37</v>
      </c>
      <c r="BO51" s="184">
        <f>IF(ISERR(VLOOKUP(VALUE(BO$44),'SA Data'!$C$3:$U$48,19,0)="TRUE"),0,VLOOKUP(VALUE(BO$44),'SA Data'!$C$3:$U$48,19,0))</f>
        <v>0</v>
      </c>
      <c r="BP51" s="184">
        <f>IF(ISERR(VLOOKUP(VALUE(BP$44),'SA Data'!$C$3:$U$48,19,0)="TRUE"),0,VLOOKUP(VALUE(BP$44),'SA Data'!$C$3:$U$48,19,0))</f>
        <v>0</v>
      </c>
      <c r="BQ51" s="184">
        <f>IF(ISERR(VLOOKUP(VALUE(BQ$44),'SA Data'!$C$3:$U$48,19,0)="TRUE"),0,VLOOKUP(VALUE(BQ$44),'SA Data'!$C$3:$U$48,19,0))</f>
        <v>0</v>
      </c>
      <c r="BR51" s="184">
        <f>IF(ISERR(VLOOKUP(VALUE(BR$44),'SA Data'!$C$3:$U$48,19,0)="TRUE"),0,VLOOKUP(VALUE(BR$44),'SA Data'!$C$3:$U$48,19,0))</f>
        <v>0</v>
      </c>
      <c r="BS51" s="184">
        <f>IF(ISERR(VLOOKUP(VALUE(BS$44),'SA Data'!$C$3:$U$48,19,0)="TRUE"),0,VLOOKUP(VALUE(BS$44),'SA Data'!$C$3:$U$48,19,0))</f>
        <v>0</v>
      </c>
      <c r="BT51" s="184">
        <f>IF(ISERR(VLOOKUP(VALUE(BT$44),'SA Data'!$C$3:$U$48,19,0)="TRUE"),0,VLOOKUP(VALUE(BT$44),'SA Data'!$C$3:$U$48,19,0))</f>
        <v>0</v>
      </c>
      <c r="BU51" s="184">
        <f>IF(ISERR(VLOOKUP(VALUE(BU$44),'SA Data'!$C$3:$U$48,19,0)="TRUE"),0,VLOOKUP(VALUE(BU$44),'SA Data'!$C$3:$U$48,19,0))</f>
        <v>0</v>
      </c>
      <c r="BV51" s="184">
        <f>IF(ISERR(VLOOKUP(VALUE(BV$44),'SA Data'!$C$3:$U$48,19,0)="TRUE"),0,VLOOKUP(VALUE(BV$44),'SA Data'!$C$3:$U$48,19,0))</f>
        <v>0</v>
      </c>
      <c r="BW51" s="184">
        <f>IF(ISERR(VLOOKUP(VALUE(BW$44),'SA Data'!$C$3:$U$48,19,0)="TRUE"),0,VLOOKUP(VALUE(BW$44),'SA Data'!$C$3:$U$48,19,0))</f>
        <v>0</v>
      </c>
      <c r="BX51" s="184">
        <f>IF(ISERR(VLOOKUP(VALUE(BX$44),'SA Data'!$C$3:$U$48,19,0)="TRUE"),0,VLOOKUP(VALUE(BX$44),'SA Data'!$C$3:$U$48,19,0))</f>
        <v>0</v>
      </c>
      <c r="BY51" s="184">
        <f>IF(ISERR(VLOOKUP(VALUE(BY$44),'SA Data'!$C$3:$U$48,19,0)="TRUE"),0,VLOOKUP(VALUE(BY$44),'SA Data'!$C$3:$U$48,19,0))+8</f>
        <v>1613.39</v>
      </c>
      <c r="BZ51" s="184">
        <f>IF(ISERR(VLOOKUP(VALUE(BZ$44),'SA Data'!$C$3:$U$48,19,0)="TRUE"),0,VLOOKUP(VALUE(BZ$44),'SA Data'!$C$3:$U$48,19,0))</f>
        <v>0</v>
      </c>
      <c r="CA51" s="184">
        <f>IF(ISERR(VLOOKUP(VALUE(CA$44),'SA Data'!$C$3:$U$48,19,0)="TRUE"),0,VLOOKUP(VALUE(CA$44),'SA Data'!$C$3:$U$48,19,0))</f>
        <v>0</v>
      </c>
      <c r="CB51" s="184">
        <f>IF(ISERR(VLOOKUP(VALUE(CB$44),'SA Data'!$C$3:$U$48,19,0)="TRUE"),0,VLOOKUP(VALUE(CB$44),'SA Data'!$C$3:$U$48,19,0))</f>
        <v>0</v>
      </c>
      <c r="CC51" s="184">
        <f>IF(ISERR(VLOOKUP(VALUE(CC$44),'SA Data'!$C$3:$U$48,19,0)="TRUE"),0,VLOOKUP(VALUE(CC$44),'SA Data'!$C$3:$U$48,19,0))</f>
        <v>0</v>
      </c>
      <c r="CD51" s="193"/>
      <c r="CE51" s="193">
        <f>SUM(C51:CD51)</f>
        <v>9281323.129999999</v>
      </c>
    </row>
    <row r="52" spans="1:84" ht="12.6" customHeight="1" x14ac:dyDescent="0.25">
      <c r="A52" s="171" t="s">
        <v>208</v>
      </c>
      <c r="B52" s="184">
        <v>3474932</v>
      </c>
      <c r="C52" s="193">
        <f>ROUND((B52/(CE76+CF76)*C76),0)</f>
        <v>169660</v>
      </c>
      <c r="D52" s="193">
        <f>ROUND((B52/(CE76+CF76)*D76),0)</f>
        <v>0</v>
      </c>
      <c r="E52" s="193">
        <f>ROUND((B52/(CE76+CF76)*E76),0)</f>
        <v>1017216</v>
      </c>
      <c r="F52" s="193">
        <f>ROUND((B52/(CE76+CF76)*F76),0)</f>
        <v>0</v>
      </c>
      <c r="G52" s="193">
        <f>ROUND((B52/(CE76+CF76)*G76),0)</f>
        <v>0</v>
      </c>
      <c r="H52" s="193">
        <f>ROUND((B52/(CE76+CF76)*H76),0)</f>
        <v>0</v>
      </c>
      <c r="I52" s="193">
        <f>ROUND((B52/(CE76+CF76)*I76),0)</f>
        <v>0</v>
      </c>
      <c r="J52" s="193">
        <f>ROUND((B52/(CE76+CF76)*J76),0)</f>
        <v>0</v>
      </c>
      <c r="K52" s="193">
        <f>ROUND((B52/(CE76+CF76)*K76),0)</f>
        <v>0</v>
      </c>
      <c r="L52" s="193">
        <f>ROUND((B52/(CE76+CF76)*L76),0)</f>
        <v>0</v>
      </c>
      <c r="M52" s="193">
        <f>ROUND((B52/(CE76+CF76)*M76),0)</f>
        <v>0</v>
      </c>
      <c r="N52" s="193">
        <f>ROUND((B52/(CE76+CF76)*N76),0)</f>
        <v>0</v>
      </c>
      <c r="O52" s="193">
        <f>ROUND((B52/(CE76+CF76)*O76),0)</f>
        <v>0</v>
      </c>
      <c r="P52" s="193">
        <f>ROUND((B52/(CE76+CF76)*P76),0)</f>
        <v>342441</v>
      </c>
      <c r="Q52" s="193">
        <f>ROUND((B52/(CE76+CF76)*Q76),0)</f>
        <v>44153</v>
      </c>
      <c r="R52" s="193">
        <f>ROUND((B52/(CE76+CF76)*R76),0)</f>
        <v>0</v>
      </c>
      <c r="S52" s="193">
        <f>ROUND((B52/(CE76+CF76)*S76),0)</f>
        <v>92451</v>
      </c>
      <c r="T52" s="193">
        <f>ROUND((B52/(CE76+CF76)*T76),0)</f>
        <v>0</v>
      </c>
      <c r="U52" s="193">
        <f>ROUND((B52/(CE76+CF76)*U76),0)</f>
        <v>88951</v>
      </c>
      <c r="V52" s="193">
        <f>ROUND((B52/(CE76+CF76)*V76),0)</f>
        <v>0</v>
      </c>
      <c r="W52" s="193">
        <f>ROUND((B52/(CE76+CF76)*W76),0)</f>
        <v>13413</v>
      </c>
      <c r="X52" s="193">
        <f>ROUND((B52/(CE76+CF76)*X76),0)</f>
        <v>11901</v>
      </c>
      <c r="Y52" s="193">
        <f>ROUND((B52/(CE76+CF76)*Y76),0)</f>
        <v>182817</v>
      </c>
      <c r="Z52" s="193">
        <f>ROUND((B52/(CE76+CF76)*Z76),0)</f>
        <v>0</v>
      </c>
      <c r="AA52" s="193">
        <f>ROUND((B52/(CE76+CF76)*AA76),0)</f>
        <v>0</v>
      </c>
      <c r="AB52" s="193">
        <f>ROUND((B52/(CE76+CF76)*AB76),0)</f>
        <v>34568</v>
      </c>
      <c r="AC52" s="193">
        <f>ROUND((B52/(CE76+CF76)*AC76),0)</f>
        <v>8011</v>
      </c>
      <c r="AD52" s="193">
        <f>ROUND((B52/(CE76+CF76)*AD76),0)</f>
        <v>0</v>
      </c>
      <c r="AE52" s="193">
        <f>ROUND((B52/(CE76+CF76)*AE76),0)</f>
        <v>70747</v>
      </c>
      <c r="AF52" s="193">
        <f>ROUND((B52/(CE76+CF76)*AF76),0)</f>
        <v>0</v>
      </c>
      <c r="AG52" s="193">
        <f>ROUND((B52/(CE76+CF76)*AG76),0)</f>
        <v>189060</v>
      </c>
      <c r="AH52" s="193">
        <f>ROUND((B52/(CE76+CF76)*AH76),0)</f>
        <v>0</v>
      </c>
      <c r="AI52" s="193">
        <f>ROUND((B52/(CE76+CF76)*AI76),0)</f>
        <v>0</v>
      </c>
      <c r="AJ52" s="193">
        <f>ROUND((B52/(CE76+CF76)*AJ76),0)</f>
        <v>0</v>
      </c>
      <c r="AK52" s="193">
        <f>ROUND((B52/(CE76+CF76)*AK76),0)</f>
        <v>0</v>
      </c>
      <c r="AL52" s="193">
        <f>ROUND((B52/(CE76+CF76)*AL76),0)</f>
        <v>0</v>
      </c>
      <c r="AM52" s="193">
        <f>ROUND((B52/(CE76+CF76)*AM76),0)</f>
        <v>0</v>
      </c>
      <c r="AN52" s="193">
        <f>ROUND((B52/(CE76+CF76)*AN76),0)</f>
        <v>0</v>
      </c>
      <c r="AO52" s="193">
        <f>ROUND((B52/(CE76+CF76)*AO76),0)</f>
        <v>0</v>
      </c>
      <c r="AP52" s="193">
        <f>ROUND((B52/(CE76+CF76)*AP76),0)</f>
        <v>0</v>
      </c>
      <c r="AQ52" s="193">
        <f>ROUND((B52/(CE76+CF76)*AQ76),0)</f>
        <v>0</v>
      </c>
      <c r="AR52" s="193">
        <f>ROUND((B52/(CE76+CF76)*AR76),0)</f>
        <v>0</v>
      </c>
      <c r="AS52" s="193">
        <f>ROUND((B52/(CE76+CF76)*AS76),0)</f>
        <v>0</v>
      </c>
      <c r="AT52" s="193">
        <f>ROUND((B52/(CE76+CF76)*AT76),0)</f>
        <v>0</v>
      </c>
      <c r="AU52" s="193">
        <f>ROUND((B52/(CE76+CF76)*AU76),0)</f>
        <v>0</v>
      </c>
      <c r="AV52" s="193">
        <f>ROUND((B52/(CE76+CF76)*AV76),0)</f>
        <v>0</v>
      </c>
      <c r="AW52" s="193">
        <f>ROUND((B52/(CE76+CF76)*AW76),0)</f>
        <v>0</v>
      </c>
      <c r="AX52" s="193">
        <f>ROUND((B52/(CE76+CF76)*AX76),0)</f>
        <v>0</v>
      </c>
      <c r="AY52" s="193">
        <f>ROUND((B52/(CE76+CF76)*AY76),0)</f>
        <v>15205</v>
      </c>
      <c r="AZ52" s="193">
        <f>ROUND((B52/(CE76+CF76)*AZ76),0)</f>
        <v>74088</v>
      </c>
      <c r="BA52" s="193">
        <f>ROUND((B52/(CE76+CF76)*BA76),0)</f>
        <v>10889</v>
      </c>
      <c r="BB52" s="193">
        <f>ROUND((B52/(CE76+CF76)*BB76),0)</f>
        <v>0</v>
      </c>
      <c r="BC52" s="193">
        <f>ROUND((B52/(CE76+CF76)*BC76),0)</f>
        <v>0</v>
      </c>
      <c r="BD52" s="193">
        <f>ROUND((B52/(CE76+CF76)*BD76),0)</f>
        <v>0</v>
      </c>
      <c r="BE52" s="193">
        <f>ROUND((B52/(CE76+CF76)*BE76),0)</f>
        <v>232011</v>
      </c>
      <c r="BF52" s="193">
        <f>ROUND((B52/(CE76+CF76)*BF76),0)</f>
        <v>8901</v>
      </c>
      <c r="BG52" s="193">
        <f>ROUND((B52/(CE76+CF76)*BG76),0)</f>
        <v>0</v>
      </c>
      <c r="BH52" s="193">
        <f>ROUND((B52/(CE76+CF76)*BH76),0)</f>
        <v>0</v>
      </c>
      <c r="BI52" s="193">
        <f>ROUND((B52/(CE76+CF76)*BI76),0)</f>
        <v>8218</v>
      </c>
      <c r="BJ52" s="193">
        <f>ROUND((B52/(CE76+CF76)*BJ76),0)</f>
        <v>0</v>
      </c>
      <c r="BK52" s="193">
        <f>ROUND((B52/(CE76+CF76)*BK76),0)</f>
        <v>0</v>
      </c>
      <c r="BL52" s="193">
        <f>ROUND((B52/(CE76+CF76)*BL76),0)</f>
        <v>0</v>
      </c>
      <c r="BM52" s="193">
        <f>ROUND((B52/(CE76+CF76)*BM76),0)</f>
        <v>0</v>
      </c>
      <c r="BN52" s="193">
        <f>ROUND((B52/(CE76+CF76)*BN76),0)</f>
        <v>847178</v>
      </c>
      <c r="BO52" s="193">
        <f>ROUND((B52/(CE76+CF76)*BO76),0)</f>
        <v>0</v>
      </c>
      <c r="BP52" s="193">
        <f>ROUND((B52/(CE76+CF76)*BP76),0)</f>
        <v>0</v>
      </c>
      <c r="BQ52" s="193">
        <f>ROUND((B52/(CE76+CF76)*BQ76),0)</f>
        <v>0</v>
      </c>
      <c r="BR52" s="193">
        <f>ROUND((B52/(CE76+CF76)*BR76),0)</f>
        <v>0</v>
      </c>
      <c r="BS52" s="193">
        <f>ROUND((B52/(CE76+CF76)*BS76),0)</f>
        <v>0</v>
      </c>
      <c r="BT52" s="193">
        <f>ROUND((B52/(CE76+CF76)*BT76),0)</f>
        <v>0</v>
      </c>
      <c r="BU52" s="193">
        <f>ROUND((B52/(CE76+CF76)*BU76),0)</f>
        <v>0</v>
      </c>
      <c r="BV52" s="193">
        <f>ROUND((B52/(CE76+CF76)*BV76),0)</f>
        <v>11340</v>
      </c>
      <c r="BW52" s="193">
        <f>ROUND((B52/(CE76+CF76)*BW76),0)</f>
        <v>0</v>
      </c>
      <c r="BX52" s="193">
        <f>ROUND((B52/(CE76+CF76)*BX76),0)</f>
        <v>0</v>
      </c>
      <c r="BY52" s="193">
        <f>ROUND((B52/(CE76+CF76)*BY76),0)</f>
        <v>1707</v>
      </c>
      <c r="BZ52" s="193">
        <f>ROUND((B52/(CE76+CF76)*BZ76),0)</f>
        <v>0</v>
      </c>
      <c r="CA52" s="193">
        <f>ROUND((B52/(CE76+CF76)*CA76),0)</f>
        <v>0</v>
      </c>
      <c r="CB52" s="193">
        <f>ROUND((B52/(CE76+CF76)*CB76),0)</f>
        <v>0</v>
      </c>
      <c r="CC52" s="193">
        <f>ROUND((B52/(CE76+CF76)*CC76),0)</f>
        <v>0</v>
      </c>
      <c r="CD52" s="193"/>
      <c r="CE52" s="193">
        <f>SUM(C52:CD52)</f>
        <v>3474926</v>
      </c>
    </row>
    <row r="53" spans="1:84" ht="12.6" customHeight="1" x14ac:dyDescent="0.25">
      <c r="A53" s="175" t="s">
        <v>206</v>
      </c>
      <c r="B53" s="193">
        <f>B51+B52</f>
        <v>12756247</v>
      </c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</row>
    <row r="54" spans="1:84" ht="15.75" customHeight="1" x14ac:dyDescent="0.25">
      <c r="A54" s="175"/>
      <c r="B54" s="175"/>
      <c r="C54" s="189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184">
        <v>4655</v>
      </c>
      <c r="D59" s="184">
        <v>0</v>
      </c>
      <c r="E59" s="184">
        <v>20552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>
        <v>526663</v>
      </c>
      <c r="Q59" s="185">
        <v>18301</v>
      </c>
      <c r="R59" s="185">
        <v>0</v>
      </c>
      <c r="S59" s="244"/>
      <c r="T59" s="244"/>
      <c r="U59" s="220">
        <v>340068</v>
      </c>
      <c r="V59" s="185">
        <v>0</v>
      </c>
      <c r="W59" s="185">
        <v>3819</v>
      </c>
      <c r="X59" s="185">
        <v>15563</v>
      </c>
      <c r="Y59" s="185">
        <v>95539</v>
      </c>
      <c r="Z59" s="185">
        <v>0</v>
      </c>
      <c r="AA59" s="185">
        <v>1601</v>
      </c>
      <c r="AB59" s="244"/>
      <c r="AC59" s="185">
        <v>22619</v>
      </c>
      <c r="AD59" s="185">
        <v>0</v>
      </c>
      <c r="AE59" s="185">
        <v>47139</v>
      </c>
      <c r="AF59" s="185">
        <v>0</v>
      </c>
      <c r="AG59" s="185">
        <v>29605</v>
      </c>
      <c r="AH59" s="185">
        <v>0</v>
      </c>
      <c r="AI59" s="185">
        <v>0</v>
      </c>
      <c r="AJ59" s="185">
        <f>5754+160451.5</f>
        <v>166205.5</v>
      </c>
      <c r="AK59" s="185">
        <v>12578</v>
      </c>
      <c r="AL59" s="185">
        <v>1798</v>
      </c>
      <c r="AM59" s="185">
        <v>0</v>
      </c>
      <c r="AN59" s="185">
        <v>0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4"/>
      <c r="AW59" s="244"/>
      <c r="AX59" s="244"/>
      <c r="AY59" s="185">
        <v>110236</v>
      </c>
      <c r="AZ59" s="185">
        <v>237068</v>
      </c>
      <c r="BA59" s="244"/>
      <c r="BB59" s="244"/>
      <c r="BC59" s="244"/>
      <c r="BD59" s="244"/>
      <c r="BE59" s="185">
        <v>284983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3"/>
    </row>
    <row r="60" spans="1:84" ht="12.6" customHeight="1" x14ac:dyDescent="0.25">
      <c r="A60" s="246" t="s">
        <v>234</v>
      </c>
      <c r="B60" s="175"/>
      <c r="C60" s="184">
        <f>IF(ISERR(VLOOKUP(VALUE(C$44),'SA Data'!$C$61:$F$87,4,0)="TRUE"),0,VLOOKUP(VALUE(C$44),'SA Data'!$C$61:$F$87,4,0))</f>
        <v>42.52</v>
      </c>
      <c r="D60" s="184">
        <f>IF(ISERR(VLOOKUP(VALUE(D$44),'SA Data'!$C$61:$F$87,4,0)="TRUE"),0,VLOOKUP(VALUE(D$44),'SA Data'!$C$61:$F$87,4,0))</f>
        <v>0</v>
      </c>
      <c r="E60" s="184">
        <f>IF(ISERR(VLOOKUP(VALUE(E$44),'SA Data'!$C$61:$F$87,4,0)="TRUE"),0,VLOOKUP(VALUE(E$44),'SA Data'!$C$61:$F$87,4,0))</f>
        <v>154.59115865384615</v>
      </c>
      <c r="F60" s="184">
        <f>IF(ISERR(VLOOKUP(VALUE(F$44),'SA Data'!$C$61:$F$87,4,0)="TRUE"),0,VLOOKUP(VALUE(F$44),'SA Data'!$C$61:$F$87,4,0))</f>
        <v>0</v>
      </c>
      <c r="G60" s="184">
        <f>IF(ISERR(VLOOKUP(VALUE(G$44),'SA Data'!$C$61:$F$87,4,0)="TRUE"),0,VLOOKUP(VALUE(G$44),'SA Data'!$C$61:$F$87,4,0))</f>
        <v>0</v>
      </c>
      <c r="H60" s="184">
        <f>IF(ISERR(VLOOKUP(VALUE(H$44),'SA Data'!$C$61:$F$87,4,0)="TRUE"),0,VLOOKUP(VALUE(H$44),'SA Data'!$C$61:$F$87,4,0))</f>
        <v>0</v>
      </c>
      <c r="I60" s="184">
        <f>IF(ISERR(VLOOKUP(VALUE(I$44),'SA Data'!$C$61:$F$87,4,0)="TRUE"),0,VLOOKUP(VALUE(I$44),'SA Data'!$C$61:$F$87,4,0))</f>
        <v>0</v>
      </c>
      <c r="J60" s="184">
        <f>IF(ISERR(VLOOKUP(VALUE(J$44),'SA Data'!$C$61:$F$87,4,0)="TRUE"),0,VLOOKUP(VALUE(J$44),'SA Data'!$C$61:$F$87,4,0))</f>
        <v>0</v>
      </c>
      <c r="K60" s="184">
        <f>IF(ISERR(VLOOKUP(VALUE(K$44),'SA Data'!$C$61:$F$87,4,0)="TRUE"),0,VLOOKUP(VALUE(K$44),'SA Data'!$C$61:$F$87,4,0))</f>
        <v>0</v>
      </c>
      <c r="L60" s="184">
        <f>IF(ISERR(VLOOKUP(VALUE(L$44),'SA Data'!$C$61:$F$87,4,0)="TRUE"),0,VLOOKUP(VALUE(L$44),'SA Data'!$C$61:$F$87,4,0))</f>
        <v>0</v>
      </c>
      <c r="M60" s="184">
        <f>IF(ISERR(VLOOKUP(VALUE(M$44),'SA Data'!$C$61:$F$87,4,0)="TRUE"),0,VLOOKUP(VALUE(M$44),'SA Data'!$C$61:$F$87,4,0))</f>
        <v>0</v>
      </c>
      <c r="N60" s="184">
        <f>IF(ISERR(VLOOKUP(VALUE(N$44),'SA Data'!$C$61:$F$87,4,0)="TRUE"),0,VLOOKUP(VALUE(N$44),'SA Data'!$C$61:$F$87,4,0))</f>
        <v>0</v>
      </c>
      <c r="O60" s="184">
        <f>IF(ISERR(VLOOKUP(VALUE(O$44),'SA Data'!$C$61:$F$87,4,0)="TRUE"),0,VLOOKUP(VALUE(O$44),'SA Data'!$C$61:$F$87,4,0))</f>
        <v>0</v>
      </c>
      <c r="P60" s="184">
        <f>IF(ISERR(VLOOKUP(VALUE(P$44),'SA Data'!$C$61:$F$87,4,0)="TRUE"),0,VLOOKUP(VALUE(P$44),'SA Data'!$C$61:$F$87,4,0))</f>
        <v>35.915456730769236</v>
      </c>
      <c r="Q60" s="184">
        <f>IF(ISERR(VLOOKUP(VALUE(Q$44),'SA Data'!$C$61:$F$87,4,0)="TRUE"),0,VLOOKUP(VALUE(Q$44),'SA Data'!$C$61:$F$87,4,0))</f>
        <v>24.72447596153846</v>
      </c>
      <c r="R60" s="184">
        <f>IF(ISERR(VLOOKUP(VALUE(R$44),'SA Data'!$C$61:$F$87,4,0)="TRUE"),0,VLOOKUP(VALUE(R$44),'SA Data'!$C$61:$F$87,4,0))</f>
        <v>0</v>
      </c>
      <c r="S60" s="184">
        <f>IF(ISERR(VLOOKUP(VALUE(S$44),'SA Data'!$C$61:$F$87,4,0)="TRUE"),0,VLOOKUP(VALUE(S$44),'SA Data'!$C$61:$F$87,4,0))</f>
        <v>15.603336538461537</v>
      </c>
      <c r="T60" s="184">
        <f>IF(ISERR(VLOOKUP(VALUE(T$44),'SA Data'!$C$61:$F$87,4,0)="TRUE"),0,VLOOKUP(VALUE(T$44),'SA Data'!$C$61:$F$87,4,0))</f>
        <v>5.5740480769230771</v>
      </c>
      <c r="U60" s="184">
        <f>IF(ISERR(VLOOKUP(VALUE(U$44),'SA Data'!$C$61:$F$87,4,0)="TRUE"),0,VLOOKUP(VALUE(U$44),'SA Data'!$C$61:$F$87,4,0))</f>
        <v>18.863865384615387</v>
      </c>
      <c r="V60" s="184">
        <f>IF(ISERR(VLOOKUP(VALUE(V$44),'SA Data'!$C$61:$F$87,4,0)="TRUE"),0,VLOOKUP(VALUE(V$44),'SA Data'!$C$61:$F$87,4,0))</f>
        <v>0</v>
      </c>
      <c r="W60" s="184">
        <f>IF(ISERR(VLOOKUP(VALUE(W$44),'SA Data'!$C$61:$F$87,4,0)="TRUE"),0,VLOOKUP(VALUE(W$44),'SA Data'!$C$61:$F$87,4,0))</f>
        <v>3.7112211538461537</v>
      </c>
      <c r="X60" s="184">
        <f>IF(ISERR(VLOOKUP(VALUE(X$44),'SA Data'!$C$61:$F$87,4,0)="TRUE"),0,VLOOKUP(VALUE(X$44),'SA Data'!$C$61:$F$87,4,0))</f>
        <v>6.2812740384615378</v>
      </c>
      <c r="Y60" s="184">
        <f>IF(ISERR(VLOOKUP(VALUE(Y$44),'SA Data'!$C$61:$F$87,4,0)="TRUE"),0,VLOOKUP(VALUE(Y$44),'SA Data'!$C$61:$F$87,4,0))</f>
        <v>20.257798076923081</v>
      </c>
      <c r="Z60" s="184">
        <f>IF(ISERR(VLOOKUP(VALUE(Z$44),'SA Data'!$C$61:$F$87,4,0)="TRUE"),0,VLOOKUP(VALUE(Z$44),'SA Data'!$C$61:$F$87,4,0))</f>
        <v>0</v>
      </c>
      <c r="AA60" s="184">
        <f>IF(ISERR(VLOOKUP(VALUE(AA$44),'SA Data'!$C$61:$F$87,4,0)="TRUE"),0,VLOOKUP(VALUE(AA$44),'SA Data'!$C$61:$F$87,4,0))</f>
        <v>2.4955913461538461</v>
      </c>
      <c r="AB60" s="184">
        <f>IF(ISERR(VLOOKUP(VALUE(AB$44),'SA Data'!$C$61:$F$87,4,0)="TRUE"),0,VLOOKUP(VALUE(AB$44),'SA Data'!$C$61:$F$87,4,0))</f>
        <v>26.926254807692306</v>
      </c>
      <c r="AC60" s="184">
        <f>IF(ISERR(VLOOKUP(VALUE(AC$44),'SA Data'!$C$61:$F$87,4,0)="TRUE"),0,VLOOKUP(VALUE(AC$44),'SA Data'!$C$61:$F$87,4,0))</f>
        <v>12.961567307692306</v>
      </c>
      <c r="AD60" s="184">
        <f>IF(ISERR(VLOOKUP(VALUE(AD$44),'SA Data'!$C$61:$F$87,4,0)="TRUE"),0,VLOOKUP(VALUE(AD$44),'SA Data'!$C$61:$F$87,4,0))</f>
        <v>0</v>
      </c>
      <c r="AE60" s="184">
        <f>IF(ISERR(VLOOKUP(VALUE(AE$44),'SA Data'!$C$61:$F$87,4,0)="TRUE"),0,VLOOKUP(VALUE(AE$44),'SA Data'!$C$61:$F$87,4,0))</f>
        <v>10.834326923076924</v>
      </c>
      <c r="AF60" s="184">
        <f>IF(ISERR(VLOOKUP(VALUE(AF$44),'SA Data'!$C$61:$F$87,4,0)="TRUE"),0,VLOOKUP(VALUE(AF$44),'SA Data'!$C$61:$F$87,4,0))</f>
        <v>0</v>
      </c>
      <c r="AG60" s="184">
        <f>IF(ISERR(VLOOKUP(VALUE(AG$44),'SA Data'!$C$61:$F$87,4,0)="TRUE"),0,VLOOKUP(VALUE(AG$44),'SA Data'!$C$61:$F$87,4,0))</f>
        <v>40.921374999999998</v>
      </c>
      <c r="AH60" s="184">
        <f>IF(ISERR(VLOOKUP(VALUE(AH$44),'SA Data'!$C$61:$F$87,4,0)="TRUE"),0,VLOOKUP(VALUE(AH$44),'SA Data'!$C$61:$F$87,4,0))</f>
        <v>0</v>
      </c>
      <c r="AI60" s="184">
        <f>IF(ISERR(VLOOKUP(VALUE(AI$44),'SA Data'!$C$61:$F$87,4,0)="TRUE"),0,VLOOKUP(VALUE(AI$44),'SA Data'!$C$61:$F$87,4,0))</f>
        <v>0</v>
      </c>
      <c r="AJ60" s="184">
        <f>IF(ISERR(VLOOKUP(VALUE(AJ$44),'SA Data'!$C$61:$F$87,4,0)="TRUE"),0,VLOOKUP(VALUE(AJ$44),'SA Data'!$C$61:$F$87,4,0))</f>
        <v>228.54434615384616</v>
      </c>
      <c r="AK60" s="184">
        <f>IF(ISERR(VLOOKUP(VALUE(AK$44),'SA Data'!$C$61:$F$87,4,0)="TRUE"),0,VLOOKUP(VALUE(AK$44),'SA Data'!$C$61:$F$87,4,0))</f>
        <v>2.8094326923076927</v>
      </c>
      <c r="AL60" s="184">
        <f>IF(ISERR(VLOOKUP(VALUE(AL$44),'SA Data'!$C$61:$F$87,4,0)="TRUE"),0,VLOOKUP(VALUE(AL$44),'SA Data'!$C$61:$F$87,4,0))</f>
        <v>0.9085288461538461</v>
      </c>
      <c r="AM60" s="184">
        <f>IF(ISERR(VLOOKUP(VALUE(AM$44),'SA Data'!$C$61:$F$87,4,0)="TRUE"),0,VLOOKUP(VALUE(AM$44),'SA Data'!$C$61:$F$87,4,0))</f>
        <v>0</v>
      </c>
      <c r="AN60" s="184">
        <f>IF(ISERR(VLOOKUP(VALUE(AN$44),'SA Data'!$C$61:$F$87,4,0)="TRUE"),0,VLOOKUP(VALUE(AN$44),'SA Data'!$C$61:$F$87,4,0))</f>
        <v>0</v>
      </c>
      <c r="AO60" s="184">
        <f>IF(ISERR(VLOOKUP(VALUE(AO$44),'SA Data'!$C$61:$F$87,4,0)="TRUE"),0,VLOOKUP(VALUE(AO$44),'SA Data'!$C$61:$F$87,4,0))</f>
        <v>0</v>
      </c>
      <c r="AP60" s="184">
        <f>IF(ISERR(VLOOKUP(VALUE(AP$44),'SA Data'!$C$61:$F$87,4,0)="TRUE"),0,VLOOKUP(VALUE(AP$44),'SA Data'!$C$61:$F$87,4,0))</f>
        <v>0</v>
      </c>
      <c r="AQ60" s="184">
        <f>IF(ISERR(VLOOKUP(VALUE(AQ$44),'SA Data'!$C$61:$F$87,4,0)="TRUE"),0,VLOOKUP(VALUE(AQ$44),'SA Data'!$C$61:$F$87,4,0))</f>
        <v>0</v>
      </c>
      <c r="AR60" s="184">
        <f>IF(ISERR(VLOOKUP(VALUE(AR$44),'SA Data'!$C$61:$F$87,4,0)="TRUE"),0,VLOOKUP(VALUE(AR$44),'SA Data'!$C$61:$F$87,4,0))</f>
        <v>0</v>
      </c>
      <c r="AS60" s="184">
        <f>IF(ISERR(VLOOKUP(VALUE(AS$44),'SA Data'!$C$61:$F$87,4,0)="TRUE"),0,VLOOKUP(VALUE(AS$44),'SA Data'!$C$61:$F$87,4,0))</f>
        <v>0</v>
      </c>
      <c r="AT60" s="184">
        <f>IF(ISERR(VLOOKUP(VALUE(AT$44),'SA Data'!$C$61:$F$87,4,0)="TRUE"),0,VLOOKUP(VALUE(AT$44),'SA Data'!$C$61:$F$87,4,0))</f>
        <v>0</v>
      </c>
      <c r="AU60" s="184">
        <f>IF(ISERR(VLOOKUP(VALUE(AU$44),'SA Data'!$C$61:$F$87,4,0)="TRUE"),0,VLOOKUP(VALUE(AU$44),'SA Data'!$C$61:$F$87,4,0))</f>
        <v>0</v>
      </c>
      <c r="AV60" s="184">
        <f>IF(ISERR(VLOOKUP(VALUE(AV$44),'SA Data'!$C$61:$F$87,4,0)="TRUE"),0,VLOOKUP(VALUE(AV$44),'SA Data'!$C$61:$F$87,4,0))</f>
        <v>3.5570673076923076</v>
      </c>
      <c r="AW60" s="184">
        <f>IF(ISERR(VLOOKUP(VALUE(AW$44),'SA Data'!$C$61:$F$87,4,0)="TRUE"),0,VLOOKUP(VALUE(AW$44),'SA Data'!$C$61:$F$87,4,0))</f>
        <v>0</v>
      </c>
      <c r="AX60" s="184">
        <f>IF(ISERR(VLOOKUP(VALUE(AX$44),'SA Data'!$C$61:$F$87,4,0)="TRUE"),0,VLOOKUP(VALUE(AX$44),'SA Data'!$C$61:$F$87,4,0))</f>
        <v>0</v>
      </c>
      <c r="AY60" s="184">
        <f>IF(ISERR(VLOOKUP(VALUE(AY$44),'SA Data'!$C$61:$F$87,4,0)="TRUE"),0,VLOOKUP(VALUE(AY$44),'SA Data'!$C$61:$F$87,4,0))</f>
        <v>0</v>
      </c>
      <c r="AZ60" s="184">
        <f>IF(ISERR(VLOOKUP(VALUE(AZ$44),'SA Data'!$C$61:$F$87,4,0)="TRUE"),0,VLOOKUP(VALUE(AZ$44),'SA Data'!$C$61:$F$87,4,0))</f>
        <v>31.052120192307694</v>
      </c>
      <c r="BA60" s="184">
        <f>IF(ISERR(VLOOKUP(VALUE(BA$44),'SA Data'!$C$61:$F$87,4,0)="TRUE"),0,VLOOKUP(VALUE(BA$44),'SA Data'!$C$61:$F$87,4,0))</f>
        <v>1.3451826923076922</v>
      </c>
      <c r="BB60" s="184">
        <f>IF(ISERR(VLOOKUP(VALUE(BB$44),'SA Data'!$C$61:$F$87,4,0)="TRUE"),0,VLOOKUP(VALUE(BB$44),'SA Data'!$C$61:$F$87,4,0))</f>
        <v>0</v>
      </c>
      <c r="BC60" s="184">
        <f>IF(ISERR(VLOOKUP(VALUE(BC$44),'SA Data'!$C$61:$F$87,4,0)="TRUE"),0,VLOOKUP(VALUE(BC$44),'SA Data'!$C$61:$F$87,4,0))</f>
        <v>3.6970384615384617</v>
      </c>
      <c r="BD60" s="184">
        <f>IF(ISERR(VLOOKUP(VALUE(BD$44),'SA Data'!$C$61:$F$87,4,0)="TRUE"),0,VLOOKUP(VALUE(BD$44),'SA Data'!$C$61:$F$87,4,0))</f>
        <v>0</v>
      </c>
      <c r="BE60" s="184">
        <f>IF(ISERR(VLOOKUP(VALUE(BE$44),'SA Data'!$C$61:$F$87,4,0)="TRUE"),0,VLOOKUP(VALUE(BE$44),'SA Data'!$C$61:$F$87,4,0))</f>
        <v>6.0341682692307694</v>
      </c>
      <c r="BF60" s="184">
        <f>IF(ISERR(VLOOKUP(VALUE(BF$44),'SA Data'!$C$61:$F$87,4,0)="TRUE"),0,VLOOKUP(VALUE(BF$44),'SA Data'!$C$61:$F$87,4,0))</f>
        <v>27.139004807692306</v>
      </c>
      <c r="BG60" s="184">
        <f>IF(ISERR(VLOOKUP(VALUE(BG$44),'SA Data'!$C$61:$F$87,4,0)="TRUE"),0,VLOOKUP(VALUE(BG$44),'SA Data'!$C$61:$F$87,4,0))</f>
        <v>0</v>
      </c>
      <c r="BH60" s="184">
        <f>IF(ISERR(VLOOKUP(VALUE(BH$44),'SA Data'!$C$61:$F$87,4,0)="TRUE"),0,VLOOKUP(VALUE(BH$44),'SA Data'!$C$61:$F$87,4,0))</f>
        <v>0</v>
      </c>
      <c r="BI60" s="184">
        <f>IF(ISERR(VLOOKUP(VALUE(BI$44),'SA Data'!$C$61:$F$87,4,0)="TRUE"),0,VLOOKUP(VALUE(BI$44),'SA Data'!$C$61:$F$87,4,0))</f>
        <v>0.19783653846153845</v>
      </c>
      <c r="BJ60" s="184">
        <f>IF(ISERR(VLOOKUP(VALUE(BJ$44),'SA Data'!$C$61:$F$87,4,0)="TRUE"),0,VLOOKUP(VALUE(BJ$44),'SA Data'!$C$61:$F$87,4,0))</f>
        <v>0</v>
      </c>
      <c r="BK60" s="184">
        <f>IF(ISERR(VLOOKUP(VALUE(BK$44),'SA Data'!$C$61:$F$87,4,0)="TRUE"),0,VLOOKUP(VALUE(BK$44),'SA Data'!$C$61:$F$87,4,0))</f>
        <v>0</v>
      </c>
      <c r="BL60" s="184">
        <f>IF(ISERR(VLOOKUP(VALUE(BL$44),'SA Data'!$C$61:$F$87,4,0)="TRUE"),0,VLOOKUP(VALUE(BL$44),'SA Data'!$C$61:$F$87,4,0))</f>
        <v>0</v>
      </c>
      <c r="BM60" s="184">
        <f>IF(ISERR(VLOOKUP(VALUE(BM$44),'SA Data'!$C$61:$F$87,4,0)="TRUE"),0,VLOOKUP(VALUE(BM$44),'SA Data'!$C$61:$F$87,4,0))</f>
        <v>0</v>
      </c>
      <c r="BN60" s="184">
        <f>IF(ISERR(VLOOKUP(VALUE(BN$44),'SA Data'!$C$61:$F$87,4,0)="TRUE"),0,VLOOKUP(VALUE(BN$44),'SA Data'!$C$61:$F$87,4,0))</f>
        <v>15.784927884615387</v>
      </c>
      <c r="BO60" s="184">
        <f>IF(ISERR(VLOOKUP(VALUE(BO$44),'SA Data'!$C$61:$F$87,4,0)="TRUE"),0,VLOOKUP(VALUE(BO$44),'SA Data'!$C$61:$F$87,4,0))</f>
        <v>0</v>
      </c>
      <c r="BP60" s="184">
        <f>IF(ISERR(VLOOKUP(VALUE(BP$44),'SA Data'!$C$61:$F$87,4,0)="TRUE"),0,VLOOKUP(VALUE(BP$44),'SA Data'!$C$61:$F$87,4,0))</f>
        <v>0</v>
      </c>
      <c r="BQ60" s="184">
        <f>IF(ISERR(VLOOKUP(VALUE(BQ$44),'SA Data'!$C$61:$F$87,4,0)="TRUE"),0,VLOOKUP(VALUE(BQ$44),'SA Data'!$C$61:$F$87,4,0))</f>
        <v>0</v>
      </c>
      <c r="BR60" s="184">
        <f>IF(ISERR(VLOOKUP(VALUE(BR$44),'SA Data'!$C$61:$F$87,4,0)="TRUE"),0,VLOOKUP(VALUE(BR$44),'SA Data'!$C$61:$F$87,4,0))</f>
        <v>0</v>
      </c>
      <c r="BS60" s="184">
        <f>IF(ISERR(VLOOKUP(VALUE(BS$44),'SA Data'!$C$61:$F$87,4,0)="TRUE"),0,VLOOKUP(VALUE(BS$44),'SA Data'!$C$61:$F$87,4,0))</f>
        <v>0</v>
      </c>
      <c r="BT60" s="184">
        <f>IF(ISERR(VLOOKUP(VALUE(BT$44),'SA Data'!$C$61:$F$87,4,0)="TRUE"),0,VLOOKUP(VALUE(BT$44),'SA Data'!$C$61:$F$87,4,0))</f>
        <v>0</v>
      </c>
      <c r="BU60" s="184">
        <f>IF(ISERR(VLOOKUP(VALUE(BU$44),'SA Data'!$C$61:$F$87,4,0)="TRUE"),0,VLOOKUP(VALUE(BU$44),'SA Data'!$C$61:$F$87,4,0))</f>
        <v>0</v>
      </c>
      <c r="BV60" s="184">
        <f>IF(ISERR(VLOOKUP(VALUE(BV$44),'SA Data'!$C$61:$F$87,4,0)="TRUE"),0,VLOOKUP(VALUE(BV$44),'SA Data'!$C$61:$F$87,4,0))</f>
        <v>0</v>
      </c>
      <c r="BW60" s="184">
        <f>IF(ISERR(VLOOKUP(VALUE(BW$44),'SA Data'!$C$61:$F$87,4,0)="TRUE"),0,VLOOKUP(VALUE(BW$44),'SA Data'!$C$61:$F$87,4,0))</f>
        <v>0</v>
      </c>
      <c r="BX60" s="184">
        <f>IF(ISERR(VLOOKUP(VALUE(BX$44),'SA Data'!$C$61:$F$87,4,0)="TRUE"),0,VLOOKUP(VALUE(BX$44),'SA Data'!$C$61:$F$87,4,0))</f>
        <v>0</v>
      </c>
      <c r="BY60" s="184">
        <f>IF(ISERR(VLOOKUP(VALUE(BY$44),'SA Data'!$C$61:$F$87,4,0)="TRUE"),0,VLOOKUP(VALUE(BY$44),'SA Data'!$C$61:$F$87,4,0))</f>
        <v>13.047374999999999</v>
      </c>
      <c r="BZ60" s="184">
        <f>IF(ISERR(VLOOKUP(VALUE(BZ$44),'SA Data'!$C$61:$F$87,4,0)="TRUE"),0,VLOOKUP(VALUE(BZ$44),'SA Data'!$C$61:$F$87,4,0))</f>
        <v>0</v>
      </c>
      <c r="CA60" s="184">
        <f>IF(ISERR(VLOOKUP(VALUE(CA$44),'SA Data'!$C$61:$F$87,4,0)="TRUE"),0,VLOOKUP(VALUE(CA$44),'SA Data'!$C$61:$F$87,4,0))</f>
        <v>0</v>
      </c>
      <c r="CB60" s="184">
        <f>IF(ISERR(VLOOKUP(VALUE(CB$44),'SA Data'!$C$61:$F$87,4,0)="TRUE"),0,VLOOKUP(VALUE(CB$44),'SA Data'!$C$61:$F$87,4,0))</f>
        <v>0</v>
      </c>
      <c r="CC60" s="184">
        <f>IF(ISERR(VLOOKUP(VALUE(CC$44),'SA Data'!$C$61:$F$87,4,0)="TRUE"),0,VLOOKUP(VALUE(CC$44),'SA Data'!$C$61:$F$87,4,0))</f>
        <v>0</v>
      </c>
      <c r="CD60" s="245" t="s">
        <v>221</v>
      </c>
      <c r="CE60" s="247">
        <f t="shared" ref="CE60:CE70" si="0">SUM(C60:CD60)</f>
        <v>756.29877884615416</v>
      </c>
    </row>
    <row r="61" spans="1:84" ht="12.6" customHeight="1" x14ac:dyDescent="0.25">
      <c r="A61" s="171" t="s">
        <v>235</v>
      </c>
      <c r="B61" s="175"/>
      <c r="C61" s="184">
        <f>IF(ISERR(VLOOKUP(VALUE(C$44),'SA Data'!$C$3:$J$49,8,0)="TRUE"),0,VLOOKUP(VALUE(C$44),'SA Data'!$C$3:$J$49,8,0))</f>
        <v>3906231.44</v>
      </c>
      <c r="D61" s="184">
        <f>IF(ISERR(VLOOKUP(VALUE(D$44),'SA Data'!$C$3:$J$49,8,0)="TRUE"),0,VLOOKUP(VALUE(D$44),'SA Data'!$C$3:$J$49,8,0))</f>
        <v>0</v>
      </c>
      <c r="E61" s="184">
        <f>IF(ISERR(VLOOKUP(VALUE(E$44),'SA Data'!$C$3:$J$49,8,0)="TRUE"),0,VLOOKUP(VALUE(E$44),'SA Data'!$C$3:$J$49,8,0))</f>
        <v>8899970.879999999</v>
      </c>
      <c r="F61" s="184">
        <f>IF(ISERR(VLOOKUP(VALUE(F$44),'SA Data'!$C$3:$J$49,8,0)="TRUE"),0,VLOOKUP(VALUE(F$44),'SA Data'!$C$3:$J$49,8,0))</f>
        <v>0</v>
      </c>
      <c r="G61" s="184">
        <f>IF(ISERR(VLOOKUP(VALUE(G$44),'SA Data'!$C$3:$J$49,8,0)="TRUE"),0,VLOOKUP(VALUE(G$44),'SA Data'!$C$3:$J$49,8,0))</f>
        <v>0</v>
      </c>
      <c r="H61" s="184">
        <f>IF(ISERR(VLOOKUP(VALUE(H$44),'SA Data'!$C$3:$J$49,8,0)="TRUE"),0,VLOOKUP(VALUE(H$44),'SA Data'!$C$3:$J$49,8,0))</f>
        <v>0</v>
      </c>
      <c r="I61" s="184">
        <f>IF(ISERR(VLOOKUP(VALUE(I$44),'SA Data'!$C$3:$J$49,8,0)="TRUE"),0,VLOOKUP(VALUE(I$44),'SA Data'!$C$3:$J$49,8,0))</f>
        <v>0</v>
      </c>
      <c r="J61" s="184">
        <f>IF(ISERR(VLOOKUP(VALUE(J$44),'SA Data'!$C$3:$J$49,8,0)="TRUE"),0,VLOOKUP(VALUE(J$44),'SA Data'!$C$3:$J$49,8,0))</f>
        <v>0</v>
      </c>
      <c r="K61" s="184">
        <f>IF(ISERR(VLOOKUP(VALUE(K$44),'SA Data'!$C$3:$J$49,8,0)="TRUE"),0,VLOOKUP(VALUE(K$44),'SA Data'!$C$3:$J$49,8,0))</f>
        <v>0</v>
      </c>
      <c r="L61" s="184">
        <f>IF(ISERR(VLOOKUP(VALUE(L$44),'SA Data'!$C$3:$J$49,8,0)="TRUE"),0,VLOOKUP(VALUE(L$44),'SA Data'!$C$3:$J$49,8,0))</f>
        <v>0</v>
      </c>
      <c r="M61" s="184">
        <f>IF(ISERR(VLOOKUP(VALUE(M$44),'SA Data'!$C$3:$J$49,8,0)="TRUE"),0,VLOOKUP(VALUE(M$44),'SA Data'!$C$3:$J$49,8,0))</f>
        <v>0</v>
      </c>
      <c r="N61" s="184">
        <f>IF(ISERR(VLOOKUP(VALUE(N$44),'SA Data'!$C$3:$J$49,8,0)="TRUE"),0,VLOOKUP(VALUE(N$44),'SA Data'!$C$3:$J$49,8,0))</f>
        <v>0</v>
      </c>
      <c r="O61" s="184">
        <f>IF(ISERR(VLOOKUP(VALUE(O$44),'SA Data'!$C$3:$J$49,8,0)="TRUE"),0,VLOOKUP(VALUE(O$44),'SA Data'!$C$3:$J$49,8,0))</f>
        <v>0</v>
      </c>
      <c r="P61" s="184">
        <f>IF(ISERR(VLOOKUP(VALUE(P$44),'SA Data'!$C$3:$J$49,8,0)="TRUE"),0,VLOOKUP(VALUE(P$44),'SA Data'!$C$3:$J$49,8,0))</f>
        <v>7564080.6999999993</v>
      </c>
      <c r="Q61" s="184">
        <f>IF(ISERR(VLOOKUP(VALUE(Q$44),'SA Data'!$C$3:$J$49,8,0)="TRUE"),0,VLOOKUP(VALUE(Q$44),'SA Data'!$C$3:$J$49,8,0))</f>
        <v>2685241.8699999996</v>
      </c>
      <c r="R61" s="184">
        <f>IF(ISERR(VLOOKUP(VALUE(R$44),'SA Data'!$C$3:$J$49,8,0)="TRUE"),0,VLOOKUP(VALUE(R$44),'SA Data'!$C$3:$J$49,8,0))</f>
        <v>0</v>
      </c>
      <c r="S61" s="184">
        <f>IF(ISERR(VLOOKUP(VALUE(S$44),'SA Data'!$C$3:$J$49,8,0)="TRUE"),0,VLOOKUP(VALUE(S$44),'SA Data'!$C$3:$J$49,8,0))</f>
        <v>757895.45</v>
      </c>
      <c r="T61" s="184">
        <f>IF(ISERR(VLOOKUP(VALUE(T$44),'SA Data'!$C$3:$J$49,8,0)="TRUE"),0,VLOOKUP(VALUE(T$44),'SA Data'!$C$3:$J$49,8,0))</f>
        <v>403961.02000000008</v>
      </c>
      <c r="U61" s="184">
        <f>IF(ISERR(VLOOKUP(VALUE(U$44),'SA Data'!$C$3:$J$49,8,0)="TRUE"),0,VLOOKUP(VALUE(U$44),'SA Data'!$C$3:$J$49,8,0))</f>
        <v>1319694.6599999999</v>
      </c>
      <c r="V61" s="184">
        <f>IF(ISERR(VLOOKUP(VALUE(V$44),'SA Data'!$C$3:$J$49,8,0)="TRUE"),0,VLOOKUP(VALUE(V$44),'SA Data'!$C$3:$J$49,8,0))</f>
        <v>0</v>
      </c>
      <c r="W61" s="184">
        <f>IF(ISERR(VLOOKUP(VALUE(W$44),'SA Data'!$C$3:$J$49,8,0)="TRUE"),0,VLOOKUP(VALUE(W$44),'SA Data'!$C$3:$J$49,8,0))</f>
        <v>373806.95</v>
      </c>
      <c r="X61" s="184">
        <f>IF(ISERR(VLOOKUP(VALUE(X$44),'SA Data'!$C$3:$J$49,8,0)="TRUE"),0,VLOOKUP(VALUE(X$44),'SA Data'!$C$3:$J$49,8,0))</f>
        <v>640833.12000000011</v>
      </c>
      <c r="Y61" s="184">
        <f>IF(ISERR(VLOOKUP(VALUE(Y$44),'SA Data'!$C$3:$J$49,8,0)="TRUE"),0,VLOOKUP(VALUE(Y$44),'SA Data'!$C$3:$J$49,8,0))</f>
        <v>1830277.5000000002</v>
      </c>
      <c r="Z61" s="184">
        <f>IF(ISERR(VLOOKUP(VALUE(Z$44),'SA Data'!$C$3:$J$49,8,0)="TRUE"),0,VLOOKUP(VALUE(Z$44),'SA Data'!$C$3:$J$49,8,0))</f>
        <v>0</v>
      </c>
      <c r="AA61" s="184">
        <f>IF(ISERR(VLOOKUP(VALUE(AA$44),'SA Data'!$C$3:$J$49,8,0)="TRUE"),0,VLOOKUP(VALUE(AA$44),'SA Data'!$C$3:$J$49,8,0))</f>
        <v>262789.24</v>
      </c>
      <c r="AB61" s="184">
        <f>IF(ISERR(VLOOKUP(VALUE(AB$44),'SA Data'!$C$3:$J$49,8,0)="TRUE"),0,VLOOKUP(VALUE(AB$44),'SA Data'!$C$3:$J$49,8,0))</f>
        <v>2967882.2899999996</v>
      </c>
      <c r="AC61" s="184">
        <f>IF(ISERR(VLOOKUP(VALUE(AC$44),'SA Data'!$C$3:$J$49,8,0)="TRUE"),0,VLOOKUP(VALUE(AC$44),'SA Data'!$C$3:$J$49,8,0))</f>
        <v>1121764.7000000002</v>
      </c>
      <c r="AD61" s="184">
        <f>IF(ISERR(VLOOKUP(VALUE(AD$44),'SA Data'!$C$3:$J$49,8,0)="TRUE"),0,VLOOKUP(VALUE(AD$44),'SA Data'!$C$3:$J$49,8,0))</f>
        <v>0</v>
      </c>
      <c r="AE61" s="184">
        <f>IF(ISERR(VLOOKUP(VALUE(AE$44),'SA Data'!$C$3:$J$49,8,0)="TRUE"),0,VLOOKUP(VALUE(AE$44),'SA Data'!$C$3:$J$49,8,0))</f>
        <v>1057912.47</v>
      </c>
      <c r="AF61" s="184">
        <f>IF(ISERR(VLOOKUP(VALUE(AF$44),'SA Data'!$C$3:$J$49,8,0)="TRUE"),0,VLOOKUP(VALUE(AF$44),'SA Data'!$C$3:$J$49,8,0))</f>
        <v>0</v>
      </c>
      <c r="AG61" s="184">
        <f>IF(ISERR(VLOOKUP(VALUE(AG$44),'SA Data'!$C$3:$J$49,8,0)="TRUE"),0,VLOOKUP(VALUE(AG$44),'SA Data'!$C$3:$J$49,8,0))</f>
        <v>4008506.8200000008</v>
      </c>
      <c r="AH61" s="184">
        <f>IF(ISERR(VLOOKUP(VALUE(AH$44),'SA Data'!$C$3:$J$49,8,0)="TRUE"),0,VLOOKUP(VALUE(AH$44),'SA Data'!$C$3:$J$49,8,0))</f>
        <v>0</v>
      </c>
      <c r="AI61" s="184">
        <f>IF(ISERR(VLOOKUP(VALUE(AI$44),'SA Data'!$C$3:$J$49,8,0)="TRUE"),0,VLOOKUP(VALUE(AI$44),'SA Data'!$C$3:$J$49,8,0))</f>
        <v>0</v>
      </c>
      <c r="AJ61" s="184">
        <f>IF(ISERR(VLOOKUP(VALUE(AJ$44),'SA Data'!$C$3:$J$49,8,0)="TRUE"),0,VLOOKUP(VALUE(AJ$44),'SA Data'!$C$3:$J$49,8,0))</f>
        <v>24901500.690000001</v>
      </c>
      <c r="AK61" s="184">
        <f>IF(ISERR(VLOOKUP(VALUE(AK$44),'SA Data'!$C$3:$J$49,8,0)="TRUE"),0,VLOOKUP(VALUE(AK$44),'SA Data'!$C$3:$J$49,8,0))</f>
        <v>298056.03000000003</v>
      </c>
      <c r="AL61" s="184">
        <f>IF(ISERR(VLOOKUP(VALUE(AL$44),'SA Data'!$C$3:$J$49,8,0)="TRUE"),0,VLOOKUP(VALUE(AL$44),'SA Data'!$C$3:$J$49,8,0))</f>
        <v>92253.530000000013</v>
      </c>
      <c r="AM61" s="184">
        <f>IF(ISERR(VLOOKUP(VALUE(AM$44),'SA Data'!$C$3:$J$49,8,0)="TRUE"),0,VLOOKUP(VALUE(AM$44),'SA Data'!$C$3:$J$49,8,0))</f>
        <v>0</v>
      </c>
      <c r="AN61" s="184">
        <f>IF(ISERR(VLOOKUP(VALUE(AN$44),'SA Data'!$C$3:$J$49,8,0)="TRUE"),0,VLOOKUP(VALUE(AN$44),'SA Data'!$C$3:$J$49,8,0))</f>
        <v>0</v>
      </c>
      <c r="AO61" s="184">
        <f>IF(ISERR(VLOOKUP(VALUE(AO$44),'SA Data'!$C$3:$J$49,8,0)="TRUE"),0,VLOOKUP(VALUE(AO$44),'SA Data'!$C$3:$J$49,8,0))</f>
        <v>0</v>
      </c>
      <c r="AP61" s="184">
        <f>IF(ISERR(VLOOKUP(VALUE(AP$44),'SA Data'!$C$3:$J$49,8,0)="TRUE"),0,VLOOKUP(VALUE(AP$44),'SA Data'!$C$3:$J$49,8,0))</f>
        <v>0</v>
      </c>
      <c r="AQ61" s="184">
        <f>IF(ISERR(VLOOKUP(VALUE(AQ$44),'SA Data'!$C$3:$J$49,8,0)="TRUE"),0,VLOOKUP(VALUE(AQ$44),'SA Data'!$C$3:$J$49,8,0))</f>
        <v>0</v>
      </c>
      <c r="AR61" s="184">
        <f>IF(ISERR(VLOOKUP(VALUE(AR$44),'SA Data'!$C$3:$J$49,8,0)="TRUE"),0,VLOOKUP(VALUE(AR$44),'SA Data'!$C$3:$J$49,8,0))</f>
        <v>0</v>
      </c>
      <c r="AS61" s="184">
        <f>IF(ISERR(VLOOKUP(VALUE(AS$44),'SA Data'!$C$3:$J$49,8,0)="TRUE"),0,VLOOKUP(VALUE(AS$44),'SA Data'!$C$3:$J$49,8,0))</f>
        <v>0</v>
      </c>
      <c r="AT61" s="184">
        <f>IF(ISERR(VLOOKUP(VALUE(AT$44),'SA Data'!$C$3:$J$49,8,0)="TRUE"),0,VLOOKUP(VALUE(AT$44),'SA Data'!$C$3:$J$49,8,0))</f>
        <v>0</v>
      </c>
      <c r="AU61" s="184">
        <f>IF(ISERR(VLOOKUP(VALUE(AU$44),'SA Data'!$C$3:$J$49,8,0)="TRUE"),0,VLOOKUP(VALUE(AU$44),'SA Data'!$C$3:$J$49,8,0))</f>
        <v>0</v>
      </c>
      <c r="AV61" s="184">
        <f>IF(ISERR(VLOOKUP(VALUE(AV$44),'SA Data'!$C$3:$J$49,8,0)="TRUE"),0,VLOOKUP(VALUE(AV$44),'SA Data'!$C$3:$J$49,8,0))</f>
        <v>272480.35000000003</v>
      </c>
      <c r="AW61" s="184">
        <f>IF(ISERR(VLOOKUP(VALUE(AW$44),'SA Data'!$C$3:$J$49,8,0)="TRUE"),0,VLOOKUP(VALUE(AW$44),'SA Data'!$C$3:$J$49,8,0))</f>
        <v>0</v>
      </c>
      <c r="AX61" s="184">
        <f>IF(ISERR(VLOOKUP(VALUE(AX$44),'SA Data'!$C$3:$J$49,8,0)="TRUE"),0,VLOOKUP(VALUE(AX$44),'SA Data'!$C$3:$J$49,8,0))</f>
        <v>0</v>
      </c>
      <c r="AY61" s="184">
        <f>IF(ISERR(VLOOKUP(VALUE(AY$44),'SA Data'!$C$3:$J$49,8,0)="TRUE"),0,VLOOKUP(VALUE(AY$44),'SA Data'!$C$3:$J$49,8,0))</f>
        <v>0</v>
      </c>
      <c r="AZ61" s="184">
        <f>IF(ISERR(VLOOKUP(VALUE(AZ$44),'SA Data'!$C$3:$J$49,8,0)="TRUE"),0,VLOOKUP(VALUE(AZ$44),'SA Data'!$C$3:$J$49,8,0))</f>
        <v>1288781.7999999998</v>
      </c>
      <c r="BA61" s="184">
        <f>IF(ISERR(VLOOKUP(VALUE(BA$44),'SA Data'!$C$3:$J$49,8,0)="TRUE"),0,VLOOKUP(VALUE(BA$44),'SA Data'!$C$3:$J$49,8,0))</f>
        <v>52075.25</v>
      </c>
      <c r="BB61" s="184">
        <f>IF(ISERR(VLOOKUP(VALUE(BB$44),'SA Data'!$C$3:$J$49,8,0)="TRUE"),0,VLOOKUP(VALUE(BB$44),'SA Data'!$C$3:$J$49,8,0))</f>
        <v>0</v>
      </c>
      <c r="BC61" s="184">
        <f>IF(ISERR(VLOOKUP(VALUE(BC$44),'SA Data'!$C$3:$J$49,8,0)="TRUE"),0,VLOOKUP(VALUE(BC$44),'SA Data'!$C$3:$J$49,8,0))</f>
        <v>164079.08999999997</v>
      </c>
      <c r="BD61" s="184">
        <f>IF(ISERR(VLOOKUP(VALUE(BD$44),'SA Data'!$C$3:$J$49,8,0)="TRUE"),0,VLOOKUP(VALUE(BD$44),'SA Data'!$C$3:$J$49,8,0))</f>
        <v>0</v>
      </c>
      <c r="BE61" s="184">
        <f>IF(ISERR(VLOOKUP(VALUE(BE$44),'SA Data'!$C$3:$J$49,8,0)="TRUE"),0,VLOOKUP(VALUE(BE$44),'SA Data'!$C$3:$J$49,8,0))</f>
        <v>421589.56000000006</v>
      </c>
      <c r="BF61" s="184">
        <f>IF(ISERR(VLOOKUP(VALUE(BF$44),'SA Data'!$C$3:$J$49,8,0)="TRUE"),0,VLOOKUP(VALUE(BF$44),'SA Data'!$C$3:$J$49,8,0))</f>
        <v>1111157.6499999999</v>
      </c>
      <c r="BG61" s="184">
        <f>IF(ISERR(VLOOKUP(VALUE(BG$44),'SA Data'!$C$3:$J$49,8,0)="TRUE"),0,VLOOKUP(VALUE(BG$44),'SA Data'!$C$3:$J$49,8,0))</f>
        <v>0</v>
      </c>
      <c r="BH61" s="184">
        <f>IF(ISERR(VLOOKUP(VALUE(BH$44),'SA Data'!$C$3:$J$49,8,0)="TRUE"),0,VLOOKUP(VALUE(BH$44),'SA Data'!$C$3:$J$49,8,0))</f>
        <v>0</v>
      </c>
      <c r="BI61" s="184">
        <f>IF(ISERR(VLOOKUP(VALUE(BI$44),'SA Data'!$C$3:$J$49,8,0)="TRUE"),0,VLOOKUP(VALUE(BI$44),'SA Data'!$C$3:$J$49,8,0))</f>
        <v>6704.25</v>
      </c>
      <c r="BJ61" s="184">
        <f>IF(ISERR(VLOOKUP(VALUE(BJ$44),'SA Data'!$C$3:$J$49,8,0)="TRUE"),0,VLOOKUP(VALUE(BJ$44),'SA Data'!$C$3:$J$49,8,0))</f>
        <v>0</v>
      </c>
      <c r="BK61" s="184">
        <f>IF(ISERR(VLOOKUP(VALUE(BK$44),'SA Data'!$C$3:$J$49,8,0)="TRUE"),0,VLOOKUP(VALUE(BK$44),'SA Data'!$C$3:$J$49,8,0))</f>
        <v>0</v>
      </c>
      <c r="BL61" s="184">
        <f>IF(ISERR(VLOOKUP(VALUE(BL$44),'SA Data'!$C$3:$J$49,8,0)="TRUE"),0,VLOOKUP(VALUE(BL$44),'SA Data'!$C$3:$J$49,8,0))</f>
        <v>0</v>
      </c>
      <c r="BM61" s="184">
        <f>IF(ISERR(VLOOKUP(VALUE(BM$44),'SA Data'!$C$3:$J$49,8,0)="TRUE"),0,VLOOKUP(VALUE(BM$44),'SA Data'!$C$3:$J$49,8,0))</f>
        <v>0</v>
      </c>
      <c r="BN61" s="184">
        <f>IF(ISERR(VLOOKUP(VALUE(BN$44),'SA Data'!$C$3:$J$49,8,0)="TRUE"),0,VLOOKUP(VALUE(BN$44),'SA Data'!$C$3:$J$49,8,0))</f>
        <v>1689295.35</v>
      </c>
      <c r="BO61" s="184">
        <f>IF(ISERR(VLOOKUP(VALUE(BO$44),'SA Data'!$C$3:$J$49,8,0)="TRUE"),0,VLOOKUP(VALUE(BO$44),'SA Data'!$C$3:$J$49,8,0))</f>
        <v>0</v>
      </c>
      <c r="BP61" s="184">
        <f>IF(ISERR(VLOOKUP(VALUE(BP$44),'SA Data'!$C$3:$J$49,8,0)="TRUE"),0,VLOOKUP(VALUE(BP$44),'SA Data'!$C$3:$J$49,8,0))</f>
        <v>0</v>
      </c>
      <c r="BQ61" s="184">
        <f>IF(ISERR(VLOOKUP(VALUE(BQ$44),'SA Data'!$C$3:$J$49,8,0)="TRUE"),0,VLOOKUP(VALUE(BQ$44),'SA Data'!$C$3:$J$49,8,0))</f>
        <v>0</v>
      </c>
      <c r="BR61" s="184">
        <f>IF(ISERR(VLOOKUP(VALUE(BR$44),'SA Data'!$C$3:$J$49,8,0)="TRUE"),0,VLOOKUP(VALUE(BR$44),'SA Data'!$C$3:$J$49,8,0))</f>
        <v>0</v>
      </c>
      <c r="BS61" s="184">
        <f>IF(ISERR(VLOOKUP(VALUE(BS$44),'SA Data'!$C$3:$J$49,8,0)="TRUE"),0,VLOOKUP(VALUE(BS$44),'SA Data'!$C$3:$J$49,8,0))</f>
        <v>0</v>
      </c>
      <c r="BT61" s="184">
        <f>IF(ISERR(VLOOKUP(VALUE(BT$44),'SA Data'!$C$3:$J$49,8,0)="TRUE"),0,VLOOKUP(VALUE(BT$44),'SA Data'!$C$3:$J$49,8,0))</f>
        <v>0</v>
      </c>
      <c r="BU61" s="184">
        <f>IF(ISERR(VLOOKUP(VALUE(BU$44),'SA Data'!$C$3:$J$49,8,0)="TRUE"),0,VLOOKUP(VALUE(BU$44),'SA Data'!$C$3:$J$49,8,0))</f>
        <v>0</v>
      </c>
      <c r="BV61" s="184">
        <f>IF(ISERR(VLOOKUP(VALUE(BV$44),'SA Data'!$C$3:$J$49,8,0)="TRUE"),0,VLOOKUP(VALUE(BV$44),'SA Data'!$C$3:$J$49,8,0))</f>
        <v>0</v>
      </c>
      <c r="BW61" s="184">
        <f>IF(ISERR(VLOOKUP(VALUE(BW$44),'SA Data'!$C$3:$J$49,8,0)="TRUE"),0,VLOOKUP(VALUE(BW$44),'SA Data'!$C$3:$J$49,8,0))</f>
        <v>0</v>
      </c>
      <c r="BX61" s="184">
        <f>IF(ISERR(VLOOKUP(VALUE(BX$44),'SA Data'!$C$3:$J$49,8,0)="TRUE"),0,VLOOKUP(VALUE(BX$44),'SA Data'!$C$3:$J$49,8,0))</f>
        <v>0</v>
      </c>
      <c r="BY61" s="184">
        <f>IF(ISERR(VLOOKUP(VALUE(BY$44),'SA Data'!$C$3:$J$49,8,0)="TRUE"),0,VLOOKUP(VALUE(BY$44),'SA Data'!$C$3:$J$49,8,0))</f>
        <v>1197675.1099999996</v>
      </c>
      <c r="BZ61" s="184">
        <f>IF(ISERR(VLOOKUP(VALUE(BZ$44),'SA Data'!$C$3:$J$49,8,0)="TRUE"),0,VLOOKUP(VALUE(BZ$44),'SA Data'!$C$3:$J$49,8,0))</f>
        <v>0</v>
      </c>
      <c r="CA61" s="184">
        <f>IF(ISERR(VLOOKUP(VALUE(CA$44),'SA Data'!$C$3:$J$49,8,0)="TRUE"),0,VLOOKUP(VALUE(CA$44),'SA Data'!$C$3:$J$49,8,0))</f>
        <v>182183.72000000003</v>
      </c>
      <c r="CB61" s="184">
        <f>IF(ISERR(VLOOKUP(VALUE(CB$44),'SA Data'!$C$3:$J$49,8,0)="TRUE"),0,VLOOKUP(VALUE(CB$44),'SA Data'!$C$3:$J$49,8,0))</f>
        <v>0</v>
      </c>
      <c r="CC61" s="184">
        <f>IF(ISERR(VLOOKUP(VALUE(CC$44),'SA Data'!$C$3:$J$49,8,0)="TRUE"),0,VLOOKUP(VALUE(CC$44),'SA Data'!$C$3:$J$49,8,0))+61900</f>
        <v>78285.38</v>
      </c>
      <c r="CD61" s="245" t="s">
        <v>221</v>
      </c>
      <c r="CE61" s="193">
        <f t="shared" si="0"/>
        <v>69556966.86999999</v>
      </c>
      <c r="CF61" s="248"/>
    </row>
    <row r="62" spans="1:84" ht="12.6" customHeight="1" x14ac:dyDescent="0.25">
      <c r="A62" s="171" t="s">
        <v>3</v>
      </c>
      <c r="B62" s="175"/>
      <c r="C62" s="193">
        <f t="shared" ref="C62:BN62" si="1">ROUND(C47+C48,0)</f>
        <v>933913</v>
      </c>
      <c r="D62" s="193">
        <f t="shared" si="1"/>
        <v>0</v>
      </c>
      <c r="E62" s="193">
        <f t="shared" si="1"/>
        <v>2181900</v>
      </c>
      <c r="F62" s="193">
        <f t="shared" si="1"/>
        <v>0</v>
      </c>
      <c r="G62" s="193">
        <f t="shared" si="1"/>
        <v>0</v>
      </c>
      <c r="H62" s="193">
        <f t="shared" si="1"/>
        <v>0</v>
      </c>
      <c r="I62" s="193">
        <f t="shared" si="1"/>
        <v>0</v>
      </c>
      <c r="J62" s="193">
        <f>ROUND(J47+J48,0)</f>
        <v>0</v>
      </c>
      <c r="K62" s="193">
        <f t="shared" si="1"/>
        <v>0</v>
      </c>
      <c r="L62" s="193">
        <f t="shared" si="1"/>
        <v>0</v>
      </c>
      <c r="M62" s="193">
        <f t="shared" si="1"/>
        <v>0</v>
      </c>
      <c r="N62" s="193">
        <f t="shared" si="1"/>
        <v>0</v>
      </c>
      <c r="O62" s="193">
        <f t="shared" si="1"/>
        <v>0</v>
      </c>
      <c r="P62" s="193">
        <f t="shared" si="1"/>
        <v>1842401</v>
      </c>
      <c r="Q62" s="193">
        <f t="shared" si="1"/>
        <v>604691</v>
      </c>
      <c r="R62" s="193">
        <f t="shared" si="1"/>
        <v>0</v>
      </c>
      <c r="S62" s="193">
        <f t="shared" si="1"/>
        <v>266276</v>
      </c>
      <c r="T62" s="193">
        <f t="shared" si="1"/>
        <v>91343</v>
      </c>
      <c r="U62" s="193">
        <f t="shared" si="1"/>
        <v>367586</v>
      </c>
      <c r="V62" s="193">
        <f t="shared" si="1"/>
        <v>0</v>
      </c>
      <c r="W62" s="193">
        <f t="shared" si="1"/>
        <v>86734</v>
      </c>
      <c r="X62" s="193">
        <f t="shared" si="1"/>
        <v>142607</v>
      </c>
      <c r="Y62" s="193">
        <f t="shared" si="1"/>
        <v>440649</v>
      </c>
      <c r="Z62" s="193">
        <f t="shared" si="1"/>
        <v>0</v>
      </c>
      <c r="AA62" s="193">
        <f t="shared" si="1"/>
        <v>60399</v>
      </c>
      <c r="AB62" s="193">
        <f t="shared" si="1"/>
        <v>655161</v>
      </c>
      <c r="AC62" s="193">
        <f t="shared" si="1"/>
        <v>283763</v>
      </c>
      <c r="AD62" s="193">
        <f t="shared" si="1"/>
        <v>0</v>
      </c>
      <c r="AE62" s="193">
        <f t="shared" si="1"/>
        <v>253460</v>
      </c>
      <c r="AF62" s="193">
        <f t="shared" si="1"/>
        <v>0</v>
      </c>
      <c r="AG62" s="193">
        <f t="shared" si="1"/>
        <v>876065</v>
      </c>
      <c r="AH62" s="193">
        <f t="shared" si="1"/>
        <v>0</v>
      </c>
      <c r="AI62" s="193">
        <f t="shared" si="1"/>
        <v>0</v>
      </c>
      <c r="AJ62" s="193">
        <f t="shared" si="1"/>
        <v>4523718</v>
      </c>
      <c r="AK62" s="193">
        <f t="shared" si="1"/>
        <v>67425</v>
      </c>
      <c r="AL62" s="193">
        <f t="shared" si="1"/>
        <v>21722</v>
      </c>
      <c r="AM62" s="193">
        <f t="shared" si="1"/>
        <v>0</v>
      </c>
      <c r="AN62" s="193">
        <f t="shared" si="1"/>
        <v>0</v>
      </c>
      <c r="AO62" s="193">
        <f t="shared" si="1"/>
        <v>0</v>
      </c>
      <c r="AP62" s="193">
        <f t="shared" si="1"/>
        <v>0</v>
      </c>
      <c r="AQ62" s="193">
        <f t="shared" si="1"/>
        <v>0</v>
      </c>
      <c r="AR62" s="193">
        <f t="shared" si="1"/>
        <v>0</v>
      </c>
      <c r="AS62" s="193">
        <f t="shared" si="1"/>
        <v>0</v>
      </c>
      <c r="AT62" s="193">
        <f t="shared" si="1"/>
        <v>0</v>
      </c>
      <c r="AU62" s="193">
        <f t="shared" si="1"/>
        <v>0</v>
      </c>
      <c r="AV62" s="193">
        <f t="shared" si="1"/>
        <v>74237</v>
      </c>
      <c r="AW62" s="193">
        <f t="shared" si="1"/>
        <v>0</v>
      </c>
      <c r="AX62" s="193">
        <f t="shared" si="1"/>
        <v>0</v>
      </c>
      <c r="AY62" s="193">
        <f>ROUND(AY47+AY48,0)</f>
        <v>0</v>
      </c>
      <c r="AZ62" s="193">
        <f>ROUND(AZ47+AZ48,0)</f>
        <v>504932</v>
      </c>
      <c r="BA62" s="193">
        <f>ROUND(BA47+BA48,0)</f>
        <v>21259</v>
      </c>
      <c r="BB62" s="193">
        <f t="shared" si="1"/>
        <v>0</v>
      </c>
      <c r="BC62" s="193">
        <f t="shared" si="1"/>
        <v>61303</v>
      </c>
      <c r="BD62" s="193">
        <f t="shared" si="1"/>
        <v>0</v>
      </c>
      <c r="BE62" s="193">
        <f t="shared" si="1"/>
        <v>119194</v>
      </c>
      <c r="BF62" s="193">
        <f t="shared" si="1"/>
        <v>440190</v>
      </c>
      <c r="BG62" s="193">
        <f t="shared" si="1"/>
        <v>0</v>
      </c>
      <c r="BH62" s="193">
        <f t="shared" si="1"/>
        <v>0</v>
      </c>
      <c r="BI62" s="193">
        <f t="shared" si="1"/>
        <v>3035</v>
      </c>
      <c r="BJ62" s="193">
        <f t="shared" si="1"/>
        <v>0</v>
      </c>
      <c r="BK62" s="193">
        <f t="shared" si="1"/>
        <v>0</v>
      </c>
      <c r="BL62" s="193">
        <f t="shared" si="1"/>
        <v>0</v>
      </c>
      <c r="BM62" s="193">
        <f t="shared" si="1"/>
        <v>0</v>
      </c>
      <c r="BN62" s="193">
        <f t="shared" si="1"/>
        <v>377925</v>
      </c>
      <c r="BO62" s="193">
        <f t="shared" ref="BO62:CC62" si="2">ROUND(BO47+BO48,0)</f>
        <v>0</v>
      </c>
      <c r="BP62" s="193">
        <f t="shared" si="2"/>
        <v>0</v>
      </c>
      <c r="BQ62" s="193">
        <f t="shared" si="2"/>
        <v>0</v>
      </c>
      <c r="BR62" s="193">
        <f t="shared" si="2"/>
        <v>21</v>
      </c>
      <c r="BS62" s="193">
        <f t="shared" si="2"/>
        <v>0</v>
      </c>
      <c r="BT62" s="193">
        <f t="shared" si="2"/>
        <v>0</v>
      </c>
      <c r="BU62" s="193">
        <f t="shared" si="2"/>
        <v>0</v>
      </c>
      <c r="BV62" s="193">
        <f t="shared" si="2"/>
        <v>0</v>
      </c>
      <c r="BW62" s="193">
        <f t="shared" si="2"/>
        <v>0</v>
      </c>
      <c r="BX62" s="193">
        <f t="shared" si="2"/>
        <v>0</v>
      </c>
      <c r="BY62" s="193">
        <f t="shared" si="2"/>
        <v>288225</v>
      </c>
      <c r="BZ62" s="193">
        <f t="shared" si="2"/>
        <v>0</v>
      </c>
      <c r="CA62" s="193">
        <f t="shared" si="2"/>
        <v>42484</v>
      </c>
      <c r="CB62" s="193">
        <f t="shared" si="2"/>
        <v>0</v>
      </c>
      <c r="CC62" s="193">
        <f t="shared" si="2"/>
        <v>3583</v>
      </c>
      <c r="CD62" s="245" t="s">
        <v>221</v>
      </c>
      <c r="CE62" s="193">
        <f t="shared" si="0"/>
        <v>15636201</v>
      </c>
      <c r="CF62" s="248"/>
    </row>
    <row r="63" spans="1:84" ht="12.6" customHeight="1" x14ac:dyDescent="0.25">
      <c r="A63" s="171" t="s">
        <v>236</v>
      </c>
      <c r="B63" s="175"/>
      <c r="C63" s="184">
        <f>IF(ISERR(VLOOKUP(VALUE(C$44),'SA Data'!$C$3:$L$48,10,0)="TRUE"),0,VLOOKUP(VALUE(C$44),'SA Data'!$C$3:$L$48,10,0))</f>
        <v>829273.22999999986</v>
      </c>
      <c r="D63" s="184">
        <f>IF(ISERR(VLOOKUP(VALUE(D$44),'SA Data'!$C$3:$L$48,10,0)="TRUE"),0,VLOOKUP(VALUE(D$44),'SA Data'!$C$3:$L$48,10,0))</f>
        <v>0</v>
      </c>
      <c r="E63" s="184">
        <f>IF(ISERR(VLOOKUP(VALUE(E$44),'SA Data'!$C$3:$L$48,10,0)="TRUE"),0,VLOOKUP(VALUE(E$44),'SA Data'!$C$3:$L$48,10,0))</f>
        <v>46500</v>
      </c>
      <c r="F63" s="184">
        <f>IF(ISERR(VLOOKUP(VALUE(F$44),'SA Data'!$C$3:$L$48,10,0)="TRUE"),0,VLOOKUP(VALUE(F$44),'SA Data'!$C$3:$L$48,10,0))</f>
        <v>0</v>
      </c>
      <c r="G63" s="184">
        <f>IF(ISERR(VLOOKUP(VALUE(G$44),'SA Data'!$C$3:$L$48,10,0)="TRUE"),0,VLOOKUP(VALUE(G$44),'SA Data'!$C$3:$L$48,10,0))</f>
        <v>0</v>
      </c>
      <c r="H63" s="184">
        <f>IF(ISERR(VLOOKUP(VALUE(H$44),'SA Data'!$C$3:$L$48,10,0)="TRUE"),0,VLOOKUP(VALUE(H$44),'SA Data'!$C$3:$L$48,10,0))</f>
        <v>0</v>
      </c>
      <c r="I63" s="184">
        <f>IF(ISERR(VLOOKUP(VALUE(I$44),'SA Data'!$C$3:$L$48,10,0)="TRUE"),0,VLOOKUP(VALUE(I$44),'SA Data'!$C$3:$L$48,10,0))</f>
        <v>0</v>
      </c>
      <c r="J63" s="184">
        <f>IF(ISERR(VLOOKUP(VALUE(J$44),'SA Data'!$C$3:$L$48,10,0)="TRUE"),0,VLOOKUP(VALUE(J$44),'SA Data'!$C$3:$L$48,10,0))</f>
        <v>0</v>
      </c>
      <c r="K63" s="184">
        <f>IF(ISERR(VLOOKUP(VALUE(K$44),'SA Data'!$C$3:$L$48,10,0)="TRUE"),0,VLOOKUP(VALUE(K$44),'SA Data'!$C$3:$L$48,10,0))</f>
        <v>0</v>
      </c>
      <c r="L63" s="184">
        <f>IF(ISERR(VLOOKUP(VALUE(L$44),'SA Data'!$C$3:$L$48,10,0)="TRUE"),0,VLOOKUP(VALUE(L$44),'SA Data'!$C$3:$L$48,10,0))</f>
        <v>0</v>
      </c>
      <c r="M63" s="184">
        <f>IF(ISERR(VLOOKUP(VALUE(M$44),'SA Data'!$C$3:$L$48,10,0)="TRUE"),0,VLOOKUP(VALUE(M$44),'SA Data'!$C$3:$L$48,10,0))</f>
        <v>0</v>
      </c>
      <c r="N63" s="184">
        <f>IF(ISERR(VLOOKUP(VALUE(N$44),'SA Data'!$C$3:$L$48,10,0)="TRUE"),0,VLOOKUP(VALUE(N$44),'SA Data'!$C$3:$L$48,10,0))</f>
        <v>0</v>
      </c>
      <c r="O63" s="184">
        <f>IF(ISERR(VLOOKUP(VALUE(O$44),'SA Data'!$C$3:$L$48,10,0)="TRUE"),0,VLOOKUP(VALUE(O$44),'SA Data'!$C$3:$L$48,10,0))</f>
        <v>0</v>
      </c>
      <c r="P63" s="184">
        <f>IF(ISERR(VLOOKUP(VALUE(P$44),'SA Data'!$C$3:$L$48,10,0)="TRUE"),0,VLOOKUP(VALUE(P$44),'SA Data'!$C$3:$L$48,10,0))</f>
        <v>1337596.1300000001</v>
      </c>
      <c r="Q63" s="184">
        <f>IF(ISERR(VLOOKUP(VALUE(Q$44),'SA Data'!$C$3:$L$48,10,0)="TRUE"),0,VLOOKUP(VALUE(Q$44),'SA Data'!$C$3:$L$48,10,0))</f>
        <v>0</v>
      </c>
      <c r="R63" s="184">
        <f>IF(ISERR(VLOOKUP(VALUE(R$44),'SA Data'!$C$3:$L$48,10,0)="TRUE"),0,VLOOKUP(VALUE(R$44),'SA Data'!$C$3:$L$48,10,0))</f>
        <v>0</v>
      </c>
      <c r="S63" s="184">
        <f>IF(ISERR(VLOOKUP(VALUE(S$44),'SA Data'!$C$3:$L$48,10,0)="TRUE"),0,VLOOKUP(VALUE(S$44),'SA Data'!$C$3:$L$48,10,0))</f>
        <v>0</v>
      </c>
      <c r="T63" s="184">
        <f>IF(ISERR(VLOOKUP(VALUE(T$44),'SA Data'!$C$3:$L$48,10,0)="TRUE"),0,VLOOKUP(VALUE(T$44),'SA Data'!$C$3:$L$48,10,0))</f>
        <v>0</v>
      </c>
      <c r="U63" s="184">
        <f>IF(ISERR(VLOOKUP(VALUE(U$44),'SA Data'!$C$3:$L$48,10,0)="TRUE"),0,VLOOKUP(VALUE(U$44),'SA Data'!$C$3:$L$48,10,0))</f>
        <v>15948.03</v>
      </c>
      <c r="V63" s="184">
        <f>IF(ISERR(VLOOKUP(VALUE(V$44),'SA Data'!$C$3:$L$48,10,0)="TRUE"),0,VLOOKUP(VALUE(V$44),'SA Data'!$C$3:$L$48,10,0))</f>
        <v>0</v>
      </c>
      <c r="W63" s="184">
        <f>IF(ISERR(VLOOKUP(VALUE(W$44),'SA Data'!$C$3:$L$48,10,0)="TRUE"),0,VLOOKUP(VALUE(W$44),'SA Data'!$C$3:$L$48,10,0))</f>
        <v>0</v>
      </c>
      <c r="X63" s="184">
        <f>IF(ISERR(VLOOKUP(VALUE(X$44),'SA Data'!$C$3:$L$48,10,0)="TRUE"),0,VLOOKUP(VALUE(X$44),'SA Data'!$C$3:$L$48,10,0))</f>
        <v>0</v>
      </c>
      <c r="Y63" s="184">
        <f>IF(ISERR(VLOOKUP(VALUE(Y$44),'SA Data'!$C$3:$L$48,10,0)="TRUE"),0,VLOOKUP(VALUE(Y$44),'SA Data'!$C$3:$L$48,10,0))</f>
        <v>31323.599999999999</v>
      </c>
      <c r="Z63" s="184">
        <f>IF(ISERR(VLOOKUP(VALUE(Z$44),'SA Data'!$C$3:$L$48,10,0)="TRUE"),0,VLOOKUP(VALUE(Z$44),'SA Data'!$C$3:$L$48,10,0))</f>
        <v>0</v>
      </c>
      <c r="AA63" s="184">
        <f>IF(ISERR(VLOOKUP(VALUE(AA$44),'SA Data'!$C$3:$L$48,10,0)="TRUE"),0,VLOOKUP(VALUE(AA$44),'SA Data'!$C$3:$L$48,10,0))</f>
        <v>0</v>
      </c>
      <c r="AB63" s="184">
        <f>IF(ISERR(VLOOKUP(VALUE(AB$44),'SA Data'!$C$3:$L$48,10,0)="TRUE"),0,VLOOKUP(VALUE(AB$44),'SA Data'!$C$3:$L$48,10,0))</f>
        <v>0</v>
      </c>
      <c r="AC63" s="184">
        <f>IF(ISERR(VLOOKUP(VALUE(AC$44),'SA Data'!$C$3:$L$48,10,0)="TRUE"),0,VLOOKUP(VALUE(AC$44),'SA Data'!$C$3:$L$48,10,0))</f>
        <v>5838</v>
      </c>
      <c r="AD63" s="184">
        <f>IF(ISERR(VLOOKUP(VALUE(AD$44),'SA Data'!$C$3:$L$48,10,0)="TRUE"),0,VLOOKUP(VALUE(AD$44),'SA Data'!$C$3:$L$48,10,0))</f>
        <v>0</v>
      </c>
      <c r="AE63" s="184">
        <f>IF(ISERR(VLOOKUP(VALUE(AE$44),'SA Data'!$C$3:$L$48,10,0)="TRUE"),0,VLOOKUP(VALUE(AE$44),'SA Data'!$C$3:$L$48,10,0))</f>
        <v>0</v>
      </c>
      <c r="AF63" s="184">
        <f>IF(ISERR(VLOOKUP(VALUE(AF$44),'SA Data'!$C$3:$L$48,10,0)="TRUE"),0,VLOOKUP(VALUE(AF$44),'SA Data'!$C$3:$L$48,10,0))</f>
        <v>0</v>
      </c>
      <c r="AG63" s="184">
        <f>IF(ISERR(VLOOKUP(VALUE(AG$44),'SA Data'!$C$3:$L$48,10,0)="TRUE"),0,VLOOKUP(VALUE(AG$44),'SA Data'!$C$3:$L$48,10,0))</f>
        <v>1099596.73</v>
      </c>
      <c r="AH63" s="184">
        <f>IF(ISERR(VLOOKUP(VALUE(AH$44),'SA Data'!$C$3:$L$48,10,0)="TRUE"),0,VLOOKUP(VALUE(AH$44),'SA Data'!$C$3:$L$48,10,0))</f>
        <v>0</v>
      </c>
      <c r="AI63" s="184">
        <f>IF(ISERR(VLOOKUP(VALUE(AI$44),'SA Data'!$C$3:$L$48,10,0)="TRUE"),0,VLOOKUP(VALUE(AI$44),'SA Data'!$C$3:$L$48,10,0))</f>
        <v>0</v>
      </c>
      <c r="AJ63" s="184">
        <f>IF(ISERR(VLOOKUP(VALUE(AJ$44),'SA Data'!$C$3:$L$48,10,0)="TRUE"),0,VLOOKUP(VALUE(AJ$44),'SA Data'!$C$3:$L$48,10,0))</f>
        <v>453477.68999999994</v>
      </c>
      <c r="AK63" s="184">
        <f>IF(ISERR(VLOOKUP(VALUE(AK$44),'SA Data'!$C$3:$L$48,10,0)="TRUE"),0,VLOOKUP(VALUE(AK$44),'SA Data'!$C$3:$L$48,10,0))</f>
        <v>0</v>
      </c>
      <c r="AL63" s="184">
        <f>IF(ISERR(VLOOKUP(VALUE(AL$44),'SA Data'!$C$3:$L$48,10,0)="TRUE"),0,VLOOKUP(VALUE(AL$44),'SA Data'!$C$3:$L$48,10,0))</f>
        <v>0</v>
      </c>
      <c r="AM63" s="184">
        <f>IF(ISERR(VLOOKUP(VALUE(AM$44),'SA Data'!$C$3:$L$48,10,0)="TRUE"),0,VLOOKUP(VALUE(AM$44),'SA Data'!$C$3:$L$48,10,0))</f>
        <v>0</v>
      </c>
      <c r="AN63" s="184">
        <f>IF(ISERR(VLOOKUP(VALUE(AN$44),'SA Data'!$C$3:$L$48,10,0)="TRUE"),0,VLOOKUP(VALUE(AN$44),'SA Data'!$C$3:$L$48,10,0))</f>
        <v>0</v>
      </c>
      <c r="AO63" s="184">
        <f>IF(ISERR(VLOOKUP(VALUE(AO$44),'SA Data'!$C$3:$L$48,10,0)="TRUE"),0,VLOOKUP(VALUE(AO$44),'SA Data'!$C$3:$L$48,10,0))</f>
        <v>0</v>
      </c>
      <c r="AP63" s="184">
        <f>IF(ISERR(VLOOKUP(VALUE(AP$44),'SA Data'!$C$3:$L$48,10,0)="TRUE"),0,VLOOKUP(VALUE(AP$44),'SA Data'!$C$3:$L$48,10,0))</f>
        <v>0</v>
      </c>
      <c r="AQ63" s="184">
        <f>IF(ISERR(VLOOKUP(VALUE(AQ$44),'SA Data'!$C$3:$L$48,10,0)="TRUE"),0,VLOOKUP(VALUE(AQ$44),'SA Data'!$C$3:$L$48,10,0))</f>
        <v>0</v>
      </c>
      <c r="AR63" s="184">
        <f>IF(ISERR(VLOOKUP(VALUE(AR$44),'SA Data'!$C$3:$L$48,10,0)="TRUE"),0,VLOOKUP(VALUE(AR$44),'SA Data'!$C$3:$L$48,10,0))</f>
        <v>0</v>
      </c>
      <c r="AS63" s="184">
        <f>IF(ISERR(VLOOKUP(VALUE(AS$44),'SA Data'!$C$3:$L$48,10,0)="TRUE"),0,VLOOKUP(VALUE(AS$44),'SA Data'!$C$3:$L$48,10,0))</f>
        <v>0</v>
      </c>
      <c r="AT63" s="184">
        <f>IF(ISERR(VLOOKUP(VALUE(AT$44),'SA Data'!$C$3:$L$48,10,0)="TRUE"),0,VLOOKUP(VALUE(AT$44),'SA Data'!$C$3:$L$48,10,0))</f>
        <v>0</v>
      </c>
      <c r="AU63" s="184">
        <f>IF(ISERR(VLOOKUP(VALUE(AU$44),'SA Data'!$C$3:$L$48,10,0)="TRUE"),0,VLOOKUP(VALUE(AU$44),'SA Data'!$C$3:$L$48,10,0))</f>
        <v>0</v>
      </c>
      <c r="AV63" s="184">
        <f>IF(ISERR(VLOOKUP(VALUE(AV$44),'SA Data'!$C$3:$L$48,10,0)="TRUE"),0,VLOOKUP(VALUE(AV$44),'SA Data'!$C$3:$L$48,10,0))+2935839</f>
        <v>2972799</v>
      </c>
      <c r="AW63" s="184">
        <f>IF(ISERR(VLOOKUP(VALUE(AW$44),'SA Data'!$C$3:$L$48,10,0)="TRUE"),0,VLOOKUP(VALUE(AW$44),'SA Data'!$C$3:$L$48,10,0))</f>
        <v>0</v>
      </c>
      <c r="AX63" s="184">
        <f>IF(ISERR(VLOOKUP(VALUE(AX$44),'SA Data'!$C$3:$L$48,10,0)="TRUE"),0,VLOOKUP(VALUE(AX$44),'SA Data'!$C$3:$L$48,10,0))</f>
        <v>0</v>
      </c>
      <c r="AY63" s="184">
        <f>IF(ISERR(VLOOKUP(VALUE(AY$44),'SA Data'!$C$3:$L$48,10,0)="TRUE"),0,VLOOKUP(VALUE(AY$44),'SA Data'!$C$3:$L$48,10,0))</f>
        <v>0</v>
      </c>
      <c r="AZ63" s="184">
        <f>IF(ISERR(VLOOKUP(VALUE(AZ$44),'SA Data'!$C$3:$L$48,10,0)="TRUE"),0,VLOOKUP(VALUE(AZ$44),'SA Data'!$C$3:$L$48,10,0))</f>
        <v>0</v>
      </c>
      <c r="BA63" s="184">
        <f>IF(ISERR(VLOOKUP(VALUE(BA$44),'SA Data'!$C$3:$L$48,10,0)="TRUE"),0,VLOOKUP(VALUE(BA$44),'SA Data'!$C$3:$L$48,10,0))</f>
        <v>0</v>
      </c>
      <c r="BB63" s="184">
        <f>IF(ISERR(VLOOKUP(VALUE(BB$44),'SA Data'!$C$3:$L$48,10,0)="TRUE"),0,VLOOKUP(VALUE(BB$44),'SA Data'!$C$3:$L$48,10,0))</f>
        <v>0</v>
      </c>
      <c r="BC63" s="184">
        <f>IF(ISERR(VLOOKUP(VALUE(BC$44),'SA Data'!$C$3:$L$48,10,0)="TRUE"),0,VLOOKUP(VALUE(BC$44),'SA Data'!$C$3:$L$48,10,0))</f>
        <v>0</v>
      </c>
      <c r="BD63" s="184">
        <f>IF(ISERR(VLOOKUP(VALUE(BD$44),'SA Data'!$C$3:$L$48,10,0)="TRUE"),0,VLOOKUP(VALUE(BD$44),'SA Data'!$C$3:$L$48,10,0))</f>
        <v>0</v>
      </c>
      <c r="BE63" s="184">
        <f>IF(ISERR(VLOOKUP(VALUE(BE$44),'SA Data'!$C$3:$L$48,10,0)="TRUE"),0,VLOOKUP(VALUE(BE$44),'SA Data'!$C$3:$L$48,10,0))</f>
        <v>0</v>
      </c>
      <c r="BF63" s="184">
        <f>IF(ISERR(VLOOKUP(VALUE(BF$44),'SA Data'!$C$3:$L$48,10,0)="TRUE"),0,VLOOKUP(VALUE(BF$44),'SA Data'!$C$3:$L$48,10,0))</f>
        <v>0</v>
      </c>
      <c r="BG63" s="184">
        <f>IF(ISERR(VLOOKUP(VALUE(BG$44),'SA Data'!$C$3:$L$48,10,0)="TRUE"),0,VLOOKUP(VALUE(BG$44),'SA Data'!$C$3:$L$48,10,0))</f>
        <v>0</v>
      </c>
      <c r="BH63" s="184">
        <f>IF(ISERR(VLOOKUP(VALUE(BH$44),'SA Data'!$C$3:$L$48,10,0)="TRUE"),0,VLOOKUP(VALUE(BH$44),'SA Data'!$C$3:$L$48,10,0))</f>
        <v>0</v>
      </c>
      <c r="BI63" s="184">
        <f>IF(ISERR(VLOOKUP(VALUE(BI$44),'SA Data'!$C$3:$L$48,10,0)="TRUE"),0,VLOOKUP(VALUE(BI$44),'SA Data'!$C$3:$L$48,10,0))</f>
        <v>0</v>
      </c>
      <c r="BJ63" s="184">
        <f>IF(ISERR(VLOOKUP(VALUE(BJ$44),'SA Data'!$C$3:$L$48,10,0)="TRUE"),0,VLOOKUP(VALUE(BJ$44),'SA Data'!$C$3:$L$48,10,0))</f>
        <v>0</v>
      </c>
      <c r="BK63" s="184">
        <f>IF(ISERR(VLOOKUP(VALUE(BK$44),'SA Data'!$C$3:$L$48,10,0)="TRUE"),0,VLOOKUP(VALUE(BK$44),'SA Data'!$C$3:$L$48,10,0))</f>
        <v>0</v>
      </c>
      <c r="BL63" s="184">
        <f>IF(ISERR(VLOOKUP(VALUE(BL$44),'SA Data'!$C$3:$L$48,10,0)="TRUE"),0,VLOOKUP(VALUE(BL$44),'SA Data'!$C$3:$L$48,10,0))</f>
        <v>0</v>
      </c>
      <c r="BM63" s="184">
        <f>IF(ISERR(VLOOKUP(VALUE(BM$44),'SA Data'!$C$3:$L$48,10,0)="TRUE"),0,VLOOKUP(VALUE(BM$44),'SA Data'!$C$3:$L$48,10,0))</f>
        <v>0</v>
      </c>
      <c r="BN63" s="184">
        <f>IF(ISERR(VLOOKUP(VALUE(BN$44),'SA Data'!$C$3:$L$48,10,0)="TRUE"),0,VLOOKUP(VALUE(BN$44),'SA Data'!$C$3:$L$48,10,0))</f>
        <v>0</v>
      </c>
      <c r="BO63" s="184">
        <f>IF(ISERR(VLOOKUP(VALUE(BO$44),'SA Data'!$C$3:$L$48,10,0)="TRUE"),0,VLOOKUP(VALUE(BO$44),'SA Data'!$C$3:$L$48,10,0))</f>
        <v>0</v>
      </c>
      <c r="BP63" s="184">
        <f>IF(ISERR(VLOOKUP(VALUE(BP$44),'SA Data'!$C$3:$L$48,10,0)="TRUE"),0,VLOOKUP(VALUE(BP$44),'SA Data'!$C$3:$L$48,10,0))</f>
        <v>0</v>
      </c>
      <c r="BQ63" s="184">
        <f>IF(ISERR(VLOOKUP(VALUE(BQ$44),'SA Data'!$C$3:$L$48,10,0)="TRUE"),0,VLOOKUP(VALUE(BQ$44),'SA Data'!$C$3:$L$48,10,0))</f>
        <v>0</v>
      </c>
      <c r="BR63" s="184">
        <f>IF(ISERR(VLOOKUP(VALUE(BR$44),'SA Data'!$C$3:$L$48,10,0)="TRUE"),0,VLOOKUP(VALUE(BR$44),'SA Data'!$C$3:$L$48,10,0))</f>
        <v>0</v>
      </c>
      <c r="BS63" s="184">
        <f>IF(ISERR(VLOOKUP(VALUE(BS$44),'SA Data'!$C$3:$L$48,10,0)="TRUE"),0,VLOOKUP(VALUE(BS$44),'SA Data'!$C$3:$L$48,10,0))</f>
        <v>0</v>
      </c>
      <c r="BT63" s="184">
        <f>IF(ISERR(VLOOKUP(VALUE(BT$44),'SA Data'!$C$3:$L$48,10,0)="TRUE"),0,VLOOKUP(VALUE(BT$44),'SA Data'!$C$3:$L$48,10,0))</f>
        <v>0</v>
      </c>
      <c r="BU63" s="184">
        <f>IF(ISERR(VLOOKUP(VALUE(BU$44),'SA Data'!$C$3:$L$48,10,0)="TRUE"),0,VLOOKUP(VALUE(BU$44),'SA Data'!$C$3:$L$48,10,0))</f>
        <v>0</v>
      </c>
      <c r="BV63" s="184">
        <f>IF(ISERR(VLOOKUP(VALUE(BV$44),'SA Data'!$C$3:$L$48,10,0)="TRUE"),0,VLOOKUP(VALUE(BV$44),'SA Data'!$C$3:$L$48,10,0))</f>
        <v>0</v>
      </c>
      <c r="BW63" s="184">
        <f>IF(ISERR(VLOOKUP(VALUE(BW$44),'SA Data'!$C$3:$L$48,10,0)="TRUE"),0,VLOOKUP(VALUE(BW$44),'SA Data'!$C$3:$L$48,10,0))</f>
        <v>0</v>
      </c>
      <c r="BX63" s="184">
        <f>IF(ISERR(VLOOKUP(VALUE(BX$44),'SA Data'!$C$3:$L$48,10,0)="TRUE"),0,VLOOKUP(VALUE(BX$44),'SA Data'!$C$3:$L$48,10,0))</f>
        <v>0</v>
      </c>
      <c r="BY63" s="184">
        <f>IF(ISERR(VLOOKUP(VALUE(BY$44),'SA Data'!$C$3:$L$48,10,0)="TRUE"),0,VLOOKUP(VALUE(BY$44),'SA Data'!$C$3:$L$48,10,0))</f>
        <v>0</v>
      </c>
      <c r="BZ63" s="184">
        <f>IF(ISERR(VLOOKUP(VALUE(BZ$44),'SA Data'!$C$3:$L$48,10,0)="TRUE"),0,VLOOKUP(VALUE(BZ$44),'SA Data'!$C$3:$L$48,10,0))</f>
        <v>0</v>
      </c>
      <c r="CA63" s="184">
        <f>IF(ISERR(VLOOKUP(VALUE(CA$44),'SA Data'!$C$3:$L$48,10,0)="TRUE"),0,VLOOKUP(VALUE(CA$44),'SA Data'!$C$3:$L$48,10,0))</f>
        <v>0</v>
      </c>
      <c r="CB63" s="184">
        <f>IF(ISERR(VLOOKUP(VALUE(CB$44),'SA Data'!$C$3:$L$48,10,0)="TRUE"),0,VLOOKUP(VALUE(CB$44),'SA Data'!$C$3:$L$48,10,0))</f>
        <v>0</v>
      </c>
      <c r="CC63" s="184">
        <f>IF(ISERR(VLOOKUP(VALUE(CC$44),'SA Data'!$C$3:$L$48,10,0)="TRUE"),0,VLOOKUP(VALUE(CC$44),'SA Data'!$C$3:$L$48,10,0))</f>
        <v>0</v>
      </c>
      <c r="CD63" s="245" t="s">
        <v>221</v>
      </c>
      <c r="CE63" s="193">
        <f t="shared" si="0"/>
        <v>6792352.4100000001</v>
      </c>
      <c r="CF63" s="248"/>
    </row>
    <row r="64" spans="1:84" ht="12.6" customHeight="1" x14ac:dyDescent="0.25">
      <c r="A64" s="171" t="s">
        <v>237</v>
      </c>
      <c r="B64" s="175"/>
      <c r="C64" s="184">
        <f>IF(ISERR(VLOOKUP(VALUE(C$44),'SA Data'!$C$3:$N$48,12,0)="TRUE"),0,VLOOKUP(VALUE(C$44),'SA Data'!$C$3:$N$48,12,0))</f>
        <v>422802.39</v>
      </c>
      <c r="D64" s="184">
        <f>IF(ISERR(VLOOKUP(VALUE(D$44),'SA Data'!$C$3:$N$48,12,0)="TRUE"),0,VLOOKUP(VALUE(D$44),'SA Data'!$C$3:$N$48,12,0))</f>
        <v>0</v>
      </c>
      <c r="E64" s="184">
        <f>IF(ISERR(VLOOKUP(VALUE(E$44),'SA Data'!$C$3:$N$48,12,0)="TRUE"),0,VLOOKUP(VALUE(E$44),'SA Data'!$C$3:$N$48,12,0))</f>
        <v>617428.3899999999</v>
      </c>
      <c r="F64" s="184">
        <f>IF(ISERR(VLOOKUP(VALUE(F$44),'SA Data'!$C$3:$N$48,12,0)="TRUE"),0,VLOOKUP(VALUE(F$44),'SA Data'!$C$3:$N$48,12,0))</f>
        <v>0</v>
      </c>
      <c r="G64" s="184">
        <f>IF(ISERR(VLOOKUP(VALUE(G$44),'SA Data'!$C$3:$N$48,12,0)="TRUE"),0,VLOOKUP(VALUE(G$44),'SA Data'!$C$3:$N$48,12,0))</f>
        <v>0</v>
      </c>
      <c r="H64" s="184">
        <f>IF(ISERR(VLOOKUP(VALUE(H$44),'SA Data'!$C$3:$N$48,12,0)="TRUE"),0,VLOOKUP(VALUE(H$44),'SA Data'!$C$3:$N$48,12,0))</f>
        <v>0</v>
      </c>
      <c r="I64" s="184">
        <f>IF(ISERR(VLOOKUP(VALUE(I$44),'SA Data'!$C$3:$N$48,12,0)="TRUE"),0,VLOOKUP(VALUE(I$44),'SA Data'!$C$3:$N$48,12,0))</f>
        <v>0</v>
      </c>
      <c r="J64" s="184">
        <f>IF(ISERR(VLOOKUP(VALUE(J$44),'SA Data'!$C$3:$N$48,12,0)="TRUE"),0,VLOOKUP(VALUE(J$44),'SA Data'!$C$3:$N$48,12,0))</f>
        <v>0</v>
      </c>
      <c r="K64" s="184">
        <f>IF(ISERR(VLOOKUP(VALUE(K$44),'SA Data'!$C$3:$N$48,12,0)="TRUE"),0,VLOOKUP(VALUE(K$44),'SA Data'!$C$3:$N$48,12,0))</f>
        <v>0</v>
      </c>
      <c r="L64" s="184">
        <f>IF(ISERR(VLOOKUP(VALUE(L$44),'SA Data'!$C$3:$N$48,12,0)="TRUE"),0,VLOOKUP(VALUE(L$44),'SA Data'!$C$3:$N$48,12,0))</f>
        <v>0</v>
      </c>
      <c r="M64" s="184">
        <f>IF(ISERR(VLOOKUP(VALUE(M$44),'SA Data'!$C$3:$N$48,12,0)="TRUE"),0,VLOOKUP(VALUE(M$44),'SA Data'!$C$3:$N$48,12,0))</f>
        <v>0</v>
      </c>
      <c r="N64" s="184">
        <f>IF(ISERR(VLOOKUP(VALUE(N$44),'SA Data'!$C$3:$N$48,12,0)="TRUE"),0,VLOOKUP(VALUE(N$44),'SA Data'!$C$3:$N$48,12,0))</f>
        <v>0</v>
      </c>
      <c r="O64" s="184">
        <f>IF(ISERR(VLOOKUP(VALUE(O$44),'SA Data'!$C$3:$N$48,12,0)="TRUE"),0,VLOOKUP(VALUE(O$44),'SA Data'!$C$3:$N$48,12,0))</f>
        <v>0</v>
      </c>
      <c r="P64" s="184">
        <f>IF(ISERR(VLOOKUP(VALUE(P$44),'SA Data'!$C$3:$N$48,12,0)="TRUE"),0,VLOOKUP(VALUE(P$44),'SA Data'!$C$3:$N$48,12,0))</f>
        <v>12839275.740000002</v>
      </c>
      <c r="Q64" s="184">
        <f>IF(ISERR(VLOOKUP(VALUE(Q$44),'SA Data'!$C$3:$N$48,12,0)="TRUE"),0,VLOOKUP(VALUE(Q$44),'SA Data'!$C$3:$N$48,12,0))</f>
        <v>212004.52999999997</v>
      </c>
      <c r="R64" s="184">
        <f>IF(ISERR(VLOOKUP(VALUE(R$44),'SA Data'!$C$3:$N$48,12,0)="TRUE"),0,VLOOKUP(VALUE(R$44),'SA Data'!$C$3:$N$48,12,0))</f>
        <v>0</v>
      </c>
      <c r="S64" s="184">
        <f>IF(ISERR(VLOOKUP(VALUE(S$44),'SA Data'!$C$3:$N$48,12,0)="TRUE"),0,VLOOKUP(VALUE(S$44),'SA Data'!$C$3:$N$48,12,0))</f>
        <v>-118314.37000000017</v>
      </c>
      <c r="T64" s="184">
        <f>IF(ISERR(VLOOKUP(VALUE(T$44),'SA Data'!$C$3:$N$48,12,0)="TRUE"),0,VLOOKUP(VALUE(T$44),'SA Data'!$C$3:$N$48,12,0))</f>
        <v>191285.38999999998</v>
      </c>
      <c r="U64" s="184">
        <f>IF(ISERR(VLOOKUP(VALUE(U$44),'SA Data'!$C$3:$N$48,12,0)="TRUE"),0,VLOOKUP(VALUE(U$44),'SA Data'!$C$3:$N$48,12,0))</f>
        <v>1278542.0899999999</v>
      </c>
      <c r="V64" s="184">
        <f>IF(ISERR(VLOOKUP(VALUE(V$44),'SA Data'!$C$3:$N$48,12,0)="TRUE"),0,VLOOKUP(VALUE(V$44),'SA Data'!$C$3:$N$48,12,0))</f>
        <v>0</v>
      </c>
      <c r="W64" s="184">
        <f>IF(ISERR(VLOOKUP(VALUE(W$44),'SA Data'!$C$3:$N$48,12,0)="TRUE"),0,VLOOKUP(VALUE(W$44),'SA Data'!$C$3:$N$48,12,0))</f>
        <v>45364.99</v>
      </c>
      <c r="X64" s="184">
        <f>IF(ISERR(VLOOKUP(VALUE(X$44),'SA Data'!$C$3:$N$48,12,0)="TRUE"),0,VLOOKUP(VALUE(X$44),'SA Data'!$C$3:$N$48,12,0))</f>
        <v>75783.48000000001</v>
      </c>
      <c r="Y64" s="184">
        <f>IF(ISERR(VLOOKUP(VALUE(Y$44),'SA Data'!$C$3:$N$48,12,0)="TRUE"),0,VLOOKUP(VALUE(Y$44),'SA Data'!$C$3:$N$48,12,0))</f>
        <v>205491.38</v>
      </c>
      <c r="Z64" s="184">
        <f>IF(ISERR(VLOOKUP(VALUE(Z$44),'SA Data'!$C$3:$N$48,12,0)="TRUE"),0,VLOOKUP(VALUE(Z$44),'SA Data'!$C$3:$N$48,12,0))</f>
        <v>0</v>
      </c>
      <c r="AA64" s="184">
        <f>IF(ISERR(VLOOKUP(VALUE(AA$44),'SA Data'!$C$3:$N$48,12,0)="TRUE"),0,VLOOKUP(VALUE(AA$44),'SA Data'!$C$3:$N$48,12,0))</f>
        <v>297671.37000000005</v>
      </c>
      <c r="AB64" s="184">
        <f>IF(ISERR(VLOOKUP(VALUE(AB$44),'SA Data'!$C$3:$N$48,12,0)="TRUE"),0,VLOOKUP(VALUE(AB$44),'SA Data'!$C$3:$N$48,12,0))</f>
        <v>7485165.7499999991</v>
      </c>
      <c r="AC64" s="184">
        <f>IF(ISERR(VLOOKUP(VALUE(AC$44),'SA Data'!$C$3:$N$48,12,0)="TRUE"),0,VLOOKUP(VALUE(AC$44),'SA Data'!$C$3:$N$48,12,0))</f>
        <v>255223.48999999996</v>
      </c>
      <c r="AD64" s="184">
        <f>IF(ISERR(VLOOKUP(VALUE(AD$44),'SA Data'!$C$3:$N$48,12,0)="TRUE"),0,VLOOKUP(VALUE(AD$44),'SA Data'!$C$3:$N$48,12,0))</f>
        <v>51010.239999999998</v>
      </c>
      <c r="AE64" s="184">
        <f>IF(ISERR(VLOOKUP(VALUE(AE$44),'SA Data'!$C$3:$N$48,12,0)="TRUE"),0,VLOOKUP(VALUE(AE$44),'SA Data'!$C$3:$N$48,12,0))</f>
        <v>12656.660000000002</v>
      </c>
      <c r="AF64" s="184">
        <f>IF(ISERR(VLOOKUP(VALUE(AF$44),'SA Data'!$C$3:$N$48,12,0)="TRUE"),0,VLOOKUP(VALUE(AF$44),'SA Data'!$C$3:$N$48,12,0))</f>
        <v>0</v>
      </c>
      <c r="AG64" s="184">
        <f>IF(ISERR(VLOOKUP(VALUE(AG$44),'SA Data'!$C$3:$N$48,12,0)="TRUE"),0,VLOOKUP(VALUE(AG$44),'SA Data'!$C$3:$N$48,12,0))</f>
        <v>694138.99</v>
      </c>
      <c r="AH64" s="184">
        <f>IF(ISERR(VLOOKUP(VALUE(AH$44),'SA Data'!$C$3:$N$48,12,0)="TRUE"),0,VLOOKUP(VALUE(AH$44),'SA Data'!$C$3:$N$48,12,0))</f>
        <v>0</v>
      </c>
      <c r="AI64" s="184">
        <f>IF(ISERR(VLOOKUP(VALUE(AI$44),'SA Data'!$C$3:$N$48,12,0)="TRUE"),0,VLOOKUP(VALUE(AI$44),'SA Data'!$C$3:$N$48,12,0))</f>
        <v>0</v>
      </c>
      <c r="AJ64" s="184">
        <f>IF(ISERR(VLOOKUP(VALUE(AJ$44),'SA Data'!$C$3:$N$48,12,0)="TRUE"),0,VLOOKUP(VALUE(AJ$44),'SA Data'!$C$3:$N$48,12,0))</f>
        <v>1385475.1</v>
      </c>
      <c r="AK64" s="184">
        <f>IF(ISERR(VLOOKUP(VALUE(AK$44),'SA Data'!$C$3:$N$48,12,0)="TRUE"),0,VLOOKUP(VALUE(AK$44),'SA Data'!$C$3:$N$48,12,0))</f>
        <v>870.88</v>
      </c>
      <c r="AL64" s="184">
        <f>IF(ISERR(VLOOKUP(VALUE(AL$44),'SA Data'!$C$3:$N$48,12,0)="TRUE"),0,VLOOKUP(VALUE(AL$44),'SA Data'!$C$3:$N$48,12,0))</f>
        <v>20.65</v>
      </c>
      <c r="AM64" s="184">
        <f>IF(ISERR(VLOOKUP(VALUE(AM$44),'SA Data'!$C$3:$N$48,12,0)="TRUE"),0,VLOOKUP(VALUE(AM$44),'SA Data'!$C$3:$N$48,12,0))</f>
        <v>0</v>
      </c>
      <c r="AN64" s="184">
        <f>IF(ISERR(VLOOKUP(VALUE(AN$44),'SA Data'!$C$3:$N$48,12,0)="TRUE"),0,VLOOKUP(VALUE(AN$44),'SA Data'!$C$3:$N$48,12,0))</f>
        <v>0</v>
      </c>
      <c r="AO64" s="184">
        <f>IF(ISERR(VLOOKUP(VALUE(AO$44),'SA Data'!$C$3:$N$48,12,0)="TRUE"),0,VLOOKUP(VALUE(AO$44),'SA Data'!$C$3:$N$48,12,0))</f>
        <v>0</v>
      </c>
      <c r="AP64" s="184">
        <f>IF(ISERR(VLOOKUP(VALUE(AP$44),'SA Data'!$C$3:$N$48,12,0)="TRUE"),0,VLOOKUP(VALUE(AP$44),'SA Data'!$C$3:$N$48,12,0))</f>
        <v>0</v>
      </c>
      <c r="AQ64" s="184">
        <f>IF(ISERR(VLOOKUP(VALUE(AQ$44),'SA Data'!$C$3:$N$48,12,0)="TRUE"),0,VLOOKUP(VALUE(AQ$44),'SA Data'!$C$3:$N$48,12,0))</f>
        <v>0</v>
      </c>
      <c r="AR64" s="184">
        <f>IF(ISERR(VLOOKUP(VALUE(AR$44),'SA Data'!$C$3:$N$48,12,0)="TRUE"),0,VLOOKUP(VALUE(AR$44),'SA Data'!$C$3:$N$48,12,0))</f>
        <v>0</v>
      </c>
      <c r="AS64" s="184">
        <f>IF(ISERR(VLOOKUP(VALUE(AS$44),'SA Data'!$C$3:$N$48,12,0)="TRUE"),0,VLOOKUP(VALUE(AS$44),'SA Data'!$C$3:$N$48,12,0))</f>
        <v>0</v>
      </c>
      <c r="AT64" s="184">
        <f>IF(ISERR(VLOOKUP(VALUE(AT$44),'SA Data'!$C$3:$N$48,12,0)="TRUE"),0,VLOOKUP(VALUE(AT$44),'SA Data'!$C$3:$N$48,12,0))</f>
        <v>0</v>
      </c>
      <c r="AU64" s="184">
        <f>IF(ISERR(VLOOKUP(VALUE(AU$44),'SA Data'!$C$3:$N$48,12,0)="TRUE"),0,VLOOKUP(VALUE(AU$44),'SA Data'!$C$3:$N$48,12,0))</f>
        <v>0</v>
      </c>
      <c r="AV64" s="184">
        <f>IF(ISERR(VLOOKUP(VALUE(AV$44),'SA Data'!$C$3:$N$48,12,0)="TRUE"),0,VLOOKUP(VALUE(AV$44),'SA Data'!$C$3:$N$48,12,0))</f>
        <v>38705.74</v>
      </c>
      <c r="AW64" s="184">
        <f>IF(ISERR(VLOOKUP(VALUE(AW$44),'SA Data'!$C$3:$N$48,12,0)="TRUE"),0,VLOOKUP(VALUE(AW$44),'SA Data'!$C$3:$N$48,12,0))</f>
        <v>0</v>
      </c>
      <c r="AX64" s="184">
        <f>IF(ISERR(VLOOKUP(VALUE(AX$44),'SA Data'!$C$3:$N$48,12,0)="TRUE"),0,VLOOKUP(VALUE(AX$44),'SA Data'!$C$3:$N$48,12,0))</f>
        <v>0</v>
      </c>
      <c r="AY64" s="184">
        <f>IF(ISERR(VLOOKUP(VALUE(AY$44),'SA Data'!$C$3:$N$48,12,0)="TRUE"),0,VLOOKUP(VALUE(AY$44),'SA Data'!$C$3:$N$48,12,0))</f>
        <v>0</v>
      </c>
      <c r="AZ64" s="184">
        <f>IF(ISERR(VLOOKUP(VALUE(AZ$44),'SA Data'!$C$3:$N$48,12,0)="TRUE"),0,VLOOKUP(VALUE(AZ$44),'SA Data'!$C$3:$N$48,12,0))</f>
        <v>692637.77999999991</v>
      </c>
      <c r="BA64" s="184">
        <f>IF(ISERR(VLOOKUP(VALUE(BA$44),'SA Data'!$C$3:$N$48,12,0)="TRUE"),0,VLOOKUP(VALUE(BA$44),'SA Data'!$C$3:$N$48,12,0))</f>
        <v>0</v>
      </c>
      <c r="BB64" s="184">
        <f>IF(ISERR(VLOOKUP(VALUE(BB$44),'SA Data'!$C$3:$N$48,12,0)="TRUE"),0,VLOOKUP(VALUE(BB$44),'SA Data'!$C$3:$N$48,12,0))</f>
        <v>0</v>
      </c>
      <c r="BC64" s="184">
        <f>IF(ISERR(VLOOKUP(VALUE(BC$44),'SA Data'!$C$3:$N$48,12,0)="TRUE"),0,VLOOKUP(VALUE(BC$44),'SA Data'!$C$3:$N$48,12,0))</f>
        <v>0</v>
      </c>
      <c r="BD64" s="184">
        <f>IF(ISERR(VLOOKUP(VALUE(BD$44),'SA Data'!$C$3:$N$48,12,0)="TRUE"),0,VLOOKUP(VALUE(BD$44),'SA Data'!$C$3:$N$48,12,0))</f>
        <v>0</v>
      </c>
      <c r="BE64" s="184">
        <f>IF(ISERR(VLOOKUP(VALUE(BE$44),'SA Data'!$C$3:$N$48,12,0)="TRUE"),0,VLOOKUP(VALUE(BE$44),'SA Data'!$C$3:$N$48,12,0))</f>
        <v>45325.35</v>
      </c>
      <c r="BF64" s="184">
        <f>IF(ISERR(VLOOKUP(VALUE(BF$44),'SA Data'!$C$3:$N$48,12,0)="TRUE"),0,VLOOKUP(VALUE(BF$44),'SA Data'!$C$3:$N$48,12,0))</f>
        <v>203614.63000000003</v>
      </c>
      <c r="BG64" s="184">
        <f>IF(ISERR(VLOOKUP(VALUE(BG$44),'SA Data'!$C$3:$N$48,12,0)="TRUE"),0,VLOOKUP(VALUE(BG$44),'SA Data'!$C$3:$N$48,12,0))</f>
        <v>0</v>
      </c>
      <c r="BH64" s="184">
        <f>IF(ISERR(VLOOKUP(VALUE(BH$44),'SA Data'!$C$3:$N$48,12,0)="TRUE"),0,VLOOKUP(VALUE(BH$44),'SA Data'!$C$3:$N$48,12,0))</f>
        <v>0</v>
      </c>
      <c r="BI64" s="184">
        <f>IF(ISERR(VLOOKUP(VALUE(BI$44),'SA Data'!$C$3:$N$48,12,0)="TRUE"),0,VLOOKUP(VALUE(BI$44),'SA Data'!$C$3:$N$48,12,0))</f>
        <v>73564.749999999985</v>
      </c>
      <c r="BJ64" s="184">
        <f>IF(ISERR(VLOOKUP(VALUE(BJ$44),'SA Data'!$C$3:$N$48,12,0)="TRUE"),0,VLOOKUP(VALUE(BJ$44),'SA Data'!$C$3:$N$48,12,0))</f>
        <v>0</v>
      </c>
      <c r="BK64" s="184">
        <f>IF(ISERR(VLOOKUP(VALUE(BK$44),'SA Data'!$C$3:$N$48,12,0)="TRUE"),0,VLOOKUP(VALUE(BK$44),'SA Data'!$C$3:$N$48,12,0))</f>
        <v>0</v>
      </c>
      <c r="BL64" s="184">
        <f>IF(ISERR(VLOOKUP(VALUE(BL$44),'SA Data'!$C$3:$N$48,12,0)="TRUE"),0,VLOOKUP(VALUE(BL$44),'SA Data'!$C$3:$N$48,12,0))</f>
        <v>17669.960000000003</v>
      </c>
      <c r="BM64" s="184">
        <f>IF(ISERR(VLOOKUP(VALUE(BM$44),'SA Data'!$C$3:$N$48,12,0)="TRUE"),0,VLOOKUP(VALUE(BM$44),'SA Data'!$C$3:$N$48,12,0))</f>
        <v>0</v>
      </c>
      <c r="BN64" s="184">
        <f>IF(ISERR(VLOOKUP(VALUE(BN$44),'SA Data'!$C$3:$N$48,12,0)="TRUE"),0,VLOOKUP(VALUE(BN$44),'SA Data'!$C$3:$N$48,12,0))</f>
        <v>98404.800000000003</v>
      </c>
      <c r="BO64" s="184">
        <f>IF(ISERR(VLOOKUP(VALUE(BO$44),'SA Data'!$C$3:$N$48,12,0)="TRUE"),0,VLOOKUP(VALUE(BO$44),'SA Data'!$C$3:$N$48,12,0))</f>
        <v>0</v>
      </c>
      <c r="BP64" s="184">
        <f>IF(ISERR(VLOOKUP(VALUE(BP$44),'SA Data'!$C$3:$N$48,12,0)="TRUE"),0,VLOOKUP(VALUE(BP$44),'SA Data'!$C$3:$N$48,12,0))</f>
        <v>0</v>
      </c>
      <c r="BQ64" s="184">
        <f>IF(ISERR(VLOOKUP(VALUE(BQ$44),'SA Data'!$C$3:$N$48,12,0)="TRUE"),0,VLOOKUP(VALUE(BQ$44),'SA Data'!$C$3:$N$48,12,0))</f>
        <v>0</v>
      </c>
      <c r="BR64" s="184">
        <f>IF(ISERR(VLOOKUP(VALUE(BR$44),'SA Data'!$C$3:$N$48,12,0)="TRUE"),0,VLOOKUP(VALUE(BR$44),'SA Data'!$C$3:$N$48,12,0))</f>
        <v>0</v>
      </c>
      <c r="BS64" s="184">
        <f>IF(ISERR(VLOOKUP(VALUE(BS$44),'SA Data'!$C$3:$N$48,12,0)="TRUE"),0,VLOOKUP(VALUE(BS$44),'SA Data'!$C$3:$N$48,12,0))</f>
        <v>0</v>
      </c>
      <c r="BT64" s="184">
        <f>IF(ISERR(VLOOKUP(VALUE(BT$44),'SA Data'!$C$3:$N$48,12,0)="TRUE"),0,VLOOKUP(VALUE(BT$44),'SA Data'!$C$3:$N$48,12,0))</f>
        <v>0</v>
      </c>
      <c r="BU64" s="184">
        <f>IF(ISERR(VLOOKUP(VALUE(BU$44),'SA Data'!$C$3:$N$48,12,0)="TRUE"),0,VLOOKUP(VALUE(BU$44),'SA Data'!$C$3:$N$48,12,0))</f>
        <v>0</v>
      </c>
      <c r="BV64" s="184">
        <f>IF(ISERR(VLOOKUP(VALUE(BV$44),'SA Data'!$C$3:$N$48,12,0)="TRUE"),0,VLOOKUP(VALUE(BV$44),'SA Data'!$C$3:$N$48,12,0))</f>
        <v>0</v>
      </c>
      <c r="BW64" s="184">
        <f>IF(ISERR(VLOOKUP(VALUE(BW$44),'SA Data'!$C$3:$N$48,12,0)="TRUE"),0,VLOOKUP(VALUE(BW$44),'SA Data'!$C$3:$N$48,12,0))</f>
        <v>0</v>
      </c>
      <c r="BX64" s="184">
        <f>IF(ISERR(VLOOKUP(VALUE(BX$44),'SA Data'!$C$3:$N$48,12,0)="TRUE"),0,VLOOKUP(VALUE(BX$44),'SA Data'!$C$3:$N$48,12,0))</f>
        <v>0</v>
      </c>
      <c r="BY64" s="184">
        <f>IF(ISERR(VLOOKUP(VALUE(BY$44),'SA Data'!$C$3:$N$48,12,0)="TRUE"),0,VLOOKUP(VALUE(BY$44),'SA Data'!$C$3:$N$48,12,0))</f>
        <v>1246.93</v>
      </c>
      <c r="BZ64" s="184">
        <f>IF(ISERR(VLOOKUP(VALUE(BZ$44),'SA Data'!$C$3:$N$48,12,0)="TRUE"),0,VLOOKUP(VALUE(BZ$44),'SA Data'!$C$3:$N$48,12,0))</f>
        <v>0</v>
      </c>
      <c r="CA64" s="184">
        <f>IF(ISERR(VLOOKUP(VALUE(CA$44),'SA Data'!$C$3:$N$48,12,0)="TRUE"),0,VLOOKUP(VALUE(CA$44),'SA Data'!$C$3:$N$48,12,0))</f>
        <v>0</v>
      </c>
      <c r="CB64" s="184">
        <f>IF(ISERR(VLOOKUP(VALUE(CB$44),'SA Data'!$C$3:$N$48,12,0)="TRUE"),0,VLOOKUP(VALUE(CB$44),'SA Data'!$C$3:$N$48,12,0))</f>
        <v>0</v>
      </c>
      <c r="CC64" s="184">
        <f>IF(ISERR(VLOOKUP(VALUE(CC$44),'SA Data'!$C$3:$N$49,12,0)="TRUE"),0,VLOOKUP(VALUE(CC$44),'SA Data'!$C$3:$N$49,12,0))+47197-124</f>
        <v>47089.99</v>
      </c>
      <c r="CD64" s="245" t="s">
        <v>221</v>
      </c>
      <c r="CE64" s="193">
        <f t="shared" si="0"/>
        <v>27170157.069999993</v>
      </c>
      <c r="CF64" s="248"/>
    </row>
    <row r="65" spans="1:84" ht="12.6" customHeight="1" x14ac:dyDescent="0.25">
      <c r="A65" s="171" t="s">
        <v>238</v>
      </c>
      <c r="B65" s="175"/>
      <c r="C65" s="184">
        <f>IF(ISERR(VLOOKUP(VALUE(C$44),'SA Data'!$C$3:$O$48,13,0)="TRUE"),0,VLOOKUP(VALUE(C$44),'SA Data'!$C$3:$O$48,13,0))</f>
        <v>366.42</v>
      </c>
      <c r="D65" s="184">
        <f>IF(ISERR(VLOOKUP(VALUE(D$44),'SA Data'!$C$3:$O$48,13,0)="TRUE"),0,VLOOKUP(VALUE(D$44),'SA Data'!$C$3:$O$48,13,0))</f>
        <v>0</v>
      </c>
      <c r="E65" s="184">
        <f>IF(ISERR(VLOOKUP(VALUE(E$44),'SA Data'!$C$3:$O$48,13,0)="TRUE"),0,VLOOKUP(VALUE(E$44),'SA Data'!$C$3:$O$48,13,0))</f>
        <v>1542.03</v>
      </c>
      <c r="F65" s="184">
        <f>IF(ISERR(VLOOKUP(VALUE(F$44),'SA Data'!$C$3:$O$48,13,0)="TRUE"),0,VLOOKUP(VALUE(F$44),'SA Data'!$C$3:$O$48,13,0))</f>
        <v>0</v>
      </c>
      <c r="G65" s="184">
        <f>IF(ISERR(VLOOKUP(VALUE(G$44),'SA Data'!$C$3:$O$48,13,0)="TRUE"),0,VLOOKUP(VALUE(G$44),'SA Data'!$C$3:$O$48,13,0))</f>
        <v>0</v>
      </c>
      <c r="H65" s="184">
        <f>IF(ISERR(VLOOKUP(VALUE(H$44),'SA Data'!$C$3:$O$48,13,0)="TRUE"),0,VLOOKUP(VALUE(H$44),'SA Data'!$C$3:$O$48,13,0))</f>
        <v>0</v>
      </c>
      <c r="I65" s="184">
        <f>IF(ISERR(VLOOKUP(VALUE(I$44),'SA Data'!$C$3:$O$48,13,0)="TRUE"),0,VLOOKUP(VALUE(I$44),'SA Data'!$C$3:$O$48,13,0))</f>
        <v>0</v>
      </c>
      <c r="J65" s="184">
        <f>IF(ISERR(VLOOKUP(VALUE(J$44),'SA Data'!$C$3:$O$48,13,0)="TRUE"),0,VLOOKUP(VALUE(J$44),'SA Data'!$C$3:$O$48,13,0))</f>
        <v>0</v>
      </c>
      <c r="K65" s="184">
        <f>IF(ISERR(VLOOKUP(VALUE(K$44),'SA Data'!$C$3:$O$48,13,0)="TRUE"),0,VLOOKUP(VALUE(K$44),'SA Data'!$C$3:$O$48,13,0))</f>
        <v>0</v>
      </c>
      <c r="L65" s="184">
        <f>IF(ISERR(VLOOKUP(VALUE(L$44),'SA Data'!$C$3:$O$48,13,0)="TRUE"),0,VLOOKUP(VALUE(L$44),'SA Data'!$C$3:$O$48,13,0))</f>
        <v>0</v>
      </c>
      <c r="M65" s="184">
        <f>IF(ISERR(VLOOKUP(VALUE(M$44),'SA Data'!$C$3:$O$48,13,0)="TRUE"),0,VLOOKUP(VALUE(M$44),'SA Data'!$C$3:$O$48,13,0))</f>
        <v>0</v>
      </c>
      <c r="N65" s="184">
        <f>IF(ISERR(VLOOKUP(VALUE(N$44),'SA Data'!$C$3:$O$48,13,0)="TRUE"),0,VLOOKUP(VALUE(N$44),'SA Data'!$C$3:$O$48,13,0))</f>
        <v>0</v>
      </c>
      <c r="O65" s="184">
        <f>IF(ISERR(VLOOKUP(VALUE(O$44),'SA Data'!$C$3:$O$48,13,0)="TRUE"),0,VLOOKUP(VALUE(O$44),'SA Data'!$C$3:$O$48,13,0))</f>
        <v>0</v>
      </c>
      <c r="P65" s="184">
        <f>IF(ISERR(VLOOKUP(VALUE(P$44),'SA Data'!$C$3:$O$48,13,0)="TRUE"),0,VLOOKUP(VALUE(P$44),'SA Data'!$C$3:$O$48,13,0))</f>
        <v>2976.09</v>
      </c>
      <c r="Q65" s="184">
        <f>IF(ISERR(VLOOKUP(VALUE(Q$44),'SA Data'!$C$3:$O$48,13,0)="TRUE"),0,VLOOKUP(VALUE(Q$44),'SA Data'!$C$3:$O$48,13,0))</f>
        <v>878.76</v>
      </c>
      <c r="R65" s="184">
        <f>IF(ISERR(VLOOKUP(VALUE(R$44),'SA Data'!$C$3:$O$48,13,0)="TRUE"),0,VLOOKUP(VALUE(R$44),'SA Data'!$C$3:$O$48,13,0))</f>
        <v>0</v>
      </c>
      <c r="S65" s="184">
        <f>IF(ISERR(VLOOKUP(VALUE(S$44),'SA Data'!$C$3:$O$48,13,0)="TRUE"),0,VLOOKUP(VALUE(S$44),'SA Data'!$C$3:$O$48,13,0))</f>
        <v>0</v>
      </c>
      <c r="T65" s="184">
        <f>IF(ISERR(VLOOKUP(VALUE(T$44),'SA Data'!$C$3:$O$48,13,0)="TRUE"),0,VLOOKUP(VALUE(T$44),'SA Data'!$C$3:$O$48,13,0))</f>
        <v>97.38</v>
      </c>
      <c r="U65" s="184">
        <f>IF(ISERR(VLOOKUP(VALUE(U$44),'SA Data'!$C$3:$O$48,13,0)="TRUE"),0,VLOOKUP(VALUE(U$44),'SA Data'!$C$3:$O$48,13,0))</f>
        <v>97.38</v>
      </c>
      <c r="V65" s="184">
        <f>IF(ISERR(VLOOKUP(VALUE(V$44),'SA Data'!$C$3:$O$48,13,0)="TRUE"),0,VLOOKUP(VALUE(V$44),'SA Data'!$C$3:$O$48,13,0))</f>
        <v>0</v>
      </c>
      <c r="W65" s="184">
        <f>IF(ISERR(VLOOKUP(VALUE(W$44),'SA Data'!$C$3:$O$48,13,0)="TRUE"),0,VLOOKUP(VALUE(W$44),'SA Data'!$C$3:$O$48,13,0))</f>
        <v>0</v>
      </c>
      <c r="X65" s="184">
        <f>IF(ISERR(VLOOKUP(VALUE(X$44),'SA Data'!$C$3:$O$48,13,0)="TRUE"),0,VLOOKUP(VALUE(X$44),'SA Data'!$C$3:$O$48,13,0))</f>
        <v>0</v>
      </c>
      <c r="Y65" s="184">
        <f>IF(ISERR(VLOOKUP(VALUE(Y$44),'SA Data'!$C$3:$O$48,13,0)="TRUE"),0,VLOOKUP(VALUE(Y$44),'SA Data'!$C$3:$O$48,13,0))</f>
        <v>292.14</v>
      </c>
      <c r="Z65" s="184">
        <f>IF(ISERR(VLOOKUP(VALUE(Z$44),'SA Data'!$C$3:$O$48,13,0)="TRUE"),0,VLOOKUP(VALUE(Z$44),'SA Data'!$C$3:$O$48,13,0))</f>
        <v>0</v>
      </c>
      <c r="AA65" s="184">
        <f>IF(ISERR(VLOOKUP(VALUE(AA$44),'SA Data'!$C$3:$O$48,13,0)="TRUE"),0,VLOOKUP(VALUE(AA$44),'SA Data'!$C$3:$O$48,13,0))</f>
        <v>0</v>
      </c>
      <c r="AB65" s="184">
        <f>IF(ISERR(VLOOKUP(VALUE(AB$44),'SA Data'!$C$3:$O$48,13,0)="TRUE"),0,VLOOKUP(VALUE(AB$44),'SA Data'!$C$3:$O$48,13,0))</f>
        <v>292.14</v>
      </c>
      <c r="AC65" s="184">
        <f>IF(ISERR(VLOOKUP(VALUE(AC$44),'SA Data'!$C$3:$O$48,13,0)="TRUE"),0,VLOOKUP(VALUE(AC$44),'SA Data'!$C$3:$O$48,13,0))</f>
        <v>500.15</v>
      </c>
      <c r="AD65" s="184">
        <f>IF(ISERR(VLOOKUP(VALUE(AD$44),'SA Data'!$C$3:$O$48,13,0)="TRUE"),0,VLOOKUP(VALUE(AD$44),'SA Data'!$C$3:$O$48,13,0))</f>
        <v>0</v>
      </c>
      <c r="AE65" s="184">
        <f>IF(ISERR(VLOOKUP(VALUE(AE$44),'SA Data'!$C$3:$O$48,13,0)="TRUE"),0,VLOOKUP(VALUE(AE$44),'SA Data'!$C$3:$O$48,13,0))</f>
        <v>0</v>
      </c>
      <c r="AF65" s="184">
        <f>IF(ISERR(VLOOKUP(VALUE(AF$44),'SA Data'!$C$3:$O$48,13,0)="TRUE"),0,VLOOKUP(VALUE(AF$44),'SA Data'!$C$3:$O$48,13,0))</f>
        <v>0</v>
      </c>
      <c r="AG65" s="184">
        <f>IF(ISERR(VLOOKUP(VALUE(AG$44),'SA Data'!$C$3:$O$48,13,0)="TRUE"),0,VLOOKUP(VALUE(AG$44),'SA Data'!$C$3:$O$48,13,0))</f>
        <v>447.6</v>
      </c>
      <c r="AH65" s="184">
        <f>IF(ISERR(VLOOKUP(VALUE(AH$44),'SA Data'!$C$3:$O$48,13,0)="TRUE"),0,VLOOKUP(VALUE(AH$44),'SA Data'!$C$3:$O$48,13,0))</f>
        <v>0</v>
      </c>
      <c r="AI65" s="184">
        <f>IF(ISERR(VLOOKUP(VALUE(AI$44),'SA Data'!$C$3:$O$48,13,0)="TRUE"),0,VLOOKUP(VALUE(AI$44),'SA Data'!$C$3:$O$48,13,0))</f>
        <v>0</v>
      </c>
      <c r="AJ65" s="184">
        <f>IF(ISERR(VLOOKUP(VALUE(AJ$44),'SA Data'!$C$3:$O$48,13,0)="TRUE"),0,VLOOKUP(VALUE(AJ$44),'SA Data'!$C$3:$O$48,13,0))</f>
        <v>89665.9</v>
      </c>
      <c r="AK65" s="184">
        <f>IF(ISERR(VLOOKUP(VALUE(AK$44),'SA Data'!$C$3:$O$48,13,0)="TRUE"),0,VLOOKUP(VALUE(AK$44),'SA Data'!$C$3:$O$48,13,0))</f>
        <v>0</v>
      </c>
      <c r="AL65" s="184">
        <f>IF(ISERR(VLOOKUP(VALUE(AL$44),'SA Data'!$C$3:$O$48,13,0)="TRUE"),0,VLOOKUP(VALUE(AL$44),'SA Data'!$C$3:$O$48,13,0))</f>
        <v>0</v>
      </c>
      <c r="AM65" s="184">
        <f>IF(ISERR(VLOOKUP(VALUE(AM$44),'SA Data'!$C$3:$O$48,13,0)="TRUE"),0,VLOOKUP(VALUE(AM$44),'SA Data'!$C$3:$O$48,13,0))</f>
        <v>0</v>
      </c>
      <c r="AN65" s="184">
        <f>IF(ISERR(VLOOKUP(VALUE(AN$44),'SA Data'!$C$3:$O$48,13,0)="TRUE"),0,VLOOKUP(VALUE(AN$44),'SA Data'!$C$3:$O$48,13,0))</f>
        <v>0</v>
      </c>
      <c r="AO65" s="184">
        <f>IF(ISERR(VLOOKUP(VALUE(AO$44),'SA Data'!$C$3:$O$48,13,0)="TRUE"),0,VLOOKUP(VALUE(AO$44),'SA Data'!$C$3:$O$48,13,0))</f>
        <v>0</v>
      </c>
      <c r="AP65" s="184">
        <f>IF(ISERR(VLOOKUP(VALUE(AP$44),'SA Data'!$C$3:$O$48,13,0)="TRUE"),0,VLOOKUP(VALUE(AP$44),'SA Data'!$C$3:$O$48,13,0))</f>
        <v>0</v>
      </c>
      <c r="AQ65" s="184">
        <f>IF(ISERR(VLOOKUP(VALUE(AQ$44),'SA Data'!$C$3:$O$48,13,0)="TRUE"),0,VLOOKUP(VALUE(AQ$44),'SA Data'!$C$3:$O$48,13,0))</f>
        <v>0</v>
      </c>
      <c r="AR65" s="184">
        <f>IF(ISERR(VLOOKUP(VALUE(AR$44),'SA Data'!$C$3:$O$48,13,0)="TRUE"),0,VLOOKUP(VALUE(AR$44),'SA Data'!$C$3:$O$48,13,0))</f>
        <v>0</v>
      </c>
      <c r="AS65" s="184">
        <f>IF(ISERR(VLOOKUP(VALUE(AS$44),'SA Data'!$C$3:$O$48,13,0)="TRUE"),0,VLOOKUP(VALUE(AS$44),'SA Data'!$C$3:$O$48,13,0))</f>
        <v>0</v>
      </c>
      <c r="AT65" s="184">
        <f>IF(ISERR(VLOOKUP(VALUE(AT$44),'SA Data'!$C$3:$O$48,13,0)="TRUE"),0,VLOOKUP(VALUE(AT$44),'SA Data'!$C$3:$O$48,13,0))</f>
        <v>0</v>
      </c>
      <c r="AU65" s="184">
        <f>IF(ISERR(VLOOKUP(VALUE(AU$44),'SA Data'!$C$3:$O$48,13,0)="TRUE"),0,VLOOKUP(VALUE(AU$44),'SA Data'!$C$3:$O$48,13,0))</f>
        <v>0</v>
      </c>
      <c r="AV65" s="184">
        <f>IF(ISERR(VLOOKUP(VALUE(AV$44),'SA Data'!$C$3:$O$48,13,0)="TRUE"),0,VLOOKUP(VALUE(AV$44),'SA Data'!$C$3:$O$48,13,0))</f>
        <v>1596.81</v>
      </c>
      <c r="AW65" s="184">
        <f>IF(ISERR(VLOOKUP(VALUE(AW$44),'SA Data'!$C$3:$O$48,13,0)="TRUE"),0,VLOOKUP(VALUE(AW$44),'SA Data'!$C$3:$O$48,13,0))</f>
        <v>0</v>
      </c>
      <c r="AX65" s="184">
        <f>IF(ISERR(VLOOKUP(VALUE(AX$44),'SA Data'!$C$3:$O$48,13,0)="TRUE"),0,VLOOKUP(VALUE(AX$44),'SA Data'!$C$3:$O$48,13,0))</f>
        <v>0</v>
      </c>
      <c r="AY65" s="184">
        <f>IF(ISERR(VLOOKUP(VALUE(AY$44),'SA Data'!$C$3:$O$48,13,0)="TRUE"),0,VLOOKUP(VALUE(AY$44),'SA Data'!$C$3:$O$48,13,0))</f>
        <v>0</v>
      </c>
      <c r="AZ65" s="184">
        <f>IF(ISERR(VLOOKUP(VALUE(AZ$44),'SA Data'!$C$3:$O$48,13,0)="TRUE"),0,VLOOKUP(VALUE(AZ$44),'SA Data'!$C$3:$O$48,13,0))</f>
        <v>97.38</v>
      </c>
      <c r="BA65" s="184">
        <f>IF(ISERR(VLOOKUP(VALUE(BA$44),'SA Data'!$C$3:$O$48,13,0)="TRUE"),0,VLOOKUP(VALUE(BA$44),'SA Data'!$C$3:$O$48,13,0))</f>
        <v>0</v>
      </c>
      <c r="BB65" s="184">
        <f>IF(ISERR(VLOOKUP(VALUE(BB$44),'SA Data'!$C$3:$O$48,13,0)="TRUE"),0,VLOOKUP(VALUE(BB$44),'SA Data'!$C$3:$O$48,13,0))</f>
        <v>0</v>
      </c>
      <c r="BC65" s="184">
        <f>IF(ISERR(VLOOKUP(VALUE(BC$44),'SA Data'!$C$3:$O$48,13,0)="TRUE"),0,VLOOKUP(VALUE(BC$44),'SA Data'!$C$3:$O$48,13,0))</f>
        <v>389.52</v>
      </c>
      <c r="BD65" s="184">
        <f>IF(ISERR(VLOOKUP(VALUE(BD$44),'SA Data'!$C$3:$O$48,13,0)="TRUE"),0,VLOOKUP(VALUE(BD$44),'SA Data'!$C$3:$O$48,13,0))</f>
        <v>0</v>
      </c>
      <c r="BE65" s="184">
        <f>IF(ISERR(VLOOKUP(VALUE(BE$44),'SA Data'!$C$3:$O$48,13,0)="TRUE"),0,VLOOKUP(VALUE(BE$44),'SA Data'!$C$3:$O$48,13,0))</f>
        <v>1203913.8600000001</v>
      </c>
      <c r="BF65" s="184">
        <f>IF(ISERR(VLOOKUP(VALUE(BF$44),'SA Data'!$C$3:$O$48,13,0)="TRUE"),0,VLOOKUP(VALUE(BF$44),'SA Data'!$C$3:$O$48,13,0))</f>
        <v>966.53</v>
      </c>
      <c r="BG65" s="184">
        <f>IF(ISERR(VLOOKUP(VALUE(BG$44),'SA Data'!$C$3:$O$48,13,0)="TRUE"),0,VLOOKUP(VALUE(BG$44),'SA Data'!$C$3:$O$48,13,0))</f>
        <v>0</v>
      </c>
      <c r="BH65" s="184">
        <f>IF(ISERR(VLOOKUP(VALUE(BH$44),'SA Data'!$C$3:$O$48,13,0)="TRUE"),0,VLOOKUP(VALUE(BH$44),'SA Data'!$C$3:$O$48,13,0))</f>
        <v>0</v>
      </c>
      <c r="BI65" s="184">
        <f>IF(ISERR(VLOOKUP(VALUE(BI$44),'SA Data'!$C$3:$O$48,13,0)="TRUE"),0,VLOOKUP(VALUE(BI$44),'SA Data'!$C$3:$O$48,13,0))</f>
        <v>0</v>
      </c>
      <c r="BJ65" s="184">
        <f>IF(ISERR(VLOOKUP(VALUE(BJ$44),'SA Data'!$C$3:$O$48,13,0)="TRUE"),0,VLOOKUP(VALUE(BJ$44),'SA Data'!$C$3:$O$48,13,0))</f>
        <v>0</v>
      </c>
      <c r="BK65" s="184">
        <f>IF(ISERR(VLOOKUP(VALUE(BK$44),'SA Data'!$C$3:$O$48,13,0)="TRUE"),0,VLOOKUP(VALUE(BK$44),'SA Data'!$C$3:$O$48,13,0))</f>
        <v>0</v>
      </c>
      <c r="BL65" s="184">
        <f>IF(ISERR(VLOOKUP(VALUE(BL$44),'SA Data'!$C$3:$O$48,13,0)="TRUE"),0,VLOOKUP(VALUE(BL$44),'SA Data'!$C$3:$O$48,13,0))</f>
        <v>84.37</v>
      </c>
      <c r="BM65" s="184">
        <f>IF(ISERR(VLOOKUP(VALUE(BM$44),'SA Data'!$C$3:$O$48,13,0)="TRUE"),0,VLOOKUP(VALUE(BM$44),'SA Data'!$C$3:$O$48,13,0))</f>
        <v>0</v>
      </c>
      <c r="BN65" s="184">
        <f>IF(ISERR(VLOOKUP(VALUE(BN$44),'SA Data'!$C$3:$O$48,13,0)="TRUE"),0,VLOOKUP(VALUE(BN$44),'SA Data'!$C$3:$O$48,13,0))</f>
        <v>124.91</v>
      </c>
      <c r="BO65" s="184">
        <f>IF(ISERR(VLOOKUP(VALUE(BO$44),'SA Data'!$C$3:$O$48,13,0)="TRUE"),0,VLOOKUP(VALUE(BO$44),'SA Data'!$C$3:$O$48,13,0))</f>
        <v>0</v>
      </c>
      <c r="BP65" s="184">
        <f>IF(ISERR(VLOOKUP(VALUE(BP$44),'SA Data'!$C$3:$O$48,13,0)="TRUE"),0,VLOOKUP(VALUE(BP$44),'SA Data'!$C$3:$O$48,13,0))</f>
        <v>0</v>
      </c>
      <c r="BQ65" s="184">
        <f>IF(ISERR(VLOOKUP(VALUE(BQ$44),'SA Data'!$C$3:$O$48,13,0)="TRUE"),0,VLOOKUP(VALUE(BQ$44),'SA Data'!$C$3:$O$48,13,0))</f>
        <v>0</v>
      </c>
      <c r="BR65" s="184">
        <f>IF(ISERR(VLOOKUP(VALUE(BR$44),'SA Data'!$C$3:$O$48,13,0)="TRUE"),0,VLOOKUP(VALUE(BR$44),'SA Data'!$C$3:$O$48,13,0))</f>
        <v>0</v>
      </c>
      <c r="BS65" s="184">
        <f>IF(ISERR(VLOOKUP(VALUE(BS$44),'SA Data'!$C$3:$O$48,13,0)="TRUE"),0,VLOOKUP(VALUE(BS$44),'SA Data'!$C$3:$O$48,13,0))</f>
        <v>0</v>
      </c>
      <c r="BT65" s="184">
        <f>IF(ISERR(VLOOKUP(VALUE(BT$44),'SA Data'!$C$3:$O$48,13,0)="TRUE"),0,VLOOKUP(VALUE(BT$44),'SA Data'!$C$3:$O$48,13,0))</f>
        <v>0</v>
      </c>
      <c r="BU65" s="184">
        <f>IF(ISERR(VLOOKUP(VALUE(BU$44),'SA Data'!$C$3:$O$48,13,0)="TRUE"),0,VLOOKUP(VALUE(BU$44),'SA Data'!$C$3:$O$48,13,0))</f>
        <v>0</v>
      </c>
      <c r="BV65" s="184">
        <f>IF(ISERR(VLOOKUP(VALUE(BV$44),'SA Data'!$C$3:$O$48,13,0)="TRUE"),0,VLOOKUP(VALUE(BV$44),'SA Data'!$C$3:$O$48,13,0))</f>
        <v>0</v>
      </c>
      <c r="BW65" s="184">
        <f>IF(ISERR(VLOOKUP(VALUE(BW$44),'SA Data'!$C$3:$O$48,13,0)="TRUE"),0,VLOOKUP(VALUE(BW$44),'SA Data'!$C$3:$O$48,13,0))</f>
        <v>0</v>
      </c>
      <c r="BX65" s="184">
        <f>IF(ISERR(VLOOKUP(VALUE(BX$44),'SA Data'!$C$3:$O$48,13,0)="TRUE"),0,VLOOKUP(VALUE(BX$44),'SA Data'!$C$3:$O$48,13,0))</f>
        <v>0</v>
      </c>
      <c r="BY65" s="184">
        <f>IF(ISERR(VLOOKUP(VALUE(BY$44),'SA Data'!$C$3:$O$48,13,0)="TRUE"),0,VLOOKUP(VALUE(BY$44),'SA Data'!$C$3:$O$48,13,0))</f>
        <v>592.17999999999995</v>
      </c>
      <c r="BZ65" s="184">
        <f>IF(ISERR(VLOOKUP(VALUE(BZ$44),'SA Data'!$C$3:$O$48,13,0)="TRUE"),0,VLOOKUP(VALUE(BZ$44),'SA Data'!$C$3:$O$48,13,0))</f>
        <v>0</v>
      </c>
      <c r="CA65" s="184">
        <f>IF(ISERR(VLOOKUP(VALUE(CA$44),'SA Data'!$C$3:$O$48,13,0)="TRUE"),0,VLOOKUP(VALUE(CA$44),'SA Data'!$C$3:$O$48,13,0))</f>
        <v>0</v>
      </c>
      <c r="CB65" s="184">
        <f>IF(ISERR(VLOOKUP(VALUE(CB$44),'SA Data'!$C$3:$O$48,13,0)="TRUE"),0,VLOOKUP(VALUE(CB$44),'SA Data'!$C$3:$O$48,13,0))</f>
        <v>0</v>
      </c>
      <c r="CC65" s="184">
        <f>IF(ISERR(VLOOKUP(VALUE(CC$44),'SA Data'!$C$3:$O$48,13,0)="TRUE"),0,VLOOKUP(VALUE(CC$44),'SA Data'!$C$3:$O$48,13,0))</f>
        <v>0</v>
      </c>
      <c r="CD65" s="245" t="s">
        <v>221</v>
      </c>
      <c r="CE65" s="193">
        <f t="shared" si="0"/>
        <v>1304921.55</v>
      </c>
      <c r="CF65" s="248"/>
    </row>
    <row r="66" spans="1:84" ht="12.6" customHeight="1" x14ac:dyDescent="0.25">
      <c r="A66" s="171" t="s">
        <v>239</v>
      </c>
      <c r="B66" s="175"/>
      <c r="C66" s="184">
        <f>IF(ISERR(VLOOKUP(VALUE(C$44),'SA Data'!$C$3:$M$49,11,0)="TRUE"),0,VLOOKUP(VALUE(C$44),'SA Data'!$C$3:$M$49,11,0))</f>
        <v>56410.879999999997</v>
      </c>
      <c r="D66" s="184">
        <f>IF(ISERR(VLOOKUP(VALUE(D$44),'SA Data'!$C$3:$M$49,11,0)="TRUE"),0,VLOOKUP(VALUE(D$44),'SA Data'!$C$3:$M$49,11,0))</f>
        <v>0</v>
      </c>
      <c r="E66" s="184">
        <f>IF(ISERR(VLOOKUP(VALUE(E$44),'SA Data'!$C$3:$M$49,11,0)="TRUE"),0,VLOOKUP(VALUE(E$44),'SA Data'!$C$3:$M$49,11,0))</f>
        <v>391064.94435999996</v>
      </c>
      <c r="F66" s="184">
        <f>IF(ISERR(VLOOKUP(VALUE(F$44),'SA Data'!$C$3:$M$49,11,0)="TRUE"),0,VLOOKUP(VALUE(F$44),'SA Data'!$C$3:$M$49,11,0))</f>
        <v>0</v>
      </c>
      <c r="G66" s="184">
        <f>IF(ISERR(VLOOKUP(VALUE(G$44),'SA Data'!$C$3:$M$49,11,0)="TRUE"),0,VLOOKUP(VALUE(G$44),'SA Data'!$C$3:$M$49,11,0))</f>
        <v>36414.53284</v>
      </c>
      <c r="H66" s="184">
        <f>IF(ISERR(VLOOKUP(VALUE(H$44),'SA Data'!$C$3:$M$49,11,0)="TRUE"),0,VLOOKUP(VALUE(H$44),'SA Data'!$C$3:$M$49,11,0))</f>
        <v>0</v>
      </c>
      <c r="I66" s="184">
        <f>IF(ISERR(VLOOKUP(VALUE(I$44),'SA Data'!$C$3:$M$49,11,0)="TRUE"),0,VLOOKUP(VALUE(I$44),'SA Data'!$C$3:$M$49,11,0))</f>
        <v>0</v>
      </c>
      <c r="J66" s="184">
        <f>IF(ISERR(VLOOKUP(VALUE(J$44),'SA Data'!$C$3:$M$49,11,0)="TRUE"),0,VLOOKUP(VALUE(J$44),'SA Data'!$C$3:$M$49,11,0))</f>
        <v>0</v>
      </c>
      <c r="K66" s="184">
        <f>IF(ISERR(VLOOKUP(VALUE(K$44),'SA Data'!$C$3:$M$49,11,0)="TRUE"),0,VLOOKUP(VALUE(K$44),'SA Data'!$C$3:$M$49,11,0))</f>
        <v>0</v>
      </c>
      <c r="L66" s="184">
        <f>IF(ISERR(VLOOKUP(VALUE(L$44),'SA Data'!$C$3:$M$49,11,0)="TRUE"),0,VLOOKUP(VALUE(L$44),'SA Data'!$C$3:$M$49,11,0))</f>
        <v>0</v>
      </c>
      <c r="M66" s="184">
        <f>IF(ISERR(VLOOKUP(VALUE(M$44),'SA Data'!$C$3:$M$49,11,0)="TRUE"),0,VLOOKUP(VALUE(M$44),'SA Data'!$C$3:$M$49,11,0))</f>
        <v>0</v>
      </c>
      <c r="N66" s="184">
        <f>IF(ISERR(VLOOKUP(VALUE(N$44),'SA Data'!$C$3:$M$49,11,0)="TRUE"),0,VLOOKUP(VALUE(N$44),'SA Data'!$C$3:$M$49,11,0))</f>
        <v>0</v>
      </c>
      <c r="O66" s="184">
        <f>IF(ISERR(VLOOKUP(VALUE(O$44),'SA Data'!$C$3:$M$49,11,0)="TRUE"),0,VLOOKUP(VALUE(O$44),'SA Data'!$C$3:$M$49,11,0))</f>
        <v>0</v>
      </c>
      <c r="P66" s="184">
        <f>IF(ISERR(VLOOKUP(VALUE(P$44),'SA Data'!$C$3:$M$49,11,0)="TRUE"),0,VLOOKUP(VALUE(P$44),'SA Data'!$C$3:$M$49,11,0))</f>
        <v>1270538.9141599999</v>
      </c>
      <c r="Q66" s="184">
        <f>IF(ISERR(VLOOKUP(VALUE(Q$44),'SA Data'!$C$3:$M$49,11,0)="TRUE"),0,VLOOKUP(VALUE(Q$44),'SA Data'!$C$3:$M$49,11,0))</f>
        <v>9158.59</v>
      </c>
      <c r="R66" s="184">
        <f>IF(ISERR(VLOOKUP(VALUE(R$44),'SA Data'!$C$3:$M$49,11,0)="TRUE"),0,VLOOKUP(VALUE(R$44),'SA Data'!$C$3:$M$49,11,0))</f>
        <v>0</v>
      </c>
      <c r="S66" s="184">
        <f>IF(ISERR(VLOOKUP(VALUE(S$44),'SA Data'!$C$3:$M$49,11,0)="TRUE"),0,VLOOKUP(VALUE(S$44),'SA Data'!$C$3:$M$49,11,0))</f>
        <v>184478.04191355998</v>
      </c>
      <c r="T66" s="184">
        <f>IF(ISERR(VLOOKUP(VALUE(T$44),'SA Data'!$C$3:$M$49,11,0)="TRUE"),0,VLOOKUP(VALUE(T$44),'SA Data'!$C$3:$M$49,11,0))</f>
        <v>65548.475439999995</v>
      </c>
      <c r="U66" s="184">
        <f>IF(ISERR(VLOOKUP(VALUE(U$44),'SA Data'!$C$3:$M$49,11,0)="TRUE"),0,VLOOKUP(VALUE(U$44),'SA Data'!$C$3:$M$49,11,0))</f>
        <v>675989.64</v>
      </c>
      <c r="V66" s="184">
        <f>IF(ISERR(VLOOKUP(VALUE(V$44),'SA Data'!$C$3:$M$49,11,0)="TRUE"),0,VLOOKUP(VALUE(V$44),'SA Data'!$C$3:$M$49,11,0))</f>
        <v>0</v>
      </c>
      <c r="W66" s="184">
        <f>IF(ISERR(VLOOKUP(VALUE(W$44),'SA Data'!$C$3:$M$49,11,0)="TRUE"),0,VLOOKUP(VALUE(W$44),'SA Data'!$C$3:$M$49,11,0))</f>
        <v>140589.96</v>
      </c>
      <c r="X66" s="184">
        <f>IF(ISERR(VLOOKUP(VALUE(X$44),'SA Data'!$C$3:$M$49,11,0)="TRUE"),0,VLOOKUP(VALUE(X$44),'SA Data'!$C$3:$M$49,11,0))</f>
        <v>212217.84</v>
      </c>
      <c r="Y66" s="184">
        <f>IF(ISERR(VLOOKUP(VALUE(Y$44),'SA Data'!$C$3:$M$49,11,0)="TRUE"),0,VLOOKUP(VALUE(Y$44),'SA Data'!$C$3:$M$49,11,0))</f>
        <v>614403.27</v>
      </c>
      <c r="Z66" s="184">
        <f>IF(ISERR(VLOOKUP(VALUE(Z$44),'SA Data'!$C$3:$M$49,11,0)="TRUE"),0,VLOOKUP(VALUE(Z$44),'SA Data'!$C$3:$M$49,11,0))</f>
        <v>0</v>
      </c>
      <c r="AA66" s="184">
        <f>IF(ISERR(VLOOKUP(VALUE(AA$44),'SA Data'!$C$3:$M$49,11,0)="TRUE"),0,VLOOKUP(VALUE(AA$44),'SA Data'!$C$3:$M$49,11,0))</f>
        <v>42767.459999999992</v>
      </c>
      <c r="AB66" s="184">
        <f>IF(ISERR(VLOOKUP(VALUE(AB$44),'SA Data'!$C$3:$M$49,11,0)="TRUE"),0,VLOOKUP(VALUE(AB$44),'SA Data'!$C$3:$M$49,11,0))</f>
        <v>393446.48999999993</v>
      </c>
      <c r="AC66" s="184">
        <f>IF(ISERR(VLOOKUP(VALUE(AC$44),'SA Data'!$C$3:$M$49,11,0)="TRUE"),0,VLOOKUP(VALUE(AC$44),'SA Data'!$C$3:$M$49,11,0))</f>
        <v>7209.35</v>
      </c>
      <c r="AD66" s="184">
        <f>IF(ISERR(VLOOKUP(VALUE(AD$44),'SA Data'!$C$3:$M$49,11,0)="TRUE"),0,VLOOKUP(VALUE(AD$44),'SA Data'!$C$3:$M$49,11,0))</f>
        <v>513338.41</v>
      </c>
      <c r="AE66" s="184">
        <f>IF(ISERR(VLOOKUP(VALUE(AE$44),'SA Data'!$C$3:$M$49,11,0)="TRUE"),0,VLOOKUP(VALUE(AE$44),'SA Data'!$C$3:$M$49,11,0))</f>
        <v>5266.65</v>
      </c>
      <c r="AF66" s="184">
        <f>IF(ISERR(VLOOKUP(VALUE(AF$44),'SA Data'!$C$3:$M$49,11,0)="TRUE"),0,VLOOKUP(VALUE(AF$44),'SA Data'!$C$3:$M$49,11,0))</f>
        <v>0</v>
      </c>
      <c r="AG66" s="184">
        <f>IF(ISERR(VLOOKUP(VALUE(AG$44),'SA Data'!$C$3:$M$49,11,0)="TRUE"),0,VLOOKUP(VALUE(AG$44),'SA Data'!$C$3:$M$49,11,0))</f>
        <v>1385788.5490000001</v>
      </c>
      <c r="AH66" s="184">
        <f>IF(ISERR(VLOOKUP(VALUE(AH$44),'SA Data'!$C$3:$M$49,11,0)="TRUE"),0,VLOOKUP(VALUE(AH$44),'SA Data'!$C$3:$M$49,11,0))</f>
        <v>0</v>
      </c>
      <c r="AI66" s="184">
        <f>IF(ISERR(VLOOKUP(VALUE(AI$44),'SA Data'!$C$3:$M$49,11,0)="TRUE"),0,VLOOKUP(VALUE(AI$44),'SA Data'!$C$3:$M$49,11,0))</f>
        <v>0</v>
      </c>
      <c r="AJ66" s="184">
        <f>IF(ISERR(VLOOKUP(VALUE(AJ$44),'SA Data'!$C$3:$M$49,11,0)="TRUE"),0,VLOOKUP(VALUE(AJ$44),'SA Data'!$C$3:$M$49,11,0))</f>
        <v>1742773.3200000003</v>
      </c>
      <c r="AK66" s="184">
        <f>IF(ISERR(VLOOKUP(VALUE(AK$44),'SA Data'!$C$3:$M$49,11,0)="TRUE"),0,VLOOKUP(VALUE(AK$44),'SA Data'!$C$3:$M$49,11,0))</f>
        <v>0</v>
      </c>
      <c r="AL66" s="184">
        <f>IF(ISERR(VLOOKUP(VALUE(AL$44),'SA Data'!$C$3:$M$49,11,0)="TRUE"),0,VLOOKUP(VALUE(AL$44),'SA Data'!$C$3:$M$49,11,0))</f>
        <v>0</v>
      </c>
      <c r="AM66" s="184">
        <f>IF(ISERR(VLOOKUP(VALUE(AM$44),'SA Data'!$C$3:$M$49,11,0)="TRUE"),0,VLOOKUP(VALUE(AM$44),'SA Data'!$C$3:$M$49,11,0))</f>
        <v>0</v>
      </c>
      <c r="AN66" s="184">
        <f>IF(ISERR(VLOOKUP(VALUE(AN$44),'SA Data'!$C$3:$M$49,11,0)="TRUE"),0,VLOOKUP(VALUE(AN$44),'SA Data'!$C$3:$M$49,11,0))</f>
        <v>0</v>
      </c>
      <c r="AO66" s="184">
        <f>IF(ISERR(VLOOKUP(VALUE(AO$44),'SA Data'!$C$3:$M$49,11,0)="TRUE"),0,VLOOKUP(VALUE(AO$44),'SA Data'!$C$3:$M$49,11,0))</f>
        <v>0</v>
      </c>
      <c r="AP66" s="184">
        <f>IF(ISERR(VLOOKUP(VALUE(AP$44),'SA Data'!$C$3:$M$49,11,0)="TRUE"),0,VLOOKUP(VALUE(AP$44),'SA Data'!$C$3:$M$49,11,0))</f>
        <v>0</v>
      </c>
      <c r="AQ66" s="184">
        <f>IF(ISERR(VLOOKUP(VALUE(AQ$44),'SA Data'!$C$3:$M$49,11,0)="TRUE"),0,VLOOKUP(VALUE(AQ$44),'SA Data'!$C$3:$M$49,11,0))</f>
        <v>0</v>
      </c>
      <c r="AR66" s="184">
        <f>IF(ISERR(VLOOKUP(VALUE(AR$44),'SA Data'!$C$3:$M$49,11,0)="TRUE"),0,VLOOKUP(VALUE(AR$44),'SA Data'!$C$3:$M$49,11,0))</f>
        <v>0</v>
      </c>
      <c r="AS66" s="184">
        <f>IF(ISERR(VLOOKUP(VALUE(AS$44),'SA Data'!$C$3:$M$49,11,0)="TRUE"),0,VLOOKUP(VALUE(AS$44),'SA Data'!$C$3:$M$49,11,0))</f>
        <v>0</v>
      </c>
      <c r="AT66" s="184">
        <f>IF(ISERR(VLOOKUP(VALUE(AT$44),'SA Data'!$C$3:$M$49,11,0)="TRUE"),0,VLOOKUP(VALUE(AT$44),'SA Data'!$C$3:$M$49,11,0))</f>
        <v>0</v>
      </c>
      <c r="AU66" s="184">
        <f>IF(ISERR(VLOOKUP(VALUE(AU$44),'SA Data'!$C$3:$M$49,11,0)="TRUE"),0,VLOOKUP(VALUE(AU$44),'SA Data'!$C$3:$M$49,11,0))</f>
        <v>0</v>
      </c>
      <c r="AV66" s="184">
        <f>IF(ISERR(VLOOKUP(VALUE(AV$44),'SA Data'!$C$3:$M$49,11,0)="TRUE"),0,VLOOKUP(VALUE(AV$44),'SA Data'!$C$3:$M$49,11,0))</f>
        <v>704522.57464000001</v>
      </c>
      <c r="AW66" s="184">
        <f>IF(ISERR(VLOOKUP(VALUE(AW$44),'SA Data'!$C$3:$M$49,11,0)="TRUE"),0,VLOOKUP(VALUE(AW$44),'SA Data'!$C$3:$M$49,11,0))</f>
        <v>0</v>
      </c>
      <c r="AX66" s="184">
        <f>IF(ISERR(VLOOKUP(VALUE(AX$44),'SA Data'!$C$3:$M$49,11,0)="TRUE"),0,VLOOKUP(VALUE(AX$44),'SA Data'!$C$3:$M$49,11,0))</f>
        <v>59244.906239999989</v>
      </c>
      <c r="AY66" s="184">
        <f>IF(ISERR(VLOOKUP(VALUE(AY$44),'SA Data'!$C$3:$M$49,11,0)="TRUE"),0,VLOOKUP(VALUE(AY$44),'SA Data'!$C$3:$M$49,11,0))</f>
        <v>0</v>
      </c>
      <c r="AZ66" s="184">
        <f>IF(ISERR(VLOOKUP(VALUE(AZ$44),'SA Data'!$C$3:$M$49,11,0)="TRUE"),0,VLOOKUP(VALUE(AZ$44),'SA Data'!$C$3:$M$49,11,0))</f>
        <v>551125.99</v>
      </c>
      <c r="BA66" s="184">
        <f>IF(ISERR(VLOOKUP(VALUE(BA$44),'SA Data'!$C$3:$M$49,11,0)="TRUE"),0,VLOOKUP(VALUE(BA$44),'SA Data'!$C$3:$M$49,11,0))</f>
        <v>19998.739999999991</v>
      </c>
      <c r="BB66" s="184">
        <f>IF(ISERR(VLOOKUP(VALUE(BB$44),'SA Data'!$C$3:$M$49,11,0)="TRUE"),0,VLOOKUP(VALUE(BB$44),'SA Data'!$C$3:$M$49,11,0))</f>
        <v>0</v>
      </c>
      <c r="BC66" s="184">
        <f>IF(ISERR(VLOOKUP(VALUE(BC$44),'SA Data'!$C$3:$M$49,11,0)="TRUE"),0,VLOOKUP(VALUE(BC$44),'SA Data'!$C$3:$M$49,11,0))</f>
        <v>0</v>
      </c>
      <c r="BD66" s="184">
        <f>IF(ISERR(VLOOKUP(VALUE(BD$44),'SA Data'!$C$3:$M$49,11,0)="TRUE"),0,VLOOKUP(VALUE(BD$44),'SA Data'!$C$3:$M$49,11,0))</f>
        <v>0</v>
      </c>
      <c r="BE66" s="184">
        <f>IF(ISERR(VLOOKUP(VALUE(BE$44),'SA Data'!$C$3:$M$49,11,0)="TRUE"),0,VLOOKUP(VALUE(BE$44),'SA Data'!$C$3:$M$49,11,0))</f>
        <v>4162815.8168799994</v>
      </c>
      <c r="BF66" s="184">
        <f>IF(ISERR(VLOOKUP(VALUE(BF$44),'SA Data'!$C$3:$M$49,11,0)="TRUE"),0,VLOOKUP(VALUE(BF$44),'SA Data'!$C$3:$M$49,11,0))</f>
        <v>111017.30000000002</v>
      </c>
      <c r="BG66" s="184">
        <f>IF(ISERR(VLOOKUP(VALUE(BG$44),'SA Data'!$C$3:$M$49,11,0)="TRUE"),0,VLOOKUP(VALUE(BG$44),'SA Data'!$C$3:$M$49,11,0))</f>
        <v>255043.22668000002</v>
      </c>
      <c r="BH66" s="184">
        <f>IF(ISERR(VLOOKUP(VALUE(BH$44),'SA Data'!$C$3:$M$49,11,0)="TRUE"),0,VLOOKUP(VALUE(BH$44),'SA Data'!$C$3:$M$49,11,0))</f>
        <v>1111095.9992</v>
      </c>
      <c r="BI66" s="184">
        <f>IF(ISERR(VLOOKUP(VALUE(BI$44),'SA Data'!$C$3:$M$49,11,0)="TRUE"),0,VLOOKUP(VALUE(BI$44),'SA Data'!$C$3:$M$49,11,0))</f>
        <v>818.25</v>
      </c>
      <c r="BJ66" s="184">
        <f>IF(ISERR(VLOOKUP(VALUE(BJ$44),'SA Data'!$C$3:$M$49,11,0)="TRUE"),0,VLOOKUP(VALUE(BJ$44),'SA Data'!$C$3:$M$49,11,0))</f>
        <v>265283.34811999992</v>
      </c>
      <c r="BK66" s="184">
        <f>IF(ISERR(VLOOKUP(VALUE(BK$44),'SA Data'!$C$3:$M$49,11,0)="TRUE"),0,VLOOKUP(VALUE(BK$44),'SA Data'!$C$3:$M$49,11,0))</f>
        <v>1737873.9040149639</v>
      </c>
      <c r="BL66" s="184">
        <f>IF(ISERR(VLOOKUP(VALUE(BL$44),'SA Data'!$C$3:$M$49,11,0)="TRUE"),0,VLOOKUP(VALUE(BL$44),'SA Data'!$C$3:$M$49,11,0))</f>
        <v>1845783.9781200001</v>
      </c>
      <c r="BM66" s="184">
        <f>IF(ISERR(VLOOKUP(VALUE(BM$44),'SA Data'!$C$3:$M$49,11,0)="TRUE"),0,VLOOKUP(VALUE(BM$44),'SA Data'!$C$3:$M$49,11,0))</f>
        <v>0</v>
      </c>
      <c r="BN66" s="184">
        <f>IF(ISERR(VLOOKUP(VALUE(BN$44),'SA Data'!$C$3:$M$49,11,0)="TRUE"),0,VLOOKUP(VALUE(BN$44),'SA Data'!$C$3:$M$49,11,0))</f>
        <v>2009707.3603294203</v>
      </c>
      <c r="BO66" s="184">
        <f>IF(ISERR(VLOOKUP(VALUE(BO$44),'SA Data'!$C$3:$M$49,11,0)="TRUE"),0,VLOOKUP(VALUE(BO$44),'SA Data'!$C$3:$M$49,11,0))</f>
        <v>193367.18455999999</v>
      </c>
      <c r="BP66" s="184">
        <f>IF(ISERR(VLOOKUP(VALUE(BP$44),'SA Data'!$C$3:$M$49,11,0)="TRUE"),0,VLOOKUP(VALUE(BP$44),'SA Data'!$C$3:$M$49,11,0))</f>
        <v>1019033.2456799999</v>
      </c>
      <c r="BQ66" s="184">
        <f>IF(ISERR(VLOOKUP(VALUE(BQ$44),'SA Data'!$C$3:$M$49,11,0)="TRUE"),0,VLOOKUP(VALUE(BQ$44),'SA Data'!$C$3:$M$49,11,0))</f>
        <v>0</v>
      </c>
      <c r="BR66" s="184">
        <f>IF(ISERR(VLOOKUP(VALUE(BR$44),'SA Data'!$C$3:$M$49,11,0)="TRUE"),0,VLOOKUP(VALUE(BR$44),'SA Data'!$C$3:$M$49,11,0))</f>
        <v>650603.20675999997</v>
      </c>
      <c r="BS66" s="184">
        <f>IF(ISERR(VLOOKUP(VALUE(BS$44),'SA Data'!$C$3:$M$49,11,0)="TRUE"),0,VLOOKUP(VALUE(BS$44),'SA Data'!$C$3:$M$49,11,0))</f>
        <v>53429.914439999986</v>
      </c>
      <c r="BT66" s="184">
        <f>IF(ISERR(VLOOKUP(VALUE(BT$44),'SA Data'!$C$3:$M$49,11,0)="TRUE"),0,VLOOKUP(VALUE(BT$44),'SA Data'!$C$3:$M$49,11,0))</f>
        <v>91478.531639999987</v>
      </c>
      <c r="BU66" s="184">
        <f>IF(ISERR(VLOOKUP(VALUE(BU$44),'SA Data'!$C$3:$M$49,11,0)="TRUE"),0,VLOOKUP(VALUE(BU$44),'SA Data'!$C$3:$M$49,11,0))</f>
        <v>31867.568360000008</v>
      </c>
      <c r="BV66" s="184">
        <f>IF(ISERR(VLOOKUP(VALUE(BV$44),'SA Data'!$C$3:$M$49,11,0)="TRUE"),0,VLOOKUP(VALUE(BV$44),'SA Data'!$C$3:$M$49,11,0))</f>
        <v>2395212.8505677478</v>
      </c>
      <c r="BW66" s="184">
        <f>IF(ISERR(VLOOKUP(VALUE(BW$44),'SA Data'!$C$3:$M$49,11,0)="TRUE"),0,VLOOKUP(VALUE(BW$44),'SA Data'!$C$3:$M$49,11,0))</f>
        <v>469536.11818737997</v>
      </c>
      <c r="BX66" s="184">
        <f>IF(ISERR(VLOOKUP(VALUE(BX$44),'SA Data'!$C$3:$M$49,11,0)="TRUE"),0,VLOOKUP(VALUE(BX$44),'SA Data'!$C$3:$M$49,11,0))</f>
        <v>2872459.7217133441</v>
      </c>
      <c r="BY66" s="184">
        <f>IF(ISERR(VLOOKUP(VALUE(BY$44),'SA Data'!$C$3:$M$49,11,0)="TRUE"),0,VLOOKUP(VALUE(BY$44),'SA Data'!$C$3:$M$49,11,0))</f>
        <v>87454.731800000009</v>
      </c>
      <c r="BZ66" s="184">
        <f>IF(ISERR(VLOOKUP(VALUE(BZ$44),'SA Data'!$C$3:$M$49,11,0)="TRUE"),0,VLOOKUP(VALUE(BZ$44),'SA Data'!$C$3:$M$49,11,0))</f>
        <v>0</v>
      </c>
      <c r="CA66" s="184">
        <f>IF(ISERR(VLOOKUP(VALUE(CA$44),'SA Data'!$C$3:$M$49,11,0)="TRUE"),0,VLOOKUP(VALUE(CA$44),'SA Data'!$C$3:$M$49,11,0))</f>
        <v>282822.08928000001</v>
      </c>
      <c r="CB66" s="184">
        <f>IF(ISERR(VLOOKUP(VALUE(CB$44),'SA Data'!$C$3:$M$49,11,0)="TRUE"),0,VLOOKUP(VALUE(CB$44),'SA Data'!$C$3:$M$49,11,0))</f>
        <v>34213.396519999995</v>
      </c>
      <c r="CC66" s="184">
        <f>IF(ISERR(VLOOKUP(VALUE(CC$44),'SA Data'!$C$3:$M$49,11,0)="TRUE"),0,VLOOKUP(VALUE(CC$44),'SA Data'!$C$3:$M$49,11,0))+7458057</f>
        <v>7564383.5441428963</v>
      </c>
      <c r="CD66" s="245" t="s">
        <v>221</v>
      </c>
      <c r="CE66" s="193">
        <f t="shared" si="0"/>
        <v>36327598.815589316</v>
      </c>
      <c r="CF66" s="248"/>
    </row>
    <row r="67" spans="1:84" ht="12.6" customHeight="1" x14ac:dyDescent="0.25">
      <c r="A67" s="171" t="s">
        <v>6</v>
      </c>
      <c r="B67" s="175"/>
      <c r="C67" s="193">
        <f>ROUND(C51+C52,0)</f>
        <v>502153</v>
      </c>
      <c r="D67" s="193">
        <f>ROUND(D51+D52,0)</f>
        <v>0</v>
      </c>
      <c r="E67" s="193">
        <f t="shared" ref="E67:BP67" si="3">ROUND(E51+E52,0)</f>
        <v>1133930</v>
      </c>
      <c r="F67" s="193">
        <f t="shared" si="3"/>
        <v>0</v>
      </c>
      <c r="G67" s="193">
        <f t="shared" si="3"/>
        <v>0</v>
      </c>
      <c r="H67" s="193">
        <f t="shared" si="3"/>
        <v>0</v>
      </c>
      <c r="I67" s="193">
        <f t="shared" si="3"/>
        <v>0</v>
      </c>
      <c r="J67" s="193">
        <f>ROUND(J51+J52,0)</f>
        <v>0</v>
      </c>
      <c r="K67" s="193">
        <f t="shared" si="3"/>
        <v>0</v>
      </c>
      <c r="L67" s="193">
        <f t="shared" si="3"/>
        <v>0</v>
      </c>
      <c r="M67" s="193">
        <f t="shared" si="3"/>
        <v>0</v>
      </c>
      <c r="N67" s="193">
        <f t="shared" si="3"/>
        <v>0</v>
      </c>
      <c r="O67" s="193">
        <f t="shared" si="3"/>
        <v>0</v>
      </c>
      <c r="P67" s="193">
        <f t="shared" si="3"/>
        <v>4603322</v>
      </c>
      <c r="Q67" s="193">
        <f t="shared" si="3"/>
        <v>89972</v>
      </c>
      <c r="R67" s="193">
        <f t="shared" si="3"/>
        <v>0</v>
      </c>
      <c r="S67" s="193">
        <f t="shared" si="3"/>
        <v>307527</v>
      </c>
      <c r="T67" s="193">
        <f t="shared" si="3"/>
        <v>14939</v>
      </c>
      <c r="U67" s="193">
        <f t="shared" si="3"/>
        <v>279766</v>
      </c>
      <c r="V67" s="193">
        <f t="shared" si="3"/>
        <v>0</v>
      </c>
      <c r="W67" s="193">
        <f t="shared" si="3"/>
        <v>20121</v>
      </c>
      <c r="X67" s="193">
        <f t="shared" si="3"/>
        <v>16206</v>
      </c>
      <c r="Y67" s="193">
        <f t="shared" si="3"/>
        <v>721142</v>
      </c>
      <c r="Z67" s="193">
        <f t="shared" si="3"/>
        <v>0</v>
      </c>
      <c r="AA67" s="193">
        <f t="shared" si="3"/>
        <v>6955</v>
      </c>
      <c r="AB67" s="193">
        <f t="shared" si="3"/>
        <v>209430</v>
      </c>
      <c r="AC67" s="193">
        <f t="shared" si="3"/>
        <v>21440</v>
      </c>
      <c r="AD67" s="193">
        <f t="shared" si="3"/>
        <v>0</v>
      </c>
      <c r="AE67" s="193">
        <f t="shared" si="3"/>
        <v>74886</v>
      </c>
      <c r="AF67" s="193">
        <f t="shared" si="3"/>
        <v>0</v>
      </c>
      <c r="AG67" s="193">
        <f t="shared" si="3"/>
        <v>476225</v>
      </c>
      <c r="AH67" s="193">
        <f t="shared" si="3"/>
        <v>0</v>
      </c>
      <c r="AI67" s="193">
        <f t="shared" si="3"/>
        <v>0</v>
      </c>
      <c r="AJ67" s="193">
        <f t="shared" si="3"/>
        <v>1578875</v>
      </c>
      <c r="AK67" s="193">
        <f t="shared" si="3"/>
        <v>70425</v>
      </c>
      <c r="AL67" s="193">
        <f t="shared" si="3"/>
        <v>132</v>
      </c>
      <c r="AM67" s="193">
        <f t="shared" si="3"/>
        <v>0</v>
      </c>
      <c r="AN67" s="193">
        <f t="shared" si="3"/>
        <v>0</v>
      </c>
      <c r="AO67" s="193">
        <f t="shared" si="3"/>
        <v>0</v>
      </c>
      <c r="AP67" s="193">
        <f t="shared" si="3"/>
        <v>0</v>
      </c>
      <c r="AQ67" s="193">
        <f t="shared" si="3"/>
        <v>0</v>
      </c>
      <c r="AR67" s="193">
        <f t="shared" si="3"/>
        <v>0</v>
      </c>
      <c r="AS67" s="193">
        <f t="shared" si="3"/>
        <v>0</v>
      </c>
      <c r="AT67" s="193">
        <f t="shared" si="3"/>
        <v>0</v>
      </c>
      <c r="AU67" s="193">
        <f t="shared" si="3"/>
        <v>0</v>
      </c>
      <c r="AV67" s="193">
        <f t="shared" si="3"/>
        <v>17743</v>
      </c>
      <c r="AW67" s="193">
        <f t="shared" si="3"/>
        <v>0</v>
      </c>
      <c r="AX67" s="193">
        <f t="shared" si="3"/>
        <v>0</v>
      </c>
      <c r="AY67" s="193">
        <f t="shared" si="3"/>
        <v>15205</v>
      </c>
      <c r="AZ67" s="193">
        <f>ROUND(AZ51+AZ52,0)</f>
        <v>274664</v>
      </c>
      <c r="BA67" s="193">
        <f>ROUND(BA51+BA52,0)</f>
        <v>23573</v>
      </c>
      <c r="BB67" s="193">
        <f t="shared" si="3"/>
        <v>0</v>
      </c>
      <c r="BC67" s="193">
        <f t="shared" si="3"/>
        <v>0</v>
      </c>
      <c r="BD67" s="193">
        <f t="shared" si="3"/>
        <v>0</v>
      </c>
      <c r="BE67" s="193">
        <f t="shared" si="3"/>
        <v>479550</v>
      </c>
      <c r="BF67" s="193">
        <f t="shared" si="3"/>
        <v>59632</v>
      </c>
      <c r="BG67" s="193">
        <f t="shared" si="3"/>
        <v>0</v>
      </c>
      <c r="BH67" s="193">
        <f t="shared" si="3"/>
        <v>0</v>
      </c>
      <c r="BI67" s="193">
        <f t="shared" si="3"/>
        <v>17160</v>
      </c>
      <c r="BJ67" s="193">
        <f t="shared" si="3"/>
        <v>0</v>
      </c>
      <c r="BK67" s="193">
        <f t="shared" si="3"/>
        <v>0</v>
      </c>
      <c r="BL67" s="193">
        <f t="shared" si="3"/>
        <v>19992</v>
      </c>
      <c r="BM67" s="193">
        <f t="shared" si="3"/>
        <v>0</v>
      </c>
      <c r="BN67" s="193">
        <f t="shared" si="3"/>
        <v>1706622</v>
      </c>
      <c r="BO67" s="193">
        <f t="shared" si="3"/>
        <v>0</v>
      </c>
      <c r="BP67" s="193">
        <f t="shared" si="3"/>
        <v>0</v>
      </c>
      <c r="BQ67" s="193">
        <f t="shared" ref="BQ67:CC67" si="4">ROUND(BQ51+BQ52,0)</f>
        <v>0</v>
      </c>
      <c r="BR67" s="193">
        <f t="shared" si="4"/>
        <v>0</v>
      </c>
      <c r="BS67" s="193">
        <f t="shared" si="4"/>
        <v>0</v>
      </c>
      <c r="BT67" s="193">
        <f t="shared" si="4"/>
        <v>0</v>
      </c>
      <c r="BU67" s="193">
        <f t="shared" si="4"/>
        <v>0</v>
      </c>
      <c r="BV67" s="193">
        <f t="shared" si="4"/>
        <v>11340</v>
      </c>
      <c r="BW67" s="193">
        <f t="shared" si="4"/>
        <v>0</v>
      </c>
      <c r="BX67" s="193">
        <f t="shared" si="4"/>
        <v>0</v>
      </c>
      <c r="BY67" s="193">
        <f t="shared" si="4"/>
        <v>3320</v>
      </c>
      <c r="BZ67" s="193">
        <f t="shared" si="4"/>
        <v>0</v>
      </c>
      <c r="CA67" s="193">
        <f t="shared" si="4"/>
        <v>0</v>
      </c>
      <c r="CB67" s="193">
        <f t="shared" si="4"/>
        <v>0</v>
      </c>
      <c r="CC67" s="193">
        <f t="shared" si="4"/>
        <v>0</v>
      </c>
      <c r="CD67" s="245" t="s">
        <v>221</v>
      </c>
      <c r="CE67" s="193">
        <f t="shared" si="0"/>
        <v>12756247</v>
      </c>
      <c r="CF67" s="248"/>
    </row>
    <row r="68" spans="1:84" ht="12.6" customHeight="1" x14ac:dyDescent="0.25">
      <c r="A68" s="171" t="s">
        <v>240</v>
      </c>
      <c r="B68" s="175"/>
      <c r="C68" s="184">
        <f>IF(ISERR(VLOOKUP(VALUE(C$44),'SA Data'!$C$3:$P$48,14,0)="TRUE"),0,VLOOKUP(VALUE(C$44),'SA Data'!$C$3:$P$48,14,0))</f>
        <v>10120.19</v>
      </c>
      <c r="D68" s="184">
        <f>IF(ISERR(VLOOKUP(VALUE(D$44),'SA Data'!$C$3:$P$48,14,0)="TRUE"),0,VLOOKUP(VALUE(D$44),'SA Data'!$C$3:$P$48,14,0))</f>
        <v>0</v>
      </c>
      <c r="E68" s="184">
        <f>IF(ISERR(VLOOKUP(VALUE(E$44),'SA Data'!$C$3:$P$48,14,0)="TRUE"),0,VLOOKUP(VALUE(E$44),'SA Data'!$C$3:$P$48,14,0))</f>
        <v>2269.6799999999994</v>
      </c>
      <c r="F68" s="184">
        <f>IF(ISERR(VLOOKUP(VALUE(F$44),'SA Data'!$C$3:$P$48,14,0)="TRUE"),0,VLOOKUP(VALUE(F$44),'SA Data'!$C$3:$P$48,14,0))</f>
        <v>0</v>
      </c>
      <c r="G68" s="184">
        <f>IF(ISERR(VLOOKUP(VALUE(G$44),'SA Data'!$C$3:$P$48,14,0)="TRUE"),0,VLOOKUP(VALUE(G$44),'SA Data'!$C$3:$P$48,14,0))</f>
        <v>0</v>
      </c>
      <c r="H68" s="184">
        <f>IF(ISERR(VLOOKUP(VALUE(H$44),'SA Data'!$C$3:$P$48,14,0)="TRUE"),0,VLOOKUP(VALUE(H$44),'SA Data'!$C$3:$P$48,14,0))</f>
        <v>0</v>
      </c>
      <c r="I68" s="184">
        <f>IF(ISERR(VLOOKUP(VALUE(I$44),'SA Data'!$C$3:$P$48,14,0)="TRUE"),0,VLOOKUP(VALUE(I$44),'SA Data'!$C$3:$P$48,14,0))</f>
        <v>0</v>
      </c>
      <c r="J68" s="184">
        <f>IF(ISERR(VLOOKUP(VALUE(J$44),'SA Data'!$C$3:$P$48,14,0)="TRUE"),0,VLOOKUP(VALUE(J$44),'SA Data'!$C$3:$P$48,14,0))</f>
        <v>0</v>
      </c>
      <c r="K68" s="184">
        <f>IF(ISERR(VLOOKUP(VALUE(K$44),'SA Data'!$C$3:$P$48,14,0)="TRUE"),0,VLOOKUP(VALUE(K$44),'SA Data'!$C$3:$P$48,14,0))</f>
        <v>0</v>
      </c>
      <c r="L68" s="184">
        <f>IF(ISERR(VLOOKUP(VALUE(L$44),'SA Data'!$C$3:$P$48,14,0)="TRUE"),0,VLOOKUP(VALUE(L$44),'SA Data'!$C$3:$P$48,14,0))</f>
        <v>0</v>
      </c>
      <c r="M68" s="184">
        <f>IF(ISERR(VLOOKUP(VALUE(M$44),'SA Data'!$C$3:$P$48,14,0)="TRUE"),0,VLOOKUP(VALUE(M$44),'SA Data'!$C$3:$P$48,14,0))</f>
        <v>0</v>
      </c>
      <c r="N68" s="184">
        <f>IF(ISERR(VLOOKUP(VALUE(N$44),'SA Data'!$C$3:$P$48,14,0)="TRUE"),0,VLOOKUP(VALUE(N$44),'SA Data'!$C$3:$P$48,14,0))</f>
        <v>0</v>
      </c>
      <c r="O68" s="184">
        <f>IF(ISERR(VLOOKUP(VALUE(O$44),'SA Data'!$C$3:$P$48,14,0)="TRUE"),0,VLOOKUP(VALUE(O$44),'SA Data'!$C$3:$P$48,14,0))</f>
        <v>0</v>
      </c>
      <c r="P68" s="184">
        <f>IF(ISERR(VLOOKUP(VALUE(P$44),'SA Data'!$C$3:$P$48,14,0)="TRUE"),0,VLOOKUP(VALUE(P$44),'SA Data'!$C$3:$P$48,14,0))</f>
        <v>271736.24</v>
      </c>
      <c r="Q68" s="184">
        <f>IF(ISERR(VLOOKUP(VALUE(Q$44),'SA Data'!$C$3:$P$48,14,0)="TRUE"),0,VLOOKUP(VALUE(Q$44),'SA Data'!$C$3:$P$48,14,0))</f>
        <v>596.96</v>
      </c>
      <c r="R68" s="184">
        <f>IF(ISERR(VLOOKUP(VALUE(R$44),'SA Data'!$C$3:$P$48,14,0)="TRUE"),0,VLOOKUP(VALUE(R$44),'SA Data'!$C$3:$P$48,14,0))</f>
        <v>0</v>
      </c>
      <c r="S68" s="184">
        <f>IF(ISERR(VLOOKUP(VALUE(S$44),'SA Data'!$C$3:$P$48,14,0)="TRUE"),0,VLOOKUP(VALUE(S$44),'SA Data'!$C$3:$P$48,14,0))</f>
        <v>5142.32</v>
      </c>
      <c r="T68" s="184">
        <f>IF(ISERR(VLOOKUP(VALUE(T$44),'SA Data'!$C$3:$P$48,14,0)="TRUE"),0,VLOOKUP(VALUE(T$44),'SA Data'!$C$3:$P$48,14,0))</f>
        <v>0</v>
      </c>
      <c r="U68" s="184">
        <f>IF(ISERR(VLOOKUP(VALUE(U$44),'SA Data'!$C$3:$P$48,14,0)="TRUE"),0,VLOOKUP(VALUE(U$44),'SA Data'!$C$3:$P$48,14,0))</f>
        <v>75491.98000000001</v>
      </c>
      <c r="V68" s="184">
        <f>IF(ISERR(VLOOKUP(VALUE(V$44),'SA Data'!$C$3:$P$48,14,0)="TRUE"),0,VLOOKUP(VALUE(V$44),'SA Data'!$C$3:$P$48,14,0))</f>
        <v>0</v>
      </c>
      <c r="W68" s="184">
        <f>IF(ISERR(VLOOKUP(VALUE(W$44),'SA Data'!$C$3:$P$48,14,0)="TRUE"),0,VLOOKUP(VALUE(W$44),'SA Data'!$C$3:$P$48,14,0))</f>
        <v>452.13</v>
      </c>
      <c r="X68" s="184">
        <f>IF(ISERR(VLOOKUP(VALUE(X$44),'SA Data'!$C$3:$P$48,14,0)="TRUE"),0,VLOOKUP(VALUE(X$44),'SA Data'!$C$3:$P$48,14,0))</f>
        <v>0</v>
      </c>
      <c r="Y68" s="184">
        <f>IF(ISERR(VLOOKUP(VALUE(Y$44),'SA Data'!$C$3:$P$48,14,0)="TRUE"),0,VLOOKUP(VALUE(Y$44),'SA Data'!$C$3:$P$48,14,0))</f>
        <v>58933</v>
      </c>
      <c r="Z68" s="184">
        <f>IF(ISERR(VLOOKUP(VALUE(Z$44),'SA Data'!$C$3:$P$48,14,0)="TRUE"),0,VLOOKUP(VALUE(Z$44),'SA Data'!$C$3:$P$48,14,0))</f>
        <v>0</v>
      </c>
      <c r="AA68" s="184">
        <f>IF(ISERR(VLOOKUP(VALUE(AA$44),'SA Data'!$C$3:$P$48,14,0)="TRUE"),0,VLOOKUP(VALUE(AA$44),'SA Data'!$C$3:$P$48,14,0))</f>
        <v>505.02</v>
      </c>
      <c r="AB68" s="184">
        <f>IF(ISERR(VLOOKUP(VALUE(AB$44),'SA Data'!$C$3:$P$48,14,0)="TRUE"),0,VLOOKUP(VALUE(AB$44),'SA Data'!$C$3:$P$48,14,0))</f>
        <v>120417.19</v>
      </c>
      <c r="AC68" s="184">
        <f>IF(ISERR(VLOOKUP(VALUE(AC$44),'SA Data'!$C$3:$P$48,14,0)="TRUE"),0,VLOOKUP(VALUE(AC$44),'SA Data'!$C$3:$P$48,14,0))</f>
        <v>8385.9399999999987</v>
      </c>
      <c r="AD68" s="184">
        <f>IF(ISERR(VLOOKUP(VALUE(AD$44),'SA Data'!$C$3:$P$48,14,0)="TRUE"),0,VLOOKUP(VALUE(AD$44),'SA Data'!$C$3:$P$48,14,0))</f>
        <v>0</v>
      </c>
      <c r="AE68" s="184">
        <f>IF(ISERR(VLOOKUP(VALUE(AE$44),'SA Data'!$C$3:$P$48,14,0)="TRUE"),0,VLOOKUP(VALUE(AE$44),'SA Data'!$C$3:$P$48,14,0))</f>
        <v>225685.65000000002</v>
      </c>
      <c r="AF68" s="184">
        <f>IF(ISERR(VLOOKUP(VALUE(AF$44),'SA Data'!$C$3:$P$48,14,0)="TRUE"),0,VLOOKUP(VALUE(AF$44),'SA Data'!$C$3:$P$48,14,0))</f>
        <v>0</v>
      </c>
      <c r="AG68" s="184">
        <f>IF(ISERR(VLOOKUP(VALUE(AG$44),'SA Data'!$C$3:$P$48,14,0)="TRUE"),0,VLOOKUP(VALUE(AG$44),'SA Data'!$C$3:$P$48,14,0))</f>
        <v>36897.37000000001</v>
      </c>
      <c r="AH68" s="184">
        <f>IF(ISERR(VLOOKUP(VALUE(AH$44),'SA Data'!$C$3:$P$48,14,0)="TRUE"),0,VLOOKUP(VALUE(AH$44),'SA Data'!$C$3:$P$48,14,0))</f>
        <v>0</v>
      </c>
      <c r="AI68" s="184">
        <f>IF(ISERR(VLOOKUP(VALUE(AI$44),'SA Data'!$C$3:$P$48,14,0)="TRUE"),0,VLOOKUP(VALUE(AI$44),'SA Data'!$C$3:$P$48,14,0))</f>
        <v>0</v>
      </c>
      <c r="AJ68" s="184">
        <f>IF(ISERR(VLOOKUP(VALUE(AJ$44),'SA Data'!$C$3:$P$48,14,0)="TRUE"),0,VLOOKUP(VALUE(AJ$44),'SA Data'!$C$3:$P$48,14,0))</f>
        <v>2898582.39</v>
      </c>
      <c r="AK68" s="184">
        <f>IF(ISERR(VLOOKUP(VALUE(AK$44),'SA Data'!$C$3:$P$48,14,0)="TRUE"),0,VLOOKUP(VALUE(AK$44),'SA Data'!$C$3:$P$48,14,0))</f>
        <v>0</v>
      </c>
      <c r="AL68" s="184">
        <f>IF(ISERR(VLOOKUP(VALUE(AL$44),'SA Data'!$C$3:$P$48,14,0)="TRUE"),0,VLOOKUP(VALUE(AL$44),'SA Data'!$C$3:$P$48,14,0))</f>
        <v>0</v>
      </c>
      <c r="AM68" s="184">
        <f>IF(ISERR(VLOOKUP(VALUE(AM$44),'SA Data'!$C$3:$P$48,14,0)="TRUE"),0,VLOOKUP(VALUE(AM$44),'SA Data'!$C$3:$P$48,14,0))</f>
        <v>0</v>
      </c>
      <c r="AN68" s="184">
        <f>IF(ISERR(VLOOKUP(VALUE(AN$44),'SA Data'!$C$3:$P$48,14,0)="TRUE"),0,VLOOKUP(VALUE(AN$44),'SA Data'!$C$3:$P$48,14,0))</f>
        <v>0</v>
      </c>
      <c r="AO68" s="184">
        <f>IF(ISERR(VLOOKUP(VALUE(AO$44),'SA Data'!$C$3:$P$48,14,0)="TRUE"),0,VLOOKUP(VALUE(AO$44),'SA Data'!$C$3:$P$48,14,0))</f>
        <v>0</v>
      </c>
      <c r="AP68" s="184">
        <f>IF(ISERR(VLOOKUP(VALUE(AP$44),'SA Data'!$C$3:$P$48,14,0)="TRUE"),0,VLOOKUP(VALUE(AP$44),'SA Data'!$C$3:$P$48,14,0))</f>
        <v>0</v>
      </c>
      <c r="AQ68" s="184">
        <f>IF(ISERR(VLOOKUP(VALUE(AQ$44),'SA Data'!$C$3:$P$48,14,0)="TRUE"),0,VLOOKUP(VALUE(AQ$44),'SA Data'!$C$3:$P$48,14,0))</f>
        <v>0</v>
      </c>
      <c r="AR68" s="184">
        <f>IF(ISERR(VLOOKUP(VALUE(AR$44),'SA Data'!$C$3:$P$48,14,0)="TRUE"),0,VLOOKUP(VALUE(AR$44),'SA Data'!$C$3:$P$48,14,0))</f>
        <v>0</v>
      </c>
      <c r="AS68" s="184">
        <f>IF(ISERR(VLOOKUP(VALUE(AS$44),'SA Data'!$C$3:$P$48,14,0)="TRUE"),0,VLOOKUP(VALUE(AS$44),'SA Data'!$C$3:$P$48,14,0))</f>
        <v>0</v>
      </c>
      <c r="AT68" s="184">
        <f>IF(ISERR(VLOOKUP(VALUE(AT$44),'SA Data'!$C$3:$P$48,14,0)="TRUE"),0,VLOOKUP(VALUE(AT$44),'SA Data'!$C$3:$P$48,14,0))</f>
        <v>0</v>
      </c>
      <c r="AU68" s="184">
        <f>IF(ISERR(VLOOKUP(VALUE(AU$44),'SA Data'!$C$3:$P$48,14,0)="TRUE"),0,VLOOKUP(VALUE(AU$44),'SA Data'!$C$3:$P$48,14,0))</f>
        <v>0</v>
      </c>
      <c r="AV68" s="184">
        <f>IF(ISERR(VLOOKUP(VALUE(AV$44),'SA Data'!$C$3:$P$48,14,0)="TRUE"),0,VLOOKUP(VALUE(AV$44),'SA Data'!$C$3:$P$48,14,0))</f>
        <v>139427.66999999998</v>
      </c>
      <c r="AW68" s="184">
        <f>IF(ISERR(VLOOKUP(VALUE(AW$44),'SA Data'!$C$3:$P$48,14,0)="TRUE"),0,VLOOKUP(VALUE(AW$44),'SA Data'!$C$3:$P$48,14,0))</f>
        <v>0</v>
      </c>
      <c r="AX68" s="184">
        <f>IF(ISERR(VLOOKUP(VALUE(AX$44),'SA Data'!$C$3:$P$48,14,0)="TRUE"),0,VLOOKUP(VALUE(AX$44),'SA Data'!$C$3:$P$48,14,0))</f>
        <v>0</v>
      </c>
      <c r="AY68" s="184">
        <f>IF(ISERR(VLOOKUP(VALUE(AY$44),'SA Data'!$C$3:$P$48,14,0)="TRUE"),0,VLOOKUP(VALUE(AY$44),'SA Data'!$C$3:$P$48,14,0))</f>
        <v>0</v>
      </c>
      <c r="AZ68" s="184">
        <f>IF(ISERR(VLOOKUP(VALUE(AZ$44),'SA Data'!$C$3:$P$48,14,0)="TRUE"),0,VLOOKUP(VALUE(AZ$44),'SA Data'!$C$3:$P$48,14,0))</f>
        <v>6533.329999999999</v>
      </c>
      <c r="BA68" s="184">
        <f>IF(ISERR(VLOOKUP(VALUE(BA$44),'SA Data'!$C$3:$P$48,14,0)="TRUE"),0,VLOOKUP(VALUE(BA$44),'SA Data'!$C$3:$P$48,14,0))</f>
        <v>0</v>
      </c>
      <c r="BB68" s="184">
        <f>IF(ISERR(VLOOKUP(VALUE(BB$44),'SA Data'!$C$3:$P$48,14,0)="TRUE"),0,VLOOKUP(VALUE(BB$44),'SA Data'!$C$3:$P$48,14,0))</f>
        <v>0</v>
      </c>
      <c r="BC68" s="184">
        <f>IF(ISERR(VLOOKUP(VALUE(BC$44),'SA Data'!$C$3:$P$48,14,0)="TRUE"),0,VLOOKUP(VALUE(BC$44),'SA Data'!$C$3:$P$48,14,0))</f>
        <v>0</v>
      </c>
      <c r="BD68" s="184">
        <f>IF(ISERR(VLOOKUP(VALUE(BD$44),'SA Data'!$C$3:$P$48,14,0)="TRUE"),0,VLOOKUP(VALUE(BD$44),'SA Data'!$C$3:$P$48,14,0))</f>
        <v>0</v>
      </c>
      <c r="BE68" s="184">
        <f>IF(ISERR(VLOOKUP(VALUE(BE$44),'SA Data'!$C$3:$P$48,14,0)="TRUE"),0,VLOOKUP(VALUE(BE$44),'SA Data'!$C$3:$P$48,14,0))</f>
        <v>2828.82</v>
      </c>
      <c r="BF68" s="184">
        <f>IF(ISERR(VLOOKUP(VALUE(BF$44),'SA Data'!$C$3:$P$48,14,0)="TRUE"),0,VLOOKUP(VALUE(BF$44),'SA Data'!$C$3:$P$48,14,0))</f>
        <v>462.06</v>
      </c>
      <c r="BG68" s="184">
        <f>IF(ISERR(VLOOKUP(VALUE(BG$44),'SA Data'!$C$3:$P$48,14,0)="TRUE"),0,VLOOKUP(VALUE(BG$44),'SA Data'!$C$3:$P$48,14,0))</f>
        <v>0</v>
      </c>
      <c r="BH68" s="184">
        <f>IF(ISERR(VLOOKUP(VALUE(BH$44),'SA Data'!$C$3:$P$48,14,0)="TRUE"),0,VLOOKUP(VALUE(BH$44),'SA Data'!$C$3:$P$48,14,0))</f>
        <v>0</v>
      </c>
      <c r="BI68" s="184">
        <f>IF(ISERR(VLOOKUP(VALUE(BI$44),'SA Data'!$C$3:$P$48,14,0)="TRUE"),0,VLOOKUP(VALUE(BI$44),'SA Data'!$C$3:$P$48,14,0))</f>
        <v>423.06</v>
      </c>
      <c r="BJ68" s="184">
        <f>IF(ISERR(VLOOKUP(VALUE(BJ$44),'SA Data'!$C$3:$P$48,14,0)="TRUE"),0,VLOOKUP(VALUE(BJ$44),'SA Data'!$C$3:$P$48,14,0))</f>
        <v>0</v>
      </c>
      <c r="BK68" s="184">
        <f>IF(ISERR(VLOOKUP(VALUE(BK$44),'SA Data'!$C$3:$P$48,14,0)="TRUE"),0,VLOOKUP(VALUE(BK$44),'SA Data'!$C$3:$P$48,14,0))</f>
        <v>0</v>
      </c>
      <c r="BL68" s="184">
        <f>IF(ISERR(VLOOKUP(VALUE(BL$44),'SA Data'!$C$3:$P$48,14,0)="TRUE"),0,VLOOKUP(VALUE(BL$44),'SA Data'!$C$3:$P$48,14,0))</f>
        <v>8898.6200000000008</v>
      </c>
      <c r="BM68" s="184">
        <f>IF(ISERR(VLOOKUP(VALUE(BM$44),'SA Data'!$C$3:$P$48,14,0)="TRUE"),0,VLOOKUP(VALUE(BM$44),'SA Data'!$C$3:$P$48,14,0))</f>
        <v>0</v>
      </c>
      <c r="BN68" s="184">
        <f>IF(ISERR(VLOOKUP(VALUE(BN$44),'SA Data'!$C$3:$P$48,14,0)="TRUE"),0,VLOOKUP(VALUE(BN$44),'SA Data'!$C$3:$P$48,14,0))</f>
        <v>75889.63</v>
      </c>
      <c r="BO68" s="184">
        <f>IF(ISERR(VLOOKUP(VALUE(BO$44),'SA Data'!$C$3:$P$48,14,0)="TRUE"),0,VLOOKUP(VALUE(BO$44),'SA Data'!$C$3:$P$48,14,0))</f>
        <v>0</v>
      </c>
      <c r="BP68" s="184">
        <f>IF(ISERR(VLOOKUP(VALUE(BP$44),'SA Data'!$C$3:$P$48,14,0)="TRUE"),0,VLOOKUP(VALUE(BP$44),'SA Data'!$C$3:$P$48,14,0))</f>
        <v>0</v>
      </c>
      <c r="BQ68" s="184">
        <f>IF(ISERR(VLOOKUP(VALUE(BQ$44),'SA Data'!$C$3:$P$48,14,0)="TRUE"),0,VLOOKUP(VALUE(BQ$44),'SA Data'!$C$3:$P$48,14,0))</f>
        <v>0</v>
      </c>
      <c r="BR68" s="184">
        <f>IF(ISERR(VLOOKUP(VALUE(BR$44),'SA Data'!$C$3:$P$48,14,0)="TRUE"),0,VLOOKUP(VALUE(BR$44),'SA Data'!$C$3:$P$48,14,0))</f>
        <v>0</v>
      </c>
      <c r="BS68" s="184">
        <f>IF(ISERR(VLOOKUP(VALUE(BS$44),'SA Data'!$C$3:$P$48,14,0)="TRUE"),0,VLOOKUP(VALUE(BS$44),'SA Data'!$C$3:$P$48,14,0))</f>
        <v>0</v>
      </c>
      <c r="BT68" s="184">
        <f>IF(ISERR(VLOOKUP(VALUE(BT$44),'SA Data'!$C$3:$P$48,14,0)="TRUE"),0,VLOOKUP(VALUE(BT$44),'SA Data'!$C$3:$P$48,14,0))</f>
        <v>0</v>
      </c>
      <c r="BU68" s="184">
        <f>IF(ISERR(VLOOKUP(VALUE(BU$44),'SA Data'!$C$3:$P$48,14,0)="TRUE"),0,VLOOKUP(VALUE(BU$44),'SA Data'!$C$3:$P$48,14,0))</f>
        <v>0</v>
      </c>
      <c r="BV68" s="184">
        <f>IF(ISERR(VLOOKUP(VALUE(BV$44),'SA Data'!$C$3:$P$48,14,0)="TRUE"),0,VLOOKUP(VALUE(BV$44),'SA Data'!$C$3:$P$48,14,0))</f>
        <v>0</v>
      </c>
      <c r="BW68" s="184">
        <f>IF(ISERR(VLOOKUP(VALUE(BW$44),'SA Data'!$C$3:$P$48,14,0)="TRUE"),0,VLOOKUP(VALUE(BW$44),'SA Data'!$C$3:$P$48,14,0))</f>
        <v>0</v>
      </c>
      <c r="BX68" s="184">
        <f>IF(ISERR(VLOOKUP(VALUE(BX$44),'SA Data'!$C$3:$P$48,14,0)="TRUE"),0,VLOOKUP(VALUE(BX$44),'SA Data'!$C$3:$P$48,14,0))</f>
        <v>0</v>
      </c>
      <c r="BY68" s="184">
        <f>IF(ISERR(VLOOKUP(VALUE(BY$44),'SA Data'!$C$3:$P$48,14,0)="TRUE"),0,VLOOKUP(VALUE(BY$44),'SA Data'!$C$3:$P$48,14,0))</f>
        <v>402.06</v>
      </c>
      <c r="BZ68" s="184">
        <f>IF(ISERR(VLOOKUP(VALUE(BZ$44),'SA Data'!$C$3:$P$48,14,0)="TRUE"),0,VLOOKUP(VALUE(BZ$44),'SA Data'!$C$3:$P$48,14,0))</f>
        <v>0</v>
      </c>
      <c r="CA68" s="184">
        <f>IF(ISERR(VLOOKUP(VALUE(CA$44),'SA Data'!$C$3:$P$48,14,0)="TRUE"),0,VLOOKUP(VALUE(CA$44),'SA Data'!$C$3:$P$48,14,0))</f>
        <v>0</v>
      </c>
      <c r="CB68" s="184">
        <f>IF(ISERR(VLOOKUP(VALUE(CB$44),'SA Data'!$C$3:$P$48,14,0)="TRUE"),0,VLOOKUP(VALUE(CB$44),'SA Data'!$C$3:$P$48,14,0))</f>
        <v>0</v>
      </c>
      <c r="CC68" s="184">
        <f>IF(ISERR(VLOOKUP(VALUE(CC$44),'SA Data'!$C$3:$P$48,14,0)="TRUE"),0,VLOOKUP(VALUE(CC$44),'SA Data'!$C$3:$P$48,14,0))-38076</f>
        <v>-38076</v>
      </c>
      <c r="CD68" s="245" t="s">
        <v>221</v>
      </c>
      <c r="CE68" s="193">
        <f t="shared" si="0"/>
        <v>3912005.31</v>
      </c>
      <c r="CF68" s="248"/>
    </row>
    <row r="69" spans="1:84" ht="12.6" customHeight="1" x14ac:dyDescent="0.25">
      <c r="A69" s="171" t="s">
        <v>241</v>
      </c>
      <c r="B69" s="175"/>
      <c r="C69" s="184">
        <f>IF(ISERR(VLOOKUP(VALUE(C$44),'SA Data'!$C$3:$S$48,17,0)="TRUE"),0,VLOOKUP(VALUE(C$44),'SA Data'!$C$3:$S$48,17,0))</f>
        <v>14172.48</v>
      </c>
      <c r="D69" s="184">
        <f>IF(ISERR(VLOOKUP(VALUE(D$44),'SA Data'!$C$3:$S$48,17,0)="TRUE"),0,VLOOKUP(VALUE(D$44),'SA Data'!$C$3:$S$48,17,0))</f>
        <v>0</v>
      </c>
      <c r="E69" s="184">
        <f>IF(ISERR(VLOOKUP(VALUE(E$44),'SA Data'!$C$3:$S$48,17,0)="TRUE"),0,VLOOKUP(VALUE(E$44),'SA Data'!$C$3:$S$48,17,0))</f>
        <v>21145.43</v>
      </c>
      <c r="F69" s="184">
        <f>IF(ISERR(VLOOKUP(VALUE(F$44),'SA Data'!$C$3:$S$48,17,0)="TRUE"),0,VLOOKUP(VALUE(F$44),'SA Data'!$C$3:$S$48,17,0))</f>
        <v>0</v>
      </c>
      <c r="G69" s="184">
        <f>IF(ISERR(VLOOKUP(VALUE(G$44),'SA Data'!$C$3:$S$48,17,0)="TRUE"),0,VLOOKUP(VALUE(G$44),'SA Data'!$C$3:$S$48,17,0))</f>
        <v>0</v>
      </c>
      <c r="H69" s="184">
        <f>IF(ISERR(VLOOKUP(VALUE(H$44),'SA Data'!$C$3:$S$48,17,0)="TRUE"),0,VLOOKUP(VALUE(H$44),'SA Data'!$C$3:$S$48,17,0))</f>
        <v>0</v>
      </c>
      <c r="I69" s="184">
        <f>IF(ISERR(VLOOKUP(VALUE(I$44),'SA Data'!$C$3:$S$48,17,0)="TRUE"),0,VLOOKUP(VALUE(I$44),'SA Data'!$C$3:$S$48,17,0))</f>
        <v>0</v>
      </c>
      <c r="J69" s="184">
        <f>IF(ISERR(VLOOKUP(VALUE(J$44),'SA Data'!$C$3:$S$48,17,0)="TRUE"),0,VLOOKUP(VALUE(J$44),'SA Data'!$C$3:$S$48,17,0))</f>
        <v>0</v>
      </c>
      <c r="K69" s="184">
        <f>IF(ISERR(VLOOKUP(VALUE(K$44),'SA Data'!$C$3:$S$48,17,0)="TRUE"),0,VLOOKUP(VALUE(K$44),'SA Data'!$C$3:$S$48,17,0))</f>
        <v>0</v>
      </c>
      <c r="L69" s="184">
        <f>IF(ISERR(VLOOKUP(VALUE(L$44),'SA Data'!$C$3:$S$48,17,0)="TRUE"),0,VLOOKUP(VALUE(L$44),'SA Data'!$C$3:$S$48,17,0))</f>
        <v>0</v>
      </c>
      <c r="M69" s="184">
        <f>IF(ISERR(VLOOKUP(VALUE(M$44),'SA Data'!$C$3:$S$48,17,0)="TRUE"),0,VLOOKUP(VALUE(M$44),'SA Data'!$C$3:$S$48,17,0))</f>
        <v>0</v>
      </c>
      <c r="N69" s="184">
        <f>IF(ISERR(VLOOKUP(VALUE(N$44),'SA Data'!$C$3:$S$48,17,0)="TRUE"),0,VLOOKUP(VALUE(N$44),'SA Data'!$C$3:$S$48,17,0))</f>
        <v>0</v>
      </c>
      <c r="O69" s="184">
        <f>IF(ISERR(VLOOKUP(VALUE(O$44),'SA Data'!$C$3:$S$48,17,0)="TRUE"),0,VLOOKUP(VALUE(O$44),'SA Data'!$C$3:$S$48,17,0))</f>
        <v>0</v>
      </c>
      <c r="P69" s="184">
        <f>IF(ISERR(VLOOKUP(VALUE(P$44),'SA Data'!$C$3:$S$48,17,0)="TRUE"),0,VLOOKUP(VALUE(P$44),'SA Data'!$C$3:$S$48,17,0))</f>
        <v>31110.320000000003</v>
      </c>
      <c r="Q69" s="184">
        <f>IF(ISERR(VLOOKUP(VALUE(Q$44),'SA Data'!$C$3:$S$48,17,0)="TRUE"),0,VLOOKUP(VALUE(Q$44),'SA Data'!$C$3:$S$48,17,0))</f>
        <v>9684.4699999999993</v>
      </c>
      <c r="R69" s="184">
        <f>IF(ISERR(VLOOKUP(VALUE(R$44),'SA Data'!$C$3:$S$48,17,0)="TRUE"),0,VLOOKUP(VALUE(R$44),'SA Data'!$C$3:$S$48,17,0))</f>
        <v>0</v>
      </c>
      <c r="S69" s="184">
        <f>IF(ISERR(VLOOKUP(VALUE(S$44),'SA Data'!$C$3:$S$48,17,0)="TRUE"),0,VLOOKUP(VALUE(S$44),'SA Data'!$C$3:$S$48,17,0))</f>
        <v>63486.590000000004</v>
      </c>
      <c r="T69" s="184">
        <f>IF(ISERR(VLOOKUP(VALUE(T$44),'SA Data'!$C$3:$S$48,17,0)="TRUE"),0,VLOOKUP(VALUE(T$44),'SA Data'!$C$3:$S$48,17,0))</f>
        <v>6907.28</v>
      </c>
      <c r="U69" s="184">
        <f>IF(ISERR(VLOOKUP(VALUE(U$44),'SA Data'!$C$3:$S$48,17,0)="TRUE"),0,VLOOKUP(VALUE(U$44),'SA Data'!$C$3:$S$48,17,0))</f>
        <v>76504.91</v>
      </c>
      <c r="V69" s="184">
        <f>IF(ISERR(VLOOKUP(VALUE(V$44),'SA Data'!$C$3:$S$48,17,0)="TRUE"),0,VLOOKUP(VALUE(V$44),'SA Data'!$C$3:$S$48,17,0))</f>
        <v>0</v>
      </c>
      <c r="W69" s="184">
        <f>IF(ISERR(VLOOKUP(VALUE(W$44),'SA Data'!$C$3:$S$48,17,0)="TRUE"),0,VLOOKUP(VALUE(W$44),'SA Data'!$C$3:$S$48,17,0))</f>
        <v>171.83</v>
      </c>
      <c r="X69" s="184">
        <f>IF(ISERR(VLOOKUP(VALUE(X$44),'SA Data'!$C$3:$S$48,17,0)="TRUE"),0,VLOOKUP(VALUE(X$44),'SA Data'!$C$3:$S$48,17,0))</f>
        <v>214.78</v>
      </c>
      <c r="Y69" s="184">
        <f>IF(ISERR(VLOOKUP(VALUE(Y$44),'SA Data'!$C$3:$S$48,17,0)="TRUE"),0,VLOOKUP(VALUE(Y$44),'SA Data'!$C$3:$S$48,17,0))</f>
        <v>8923.7799999999988</v>
      </c>
      <c r="Z69" s="184">
        <f>IF(ISERR(VLOOKUP(VALUE(Z$44),'SA Data'!$C$3:$S$48,17,0)="TRUE"),0,VLOOKUP(VALUE(Z$44),'SA Data'!$C$3:$S$48,17,0))</f>
        <v>0</v>
      </c>
      <c r="AA69" s="184">
        <f>IF(ISERR(VLOOKUP(VALUE(AA$44),'SA Data'!$C$3:$S$48,17,0)="TRUE"),0,VLOOKUP(VALUE(AA$44),'SA Data'!$C$3:$S$48,17,0))</f>
        <v>431.7</v>
      </c>
      <c r="AB69" s="184">
        <f>IF(ISERR(VLOOKUP(VALUE(AB$44),'SA Data'!$C$3:$S$48,17,0)="TRUE"),0,VLOOKUP(VALUE(AB$44),'SA Data'!$C$3:$S$48,17,0))</f>
        <v>3992515.1199999996</v>
      </c>
      <c r="AC69" s="184">
        <f>IF(ISERR(VLOOKUP(VALUE(AC$44),'SA Data'!$C$3:$S$48,17,0)="TRUE"),0,VLOOKUP(VALUE(AC$44),'SA Data'!$C$3:$S$48,17,0))</f>
        <v>6846.37</v>
      </c>
      <c r="AD69" s="184">
        <f>IF(ISERR(VLOOKUP(VALUE(AD$44),'SA Data'!$C$3:$S$48,17,0)="TRUE"),0,VLOOKUP(VALUE(AD$44),'SA Data'!$C$3:$S$48,17,0))</f>
        <v>0</v>
      </c>
      <c r="AE69" s="184">
        <f>IF(ISERR(VLOOKUP(VALUE(AE$44),'SA Data'!$C$3:$S$48,17,0)="TRUE"),0,VLOOKUP(VALUE(AE$44),'SA Data'!$C$3:$S$48,17,0))</f>
        <v>4271.4500000000007</v>
      </c>
      <c r="AF69" s="184">
        <f>IF(ISERR(VLOOKUP(VALUE(AF$44),'SA Data'!$C$3:$S$48,17,0)="TRUE"),0,VLOOKUP(VALUE(AF$44),'SA Data'!$C$3:$S$48,17,0))</f>
        <v>0</v>
      </c>
      <c r="AG69" s="184">
        <f>IF(ISERR(VLOOKUP(VALUE(AG$44),'SA Data'!$C$3:$S$48,17,0)="TRUE"),0,VLOOKUP(VALUE(AG$44),'SA Data'!$C$3:$S$48,17,0))</f>
        <v>25811.32</v>
      </c>
      <c r="AH69" s="184">
        <f>IF(ISERR(VLOOKUP(VALUE(AH$44),'SA Data'!$C$3:$S$48,17,0)="TRUE"),0,VLOOKUP(VALUE(AH$44),'SA Data'!$C$3:$S$48,17,0))</f>
        <v>0</v>
      </c>
      <c r="AI69" s="184">
        <f>IF(ISERR(VLOOKUP(VALUE(AI$44),'SA Data'!$C$3:$S$48,17,0)="TRUE"),0,VLOOKUP(VALUE(AI$44),'SA Data'!$C$3:$S$48,17,0))</f>
        <v>0</v>
      </c>
      <c r="AJ69" s="184">
        <f>IF(ISERR(VLOOKUP(VALUE(AJ$44),'SA Data'!$C$3:$S$48,17,0)="TRUE"),0,VLOOKUP(VALUE(AJ$44),'SA Data'!$C$3:$S$48,17,0))</f>
        <v>1465136.13</v>
      </c>
      <c r="AK69" s="184">
        <f>IF(ISERR(VLOOKUP(VALUE(AK$44),'SA Data'!$C$3:$S$48,17,0)="TRUE"),0,VLOOKUP(VALUE(AK$44),'SA Data'!$C$3:$S$48,17,0))</f>
        <v>1724.1499999999999</v>
      </c>
      <c r="AL69" s="184">
        <f>IF(ISERR(VLOOKUP(VALUE(AL$44),'SA Data'!$C$3:$S$48,17,0)="TRUE"),0,VLOOKUP(VALUE(AL$44),'SA Data'!$C$3:$S$48,17,0))</f>
        <v>44.43</v>
      </c>
      <c r="AM69" s="184">
        <f>IF(ISERR(VLOOKUP(VALUE(AM$44),'SA Data'!$C$3:$S$48,17,0)="TRUE"),0,VLOOKUP(VALUE(AM$44),'SA Data'!$C$3:$S$48,17,0))</f>
        <v>0</v>
      </c>
      <c r="AN69" s="184">
        <f>IF(ISERR(VLOOKUP(VALUE(AN$44),'SA Data'!$C$3:$S$48,17,0)="TRUE"),0,VLOOKUP(VALUE(AN$44),'SA Data'!$C$3:$S$48,17,0))</f>
        <v>0</v>
      </c>
      <c r="AO69" s="184">
        <f>IF(ISERR(VLOOKUP(VALUE(AO$44),'SA Data'!$C$3:$S$48,17,0)="TRUE"),0,VLOOKUP(VALUE(AO$44),'SA Data'!$C$3:$S$48,17,0))</f>
        <v>0</v>
      </c>
      <c r="AP69" s="184">
        <f>IF(ISERR(VLOOKUP(VALUE(AP$44),'SA Data'!$C$3:$S$48,17,0)="TRUE"),0,VLOOKUP(VALUE(AP$44),'SA Data'!$C$3:$S$48,17,0))</f>
        <v>0</v>
      </c>
      <c r="AQ69" s="184">
        <f>IF(ISERR(VLOOKUP(VALUE(AQ$44),'SA Data'!$C$3:$S$48,17,0)="TRUE"),0,VLOOKUP(VALUE(AQ$44),'SA Data'!$C$3:$S$48,17,0))</f>
        <v>0</v>
      </c>
      <c r="AR69" s="184">
        <f>IF(ISERR(VLOOKUP(VALUE(AR$44),'SA Data'!$C$3:$S$48,17,0)="TRUE"),0,VLOOKUP(VALUE(AR$44),'SA Data'!$C$3:$S$48,17,0))</f>
        <v>0</v>
      </c>
      <c r="AS69" s="184">
        <f>IF(ISERR(VLOOKUP(VALUE(AS$44),'SA Data'!$C$3:$S$48,17,0)="TRUE"),0,VLOOKUP(VALUE(AS$44),'SA Data'!$C$3:$S$48,17,0))</f>
        <v>0</v>
      </c>
      <c r="AT69" s="184">
        <f>IF(ISERR(VLOOKUP(VALUE(AT$44),'SA Data'!$C$3:$S$48,17,0)="TRUE"),0,VLOOKUP(VALUE(AT$44),'SA Data'!$C$3:$S$48,17,0))</f>
        <v>0</v>
      </c>
      <c r="AU69" s="184">
        <f>IF(ISERR(VLOOKUP(VALUE(AU$44),'SA Data'!$C$3:$S$48,17,0)="TRUE"),0,VLOOKUP(VALUE(AU$44),'SA Data'!$C$3:$S$48,17,0))</f>
        <v>0</v>
      </c>
      <c r="AV69" s="184">
        <f>IF(ISERR(VLOOKUP(VALUE(AV$44),'SA Data'!$C$3:$S$48,17,0)="TRUE"),0,VLOOKUP(VALUE(AV$44),'SA Data'!$C$3:$S$48,17,0))</f>
        <v>9781.16</v>
      </c>
      <c r="AW69" s="184">
        <f>IF(ISERR(VLOOKUP(VALUE(AW$44),'SA Data'!$C$3:$S$48,17,0)="TRUE"),0,VLOOKUP(VALUE(AW$44),'SA Data'!$C$3:$S$48,17,0))</f>
        <v>0</v>
      </c>
      <c r="AX69" s="184">
        <f>IF(ISERR(VLOOKUP(VALUE(AX$44),'SA Data'!$C$3:$S$48,17,0)="TRUE"),0,VLOOKUP(VALUE(AX$44),'SA Data'!$C$3:$S$48,17,0))</f>
        <v>0</v>
      </c>
      <c r="AY69" s="184">
        <f>IF(ISERR(VLOOKUP(VALUE(AY$44),'SA Data'!$C$3:$S$48,17,0)="TRUE"),0,VLOOKUP(VALUE(AY$44),'SA Data'!$C$3:$S$48,17,0))</f>
        <v>0</v>
      </c>
      <c r="AZ69" s="184">
        <f>IF(ISERR(VLOOKUP(VALUE(AZ$44),'SA Data'!$C$3:$S$48,17,0)="TRUE"),0,VLOOKUP(VALUE(AZ$44),'SA Data'!$C$3:$S$48,17,0))</f>
        <v>32881.58</v>
      </c>
      <c r="BA69" s="184">
        <f>IF(ISERR(VLOOKUP(VALUE(BA$44),'SA Data'!$C$3:$S$48,17,0)="TRUE"),0,VLOOKUP(VALUE(BA$44),'SA Data'!$C$3:$S$48,17,0))</f>
        <v>0</v>
      </c>
      <c r="BB69" s="184">
        <f>IF(ISERR(VLOOKUP(VALUE(BB$44),'SA Data'!$C$3:$S$48,17,0)="TRUE"),0,VLOOKUP(VALUE(BB$44),'SA Data'!$C$3:$S$48,17,0))</f>
        <v>0</v>
      </c>
      <c r="BC69" s="184">
        <f>IF(ISERR(VLOOKUP(VALUE(BC$44),'SA Data'!$C$3:$S$48,17,0)="TRUE"),0,VLOOKUP(VALUE(BC$44),'SA Data'!$C$3:$S$48,17,0))</f>
        <v>85.91</v>
      </c>
      <c r="BD69" s="184">
        <f>IF(ISERR(VLOOKUP(VALUE(BD$44),'SA Data'!$C$3:$S$48,17,0)="TRUE"),0,VLOOKUP(VALUE(BD$44),'SA Data'!$C$3:$S$48,17,0))</f>
        <v>0</v>
      </c>
      <c r="BE69" s="184">
        <f>IF(ISERR(VLOOKUP(VALUE(BE$44),'SA Data'!$C$3:$S$48,17,0)="TRUE"),0,VLOOKUP(VALUE(BE$44),'SA Data'!$C$3:$S$48,17,0))</f>
        <v>3692.95</v>
      </c>
      <c r="BF69" s="184">
        <f>IF(ISERR(VLOOKUP(VALUE(BF$44),'SA Data'!$C$3:$S$48,17,0)="TRUE"),0,VLOOKUP(VALUE(BF$44),'SA Data'!$C$3:$S$48,17,0))</f>
        <v>60.390000000000015</v>
      </c>
      <c r="BG69" s="184">
        <f>IF(ISERR(VLOOKUP(VALUE(BG$44),'SA Data'!$C$3:$S$48,17,0)="TRUE"),0,VLOOKUP(VALUE(BG$44),'SA Data'!$C$3:$S$48,17,0))</f>
        <v>0</v>
      </c>
      <c r="BH69" s="184">
        <f>IF(ISERR(VLOOKUP(VALUE(BH$44),'SA Data'!$C$3:$S$48,17,0)="TRUE"),0,VLOOKUP(VALUE(BH$44),'SA Data'!$C$3:$S$48,17,0))</f>
        <v>0</v>
      </c>
      <c r="BI69" s="184">
        <f>IF(ISERR(VLOOKUP(VALUE(BI$44),'SA Data'!$C$3:$S$48,17,0)="TRUE"),0,VLOOKUP(VALUE(BI$44),'SA Data'!$C$3:$S$48,17,0))</f>
        <v>930.39999999999986</v>
      </c>
      <c r="BJ69" s="184">
        <f>IF(ISERR(VLOOKUP(VALUE(BJ$44),'SA Data'!$C$3:$S$48,17,0)="TRUE"),0,VLOOKUP(VALUE(BJ$44),'SA Data'!$C$3:$S$48,17,0))</f>
        <v>0</v>
      </c>
      <c r="BK69" s="184">
        <f>IF(ISERR(VLOOKUP(VALUE(BK$44),'SA Data'!$C$3:$S$48,17,0)="TRUE"),0,VLOOKUP(VALUE(BK$44),'SA Data'!$C$3:$S$48,17,0))</f>
        <v>0</v>
      </c>
      <c r="BL69" s="184">
        <f>IF(ISERR(VLOOKUP(VALUE(BL$44),'SA Data'!$C$3:$S$48,17,0)="TRUE"),0,VLOOKUP(VALUE(BL$44),'SA Data'!$C$3:$S$48,17,0))</f>
        <v>1550.6999999999998</v>
      </c>
      <c r="BM69" s="184">
        <f>IF(ISERR(VLOOKUP(VALUE(BM$44),'SA Data'!$C$3:$S$48,17,0)="TRUE"),0,VLOOKUP(VALUE(BM$44),'SA Data'!$C$3:$S$48,17,0))</f>
        <v>0</v>
      </c>
      <c r="BN69" s="184">
        <f>IF(ISERR(VLOOKUP(VALUE(BN$44),'SA Data'!$C$3:$S$48,17,0)="TRUE"),0,VLOOKUP(VALUE(BN$44),'SA Data'!$C$3:$S$48,17,0))</f>
        <v>120224.4</v>
      </c>
      <c r="BO69" s="184">
        <f>IF(ISERR(VLOOKUP(VALUE(BO$44),'SA Data'!$C$3:$S$48,17,0)="TRUE"),0,VLOOKUP(VALUE(BO$44),'SA Data'!$C$3:$S$48,17,0))</f>
        <v>0</v>
      </c>
      <c r="BP69" s="184">
        <f>IF(ISERR(VLOOKUP(VALUE(BP$44),'SA Data'!$C$3:$S$48,17,0)="TRUE"),0,VLOOKUP(VALUE(BP$44),'SA Data'!$C$3:$S$48,17,0))</f>
        <v>0</v>
      </c>
      <c r="BQ69" s="184">
        <f>IF(ISERR(VLOOKUP(VALUE(BQ$44),'SA Data'!$C$3:$S$48,17,0)="TRUE"),0,VLOOKUP(VALUE(BQ$44),'SA Data'!$C$3:$S$48,17,0))</f>
        <v>0</v>
      </c>
      <c r="BR69" s="184">
        <f>IF(ISERR(VLOOKUP(VALUE(BR$44),'SA Data'!$C$3:$S$48,17,0)="TRUE"),0,VLOOKUP(VALUE(BR$44),'SA Data'!$C$3:$S$48,17,0))</f>
        <v>0</v>
      </c>
      <c r="BS69" s="184">
        <f>IF(ISERR(VLOOKUP(VALUE(BS$44),'SA Data'!$C$3:$S$48,17,0)="TRUE"),0,VLOOKUP(VALUE(BS$44),'SA Data'!$C$3:$S$48,17,0))</f>
        <v>0</v>
      </c>
      <c r="BT69" s="184">
        <f>IF(ISERR(VLOOKUP(VALUE(BT$44),'SA Data'!$C$3:$S$48,17,0)="TRUE"),0,VLOOKUP(VALUE(BT$44),'SA Data'!$C$3:$S$48,17,0))</f>
        <v>0</v>
      </c>
      <c r="BU69" s="184">
        <f>IF(ISERR(VLOOKUP(VALUE(BU$44),'SA Data'!$C$3:$S$48,17,0)="TRUE"),0,VLOOKUP(VALUE(BU$44),'SA Data'!$C$3:$S$48,17,0))</f>
        <v>0</v>
      </c>
      <c r="BV69" s="184">
        <f>IF(ISERR(VLOOKUP(VALUE(BV$44),'SA Data'!$C$3:$S$48,17,0)="TRUE"),0,VLOOKUP(VALUE(BV$44),'SA Data'!$C$3:$S$48,17,0))</f>
        <v>0</v>
      </c>
      <c r="BW69" s="184">
        <f>IF(ISERR(VLOOKUP(VALUE(BW$44),'SA Data'!$C$3:$S$48,17,0)="TRUE"),0,VLOOKUP(VALUE(BW$44),'SA Data'!$C$3:$S$48,17,0))</f>
        <v>0</v>
      </c>
      <c r="BX69" s="184">
        <f>IF(ISERR(VLOOKUP(VALUE(BX$44),'SA Data'!$C$3:$S$48,17,0)="TRUE"),0,VLOOKUP(VALUE(BX$44),'SA Data'!$C$3:$S$48,17,0))</f>
        <v>0</v>
      </c>
      <c r="BY69" s="184">
        <f>IF(ISERR(VLOOKUP(VALUE(BY$44),'SA Data'!$C$3:$S$48,17,0)="TRUE"),0,VLOOKUP(VALUE(BY$44),'SA Data'!$C$3:$S$48,17,0))</f>
        <v>494.90999999999997</v>
      </c>
      <c r="BZ69" s="184">
        <f>IF(ISERR(VLOOKUP(VALUE(BZ$44),'SA Data'!$C$3:$S$48,17,0)="TRUE"),0,VLOOKUP(VALUE(BZ$44),'SA Data'!$C$3:$S$48,17,0))</f>
        <v>0</v>
      </c>
      <c r="CA69" s="184">
        <f>IF(ISERR(VLOOKUP(VALUE(CA$44),'SA Data'!$C$3:$S$48,17,0)="TRUE"),0,VLOOKUP(VALUE(CA$44),'SA Data'!$C$3:$S$48,17,0))</f>
        <v>0</v>
      </c>
      <c r="CB69" s="184">
        <f>IF(ISERR(VLOOKUP(VALUE(CB$44),'SA Data'!$C$3:$S$48,17,0)="TRUE"),0,VLOOKUP(VALUE(CB$44),'SA Data'!$C$3:$S$48,17,0))</f>
        <v>0</v>
      </c>
      <c r="CC69" s="184">
        <f>IF(ISERR(VLOOKUP(VALUE(CC$44),'SA Data'!$C$3:$S$51,17,0)="TRUE"),0,VLOOKUP(VALUE(CC$44),'SA Data'!$C$3:$S$51,17,0))-470281</f>
        <v>-469514.68</v>
      </c>
      <c r="CD69" s="184">
        <v>7285323</v>
      </c>
      <c r="CE69" s="193">
        <f t="shared" si="0"/>
        <v>12714613.260000002</v>
      </c>
      <c r="CF69" s="248"/>
    </row>
    <row r="70" spans="1:84" ht="12.6" customHeight="1" x14ac:dyDescent="0.25">
      <c r="A70" s="171" t="s">
        <v>242</v>
      </c>
      <c r="B70" s="175"/>
      <c r="C70" s="184">
        <f>IF(ISERR(VLOOKUP(VALUE(C$44),'SA Data'!$C$3:$H$48,6,0)="TRUE"),0,VLOOKUP(VALUE(C$44),'SA Data'!$C$3:$H$48,6,0))</f>
        <v>0</v>
      </c>
      <c r="D70" s="184">
        <f>IF(ISERR(VLOOKUP(VALUE(D$44),'SA Data'!$C$3:$H$48,6,0)="TRUE"),0,VLOOKUP(VALUE(D$44),'SA Data'!$C$3:$H$48,6,0))</f>
        <v>0</v>
      </c>
      <c r="E70" s="184">
        <f>IF(ISERR(VLOOKUP(VALUE(E$44),'SA Data'!$C$3:$H$48,6,0)="TRUE"),0,VLOOKUP(VALUE(E$44),'SA Data'!$C$3:$H$48,6,0))</f>
        <v>75</v>
      </c>
      <c r="F70" s="184">
        <f>IF(ISERR(VLOOKUP(VALUE(F$44),'SA Data'!$C$3:$H$48,6,0)="TRUE"),0,VLOOKUP(VALUE(F$44),'SA Data'!$C$3:$H$48,6,0))</f>
        <v>0</v>
      </c>
      <c r="G70" s="184">
        <f>IF(ISERR(VLOOKUP(VALUE(G$44),'SA Data'!$C$3:$H$48,6,0)="TRUE"),0,VLOOKUP(VALUE(G$44),'SA Data'!$C$3:$H$48,6,0))</f>
        <v>0</v>
      </c>
      <c r="H70" s="184">
        <f>IF(ISERR(VLOOKUP(VALUE(H$44),'SA Data'!$C$3:$H$48,6,0)="TRUE"),0,VLOOKUP(VALUE(H$44),'SA Data'!$C$3:$H$48,6,0))</f>
        <v>0</v>
      </c>
      <c r="I70" s="184">
        <f>IF(ISERR(VLOOKUP(VALUE(I$44),'SA Data'!$C$3:$H$48,6,0)="TRUE"),0,VLOOKUP(VALUE(I$44),'SA Data'!$C$3:$H$48,6,0))</f>
        <v>0</v>
      </c>
      <c r="J70" s="184">
        <f>IF(ISERR(VLOOKUP(VALUE(J$44),'SA Data'!$C$3:$H$48,6,0)="TRUE"),0,VLOOKUP(VALUE(J$44),'SA Data'!$C$3:$H$48,6,0))</f>
        <v>0</v>
      </c>
      <c r="K70" s="184">
        <f>IF(ISERR(VLOOKUP(VALUE(K$44),'SA Data'!$C$3:$H$48,6,0)="TRUE"),0,VLOOKUP(VALUE(K$44),'SA Data'!$C$3:$H$48,6,0))</f>
        <v>0</v>
      </c>
      <c r="L70" s="184">
        <f>IF(ISERR(VLOOKUP(VALUE(L$44),'SA Data'!$C$3:$H$48,6,0)="TRUE"),0,VLOOKUP(VALUE(L$44),'SA Data'!$C$3:$H$48,6,0))</f>
        <v>0</v>
      </c>
      <c r="M70" s="184">
        <f>IF(ISERR(VLOOKUP(VALUE(M$44),'SA Data'!$C$3:$H$48,6,0)="TRUE"),0,VLOOKUP(VALUE(M$44),'SA Data'!$C$3:$H$48,6,0))</f>
        <v>0</v>
      </c>
      <c r="N70" s="184">
        <f>IF(ISERR(VLOOKUP(VALUE(N$44),'SA Data'!$C$3:$H$48,6,0)="TRUE"),0,VLOOKUP(VALUE(N$44),'SA Data'!$C$3:$H$48,6,0))</f>
        <v>0</v>
      </c>
      <c r="O70" s="184">
        <f>IF(ISERR(VLOOKUP(VALUE(O$44),'SA Data'!$C$3:$H$48,6,0)="TRUE"),0,VLOOKUP(VALUE(O$44),'SA Data'!$C$3:$H$48,6,0))</f>
        <v>0</v>
      </c>
      <c r="P70" s="184">
        <f>IF(ISERR(VLOOKUP(VALUE(P$44),'SA Data'!$C$3:$H$48,6,0)="TRUE"),0,VLOOKUP(VALUE(P$44),'SA Data'!$C$3:$H$48,6,0))</f>
        <v>3382.3500000000004</v>
      </c>
      <c r="Q70" s="184">
        <f>IF(ISERR(VLOOKUP(VALUE(Q$44),'SA Data'!$C$3:$H$48,6,0)="TRUE"),0,VLOOKUP(VALUE(Q$44),'SA Data'!$C$3:$H$48,6,0))</f>
        <v>0</v>
      </c>
      <c r="R70" s="184">
        <f>IF(ISERR(VLOOKUP(VALUE(R$44),'SA Data'!$C$3:$H$48,6,0)="TRUE"),0,VLOOKUP(VALUE(R$44),'SA Data'!$C$3:$H$48,6,0))</f>
        <v>0</v>
      </c>
      <c r="S70" s="184">
        <f>IF(ISERR(VLOOKUP(VALUE(S$44),'SA Data'!$C$3:$H$48,6,0)="TRUE"),0,VLOOKUP(VALUE(S$44),'SA Data'!$C$3:$H$48,6,0))</f>
        <v>-166.95</v>
      </c>
      <c r="T70" s="184">
        <f>IF(ISERR(VLOOKUP(VALUE(T$44),'SA Data'!$C$3:$H$48,6,0)="TRUE"),0,VLOOKUP(VALUE(T$44),'SA Data'!$C$3:$H$48,6,0))</f>
        <v>0</v>
      </c>
      <c r="U70" s="184">
        <f>IF(ISERR(VLOOKUP(VALUE(U$44),'SA Data'!$C$3:$H$48,6,0)="TRUE"),0,VLOOKUP(VALUE(U$44),'SA Data'!$C$3:$H$48,6,0))</f>
        <v>86188.63</v>
      </c>
      <c r="V70" s="184">
        <f>IF(ISERR(VLOOKUP(VALUE(V$44),'SA Data'!$C$3:$H$48,6,0)="TRUE"),0,VLOOKUP(VALUE(V$44),'SA Data'!$C$3:$H$48,6,0))</f>
        <v>0</v>
      </c>
      <c r="W70" s="184">
        <f>IF(ISERR(VLOOKUP(VALUE(W$44),'SA Data'!$C$3:$H$48,6,0)="TRUE"),0,VLOOKUP(VALUE(W$44),'SA Data'!$C$3:$H$48,6,0))</f>
        <v>0</v>
      </c>
      <c r="X70" s="184">
        <f>IF(ISERR(VLOOKUP(VALUE(X$44),'SA Data'!$C$3:$H$48,6,0)="TRUE"),0,VLOOKUP(VALUE(X$44),'SA Data'!$C$3:$H$48,6,0))</f>
        <v>0</v>
      </c>
      <c r="Y70" s="184">
        <f>IF(ISERR(VLOOKUP(VALUE(Y$44),'SA Data'!$C$3:$H$48,6,0)="TRUE"),0,VLOOKUP(VALUE(Y$44),'SA Data'!$C$3:$H$48,6,0))</f>
        <v>0</v>
      </c>
      <c r="Z70" s="184">
        <f>IF(ISERR(VLOOKUP(VALUE(Z$44),'SA Data'!$C$3:$H$48,6,0)="TRUE"),0,VLOOKUP(VALUE(Z$44),'SA Data'!$C$3:$H$48,6,0))</f>
        <v>0</v>
      </c>
      <c r="AA70" s="184">
        <f>IF(ISERR(VLOOKUP(VALUE(AA$44),'SA Data'!$C$3:$H$48,6,0)="TRUE"),0,VLOOKUP(VALUE(AA$44),'SA Data'!$C$3:$H$48,6,0))</f>
        <v>0</v>
      </c>
      <c r="AB70" s="184">
        <f>IF(ISERR(VLOOKUP(VALUE(AB$44),'SA Data'!$C$3:$H$48,6,0)="TRUE"),0,VLOOKUP(VALUE(AB$44),'SA Data'!$C$3:$H$48,6,0))</f>
        <v>6071484.2000000011</v>
      </c>
      <c r="AC70" s="184">
        <f>IF(ISERR(VLOOKUP(VALUE(AC$44),'SA Data'!$C$3:$H$48,6,0)="TRUE"),0,VLOOKUP(VALUE(AC$44),'SA Data'!$C$3:$H$48,6,0))</f>
        <v>0</v>
      </c>
      <c r="AD70" s="184">
        <f>IF(ISERR(VLOOKUP(VALUE(AD$44),'SA Data'!$C$3:$H$48,6,0)="TRUE"),0,VLOOKUP(VALUE(AD$44),'SA Data'!$C$3:$H$48,6,0))</f>
        <v>47351.66</v>
      </c>
      <c r="AE70" s="184">
        <f>IF(ISERR(VLOOKUP(VALUE(AE$44),'SA Data'!$C$3:$H$48,6,0)="TRUE"),0,VLOOKUP(VALUE(AE$44),'SA Data'!$C$3:$H$48,6,0))</f>
        <v>0</v>
      </c>
      <c r="AF70" s="184">
        <f>IF(ISERR(VLOOKUP(VALUE(AF$44),'SA Data'!$C$3:$H$48,6,0)="TRUE"),0,VLOOKUP(VALUE(AF$44),'SA Data'!$C$3:$H$48,6,0))</f>
        <v>0</v>
      </c>
      <c r="AG70" s="184">
        <f>IF(ISERR(VLOOKUP(VALUE(AG$44),'SA Data'!$C$3:$H$48,6,0)="TRUE"),0,VLOOKUP(VALUE(AG$44),'SA Data'!$C$3:$H$48,6,0))</f>
        <v>1059</v>
      </c>
      <c r="AH70" s="184">
        <f>IF(ISERR(VLOOKUP(VALUE(AH$44),'SA Data'!$C$3:$H$48,6,0)="TRUE"),0,VLOOKUP(VALUE(AH$44),'SA Data'!$C$3:$H$48,6,0))</f>
        <v>0</v>
      </c>
      <c r="AI70" s="184">
        <f>IF(ISERR(VLOOKUP(VALUE(AI$44),'SA Data'!$C$3:$H$48,6,0)="TRUE"),0,VLOOKUP(VALUE(AI$44),'SA Data'!$C$3:$H$48,6,0))</f>
        <v>0</v>
      </c>
      <c r="AJ70" s="184">
        <f>IF(ISERR(VLOOKUP(VALUE(AJ$44),'SA Data'!$C$3:$H$48,6,0)="TRUE"),0,VLOOKUP(VALUE(AJ$44),'SA Data'!$C$3:$H$48,6,0))</f>
        <v>975893.66999999993</v>
      </c>
      <c r="AK70" s="184">
        <f>IF(ISERR(VLOOKUP(VALUE(AK$44),'SA Data'!$C$3:$H$48,6,0)="TRUE"),0,VLOOKUP(VALUE(AK$44),'SA Data'!$C$3:$H$48,6,0))</f>
        <v>0</v>
      </c>
      <c r="AL70" s="184">
        <f>IF(ISERR(VLOOKUP(VALUE(AL$44),'SA Data'!$C$3:$H$48,6,0)="TRUE"),0,VLOOKUP(VALUE(AL$44),'SA Data'!$C$3:$H$48,6,0))</f>
        <v>0</v>
      </c>
      <c r="AM70" s="184">
        <f>IF(ISERR(VLOOKUP(VALUE(AM$44),'SA Data'!$C$3:$H$48,6,0)="TRUE"),0,VLOOKUP(VALUE(AM$44),'SA Data'!$C$3:$H$48,6,0))</f>
        <v>0</v>
      </c>
      <c r="AN70" s="184">
        <f>IF(ISERR(VLOOKUP(VALUE(AN$44),'SA Data'!$C$3:$H$48,6,0)="TRUE"),0,VLOOKUP(VALUE(AN$44),'SA Data'!$C$3:$H$48,6,0))</f>
        <v>0</v>
      </c>
      <c r="AO70" s="184">
        <f>IF(ISERR(VLOOKUP(VALUE(AO$44),'SA Data'!$C$3:$H$48,6,0)="TRUE"),0,VLOOKUP(VALUE(AO$44),'SA Data'!$C$3:$H$48,6,0))</f>
        <v>0</v>
      </c>
      <c r="AP70" s="184">
        <f>IF(ISERR(VLOOKUP(VALUE(AP$44),'SA Data'!$C$3:$H$48,6,0)="TRUE"),0,VLOOKUP(VALUE(AP$44),'SA Data'!$C$3:$H$48,6,0))</f>
        <v>0</v>
      </c>
      <c r="AQ70" s="184">
        <f>IF(ISERR(VLOOKUP(VALUE(AQ$44),'SA Data'!$C$3:$H$48,6,0)="TRUE"),0,VLOOKUP(VALUE(AQ$44),'SA Data'!$C$3:$H$48,6,0))</f>
        <v>0</v>
      </c>
      <c r="AR70" s="184">
        <f>IF(ISERR(VLOOKUP(VALUE(AR$44),'SA Data'!$C$3:$H$48,6,0)="TRUE"),0,VLOOKUP(VALUE(AR$44),'SA Data'!$C$3:$H$48,6,0))</f>
        <v>0</v>
      </c>
      <c r="AS70" s="184">
        <f>IF(ISERR(VLOOKUP(VALUE(AS$44),'SA Data'!$C$3:$H$48,6,0)="TRUE"),0,VLOOKUP(VALUE(AS$44),'SA Data'!$C$3:$H$48,6,0))</f>
        <v>0</v>
      </c>
      <c r="AT70" s="184">
        <f>IF(ISERR(VLOOKUP(VALUE(AT$44),'SA Data'!$C$3:$H$48,6,0)="TRUE"),0,VLOOKUP(VALUE(AT$44),'SA Data'!$C$3:$H$48,6,0))</f>
        <v>0</v>
      </c>
      <c r="AU70" s="184">
        <f>IF(ISERR(VLOOKUP(VALUE(AU$44),'SA Data'!$C$3:$H$48,6,0)="TRUE"),0,VLOOKUP(VALUE(AU$44),'SA Data'!$C$3:$H$48,6,0))</f>
        <v>0</v>
      </c>
      <c r="AV70" s="184">
        <f>IF(ISERR(VLOOKUP(VALUE(AV$44),'SA Data'!$C$3:$H$48,6,0)="TRUE"),0,VLOOKUP(VALUE(AV$44),'SA Data'!$C$3:$H$48,6,0))</f>
        <v>0</v>
      </c>
      <c r="AW70" s="184">
        <f>IF(ISERR(VLOOKUP(VALUE(AW$44),'SA Data'!$C$3:$H$48,6,0)="TRUE"),0,VLOOKUP(VALUE(AW$44),'SA Data'!$C$3:$H$48,6,0))</f>
        <v>0</v>
      </c>
      <c r="AX70" s="184">
        <f>IF(ISERR(VLOOKUP(VALUE(AX$44),'SA Data'!$C$3:$H$48,6,0)="TRUE"),0,VLOOKUP(VALUE(AX$44),'SA Data'!$C$3:$H$48,6,0))</f>
        <v>0</v>
      </c>
      <c r="AY70" s="184">
        <f>IF(ISERR(VLOOKUP(VALUE(AY$44),'SA Data'!$C$3:$H$48,6,0)="TRUE"),0,VLOOKUP(VALUE(AY$44),'SA Data'!$C$3:$H$48,6,0))</f>
        <v>0</v>
      </c>
      <c r="AZ70" s="184">
        <f>IF(ISERR(VLOOKUP(VALUE(AZ$44),'SA Data'!$C$3:$H$48,6,0)="TRUE"),0,VLOOKUP(VALUE(AZ$44),'SA Data'!$C$3:$H$48,6,0))</f>
        <v>915548.43</v>
      </c>
      <c r="BA70" s="184">
        <f>IF(ISERR(VLOOKUP(VALUE(BA$44),'SA Data'!$C$3:$H$48,6,0)="TRUE"),0,VLOOKUP(VALUE(BA$44),'SA Data'!$C$3:$H$48,6,0))</f>
        <v>0</v>
      </c>
      <c r="BB70" s="184">
        <f>IF(ISERR(VLOOKUP(VALUE(BB$44),'SA Data'!$C$3:$H$48,6,0)="TRUE"),0,VLOOKUP(VALUE(BB$44),'SA Data'!$C$3:$H$48,6,0))</f>
        <v>0</v>
      </c>
      <c r="BC70" s="184">
        <f>IF(ISERR(VLOOKUP(VALUE(BC$44),'SA Data'!$C$3:$H$48,6,0)="TRUE"),0,VLOOKUP(VALUE(BC$44),'SA Data'!$C$3:$H$48,6,0))</f>
        <v>0</v>
      </c>
      <c r="BD70" s="184">
        <f>IF(ISERR(VLOOKUP(VALUE(BD$44),'SA Data'!$C$3:$H$48,6,0)="TRUE"),0,VLOOKUP(VALUE(BD$44),'SA Data'!$C$3:$H$48,6,0))</f>
        <v>0</v>
      </c>
      <c r="BE70" s="184">
        <f>IF(ISERR(VLOOKUP(VALUE(BE$44),'SA Data'!$C$3:$H$48,6,0)="TRUE"),0,VLOOKUP(VALUE(BE$44),'SA Data'!$C$3:$H$48,6,0))</f>
        <v>59.54</v>
      </c>
      <c r="BF70" s="184">
        <f>IF(ISERR(VLOOKUP(VALUE(BF$44),'SA Data'!$C$3:$H$48,6,0)="TRUE"),0,VLOOKUP(VALUE(BF$44),'SA Data'!$C$3:$H$48,6,0))</f>
        <v>0</v>
      </c>
      <c r="BG70" s="184">
        <f>IF(ISERR(VLOOKUP(VALUE(BG$44),'SA Data'!$C$3:$H$48,6,0)="TRUE"),0,VLOOKUP(VALUE(BG$44),'SA Data'!$C$3:$H$48,6,0))</f>
        <v>0</v>
      </c>
      <c r="BH70" s="184">
        <f>IF(ISERR(VLOOKUP(VALUE(BH$44),'SA Data'!$C$3:$H$48,6,0)="TRUE"),0,VLOOKUP(VALUE(BH$44),'SA Data'!$C$3:$H$48,6,0))</f>
        <v>0</v>
      </c>
      <c r="BI70" s="184">
        <f>IF(ISERR(VLOOKUP(VALUE(BI$44),'SA Data'!$C$3:$H$48,6,0)="TRUE"),0,VLOOKUP(VALUE(BI$44),'SA Data'!$C$3:$H$48,6,0))</f>
        <v>122978.27</v>
      </c>
      <c r="BJ70" s="184">
        <f>IF(ISERR(VLOOKUP(VALUE(BJ$44),'SA Data'!$C$3:$H$48,6,0)="TRUE"),0,VLOOKUP(VALUE(BJ$44),'SA Data'!$C$3:$H$48,6,0))</f>
        <v>0</v>
      </c>
      <c r="BK70" s="184">
        <f>IF(ISERR(VLOOKUP(VALUE(BK$44),'SA Data'!$C$3:$H$48,6,0)="TRUE"),0,VLOOKUP(VALUE(BK$44),'SA Data'!$C$3:$H$48,6,0))</f>
        <v>0</v>
      </c>
      <c r="BL70" s="184">
        <f>IF(ISERR(VLOOKUP(VALUE(BL$44),'SA Data'!$C$3:$H$48,6,0)="TRUE"),0,VLOOKUP(VALUE(BL$44),'SA Data'!$C$3:$H$48,6,0))</f>
        <v>0</v>
      </c>
      <c r="BM70" s="184">
        <f>IF(ISERR(VLOOKUP(VALUE(BM$44),'SA Data'!$C$3:$H$48,6,0)="TRUE"),0,VLOOKUP(VALUE(BM$44),'SA Data'!$C$3:$H$48,6,0))</f>
        <v>0</v>
      </c>
      <c r="BN70" s="184">
        <f>IF(ISERR(VLOOKUP(VALUE(BN$44),'SA Data'!$C$3:$H$48,6,0)="TRUE"),0,VLOOKUP(VALUE(BN$44),'SA Data'!$C$3:$H$48,6,0))</f>
        <v>61.83</v>
      </c>
      <c r="BO70" s="184">
        <f>IF(ISERR(VLOOKUP(VALUE(BO$44),'SA Data'!$C$3:$H$48,6,0)="TRUE"),0,VLOOKUP(VALUE(BO$44),'SA Data'!$C$3:$H$48,6,0))</f>
        <v>0</v>
      </c>
      <c r="BP70" s="184">
        <f>IF(ISERR(VLOOKUP(VALUE(BP$44),'SA Data'!$C$3:$H$48,6,0)="TRUE"),0,VLOOKUP(VALUE(BP$44),'SA Data'!$C$3:$H$48,6,0))</f>
        <v>0</v>
      </c>
      <c r="BQ70" s="184">
        <f>IF(ISERR(VLOOKUP(VALUE(BQ$44),'SA Data'!$C$3:$H$48,6,0)="TRUE"),0,VLOOKUP(VALUE(BQ$44),'SA Data'!$C$3:$H$48,6,0))</f>
        <v>0</v>
      </c>
      <c r="BR70" s="184">
        <f>IF(ISERR(VLOOKUP(VALUE(BR$44),'SA Data'!$C$3:$H$48,6,0)="TRUE"),0,VLOOKUP(VALUE(BR$44),'SA Data'!$C$3:$H$48,6,0))</f>
        <v>0</v>
      </c>
      <c r="BS70" s="184">
        <f>IF(ISERR(VLOOKUP(VALUE(BS$44),'SA Data'!$C$3:$H$48,6,0)="TRUE"),0,VLOOKUP(VALUE(BS$44),'SA Data'!$C$3:$H$48,6,0))</f>
        <v>0</v>
      </c>
      <c r="BT70" s="184">
        <f>IF(ISERR(VLOOKUP(VALUE(BT$44),'SA Data'!$C$3:$H$48,6,0)="TRUE"),0,VLOOKUP(VALUE(BT$44),'SA Data'!$C$3:$H$48,6,0))</f>
        <v>0</v>
      </c>
      <c r="BU70" s="184">
        <f>IF(ISERR(VLOOKUP(VALUE(BU$44),'SA Data'!$C$3:$H$48,6,0)="TRUE"),0,VLOOKUP(VALUE(BU$44),'SA Data'!$C$3:$H$48,6,0))</f>
        <v>0</v>
      </c>
      <c r="BV70" s="184">
        <f>IF(ISERR(VLOOKUP(VALUE(BV$44),'SA Data'!$C$3:$H$48,6,0)="TRUE"),0,VLOOKUP(VALUE(BV$44),'SA Data'!$C$3:$H$48,6,0))</f>
        <v>0</v>
      </c>
      <c r="BW70" s="184">
        <f>IF(ISERR(VLOOKUP(VALUE(BW$44),'SA Data'!$C$3:$H$48,6,0)="TRUE"),0,VLOOKUP(VALUE(BW$44),'SA Data'!$C$3:$H$48,6,0))</f>
        <v>0</v>
      </c>
      <c r="BX70" s="184">
        <f>IF(ISERR(VLOOKUP(VALUE(BX$44),'SA Data'!$C$3:$H$48,6,0)="TRUE"),0,VLOOKUP(VALUE(BX$44),'SA Data'!$C$3:$H$48,6,0))</f>
        <v>0</v>
      </c>
      <c r="BY70" s="184">
        <f>IF(ISERR(VLOOKUP(VALUE(BY$44),'SA Data'!$C$3:$H$48,6,0)="TRUE"),0,VLOOKUP(VALUE(BY$44),'SA Data'!$C$3:$H$48,6,0))</f>
        <v>0</v>
      </c>
      <c r="BZ70" s="184">
        <f>IF(ISERR(VLOOKUP(VALUE(BZ$44),'SA Data'!$C$3:$H$48,6,0)="TRUE"),0,VLOOKUP(VALUE(BZ$44),'SA Data'!$C$3:$H$48,6,0))</f>
        <v>0</v>
      </c>
      <c r="CA70" s="184">
        <f>IF(ISERR(VLOOKUP(VALUE(CA$44),'SA Data'!$C$3:$H$48,6,0)="TRUE"),0,VLOOKUP(VALUE(CA$44),'SA Data'!$C$3:$H$48,6,0))</f>
        <v>0</v>
      </c>
      <c r="CB70" s="184">
        <f>IF(ISERR(VLOOKUP(VALUE(CB$44),'SA Data'!$C$3:$H$48,6,0)="TRUE"),0,VLOOKUP(VALUE(CB$44),'SA Data'!$C$3:$H$48,6,0))</f>
        <v>0</v>
      </c>
      <c r="CC70" s="184">
        <f>IF(ISERR(VLOOKUP(VALUE(CC$44),'SA Data'!$C$3:$H$48,6,0)="TRUE"),0,VLOOKUP(VALUE(CC$44),'SA Data'!$C$3:$H$48,6,0))</f>
        <v>0</v>
      </c>
      <c r="CD70" s="184">
        <f>39008</f>
        <v>39008</v>
      </c>
      <c r="CE70" s="193">
        <f t="shared" si="0"/>
        <v>8262923.6300000008</v>
      </c>
      <c r="CF70" s="248"/>
    </row>
    <row r="71" spans="1:84" ht="12.6" customHeight="1" x14ac:dyDescent="0.25">
      <c r="A71" s="171" t="s">
        <v>243</v>
      </c>
      <c r="B71" s="175"/>
      <c r="C71" s="193">
        <f>SUM(C61:C68)+C69-C70</f>
        <v>6675443.0299999993</v>
      </c>
      <c r="D71" s="193">
        <f t="shared" ref="D71:AI71" si="5">SUM(D61:D69)-D70</f>
        <v>0</v>
      </c>
      <c r="E71" s="193">
        <f t="shared" si="5"/>
        <v>13295676.354359997</v>
      </c>
      <c r="F71" s="193">
        <f t="shared" si="5"/>
        <v>0</v>
      </c>
      <c r="G71" s="193">
        <f t="shared" si="5"/>
        <v>36414.53284</v>
      </c>
      <c r="H71" s="193">
        <f t="shared" si="5"/>
        <v>0</v>
      </c>
      <c r="I71" s="193">
        <f t="shared" si="5"/>
        <v>0</v>
      </c>
      <c r="J71" s="193">
        <f t="shared" si="5"/>
        <v>0</v>
      </c>
      <c r="K71" s="193">
        <f t="shared" si="5"/>
        <v>0</v>
      </c>
      <c r="L71" s="193">
        <f t="shared" si="5"/>
        <v>0</v>
      </c>
      <c r="M71" s="193">
        <f t="shared" si="5"/>
        <v>0</v>
      </c>
      <c r="N71" s="193">
        <f t="shared" si="5"/>
        <v>0</v>
      </c>
      <c r="O71" s="193">
        <f t="shared" si="5"/>
        <v>0</v>
      </c>
      <c r="P71" s="193">
        <f t="shared" si="5"/>
        <v>29759654.784159996</v>
      </c>
      <c r="Q71" s="193">
        <f t="shared" si="5"/>
        <v>3612228.1799999992</v>
      </c>
      <c r="R71" s="193">
        <f t="shared" si="5"/>
        <v>0</v>
      </c>
      <c r="S71" s="193">
        <f t="shared" si="5"/>
        <v>1466657.9819135598</v>
      </c>
      <c r="T71" s="193">
        <f t="shared" si="5"/>
        <v>774081.54544000002</v>
      </c>
      <c r="U71" s="193">
        <f t="shared" si="5"/>
        <v>4003432.06</v>
      </c>
      <c r="V71" s="193">
        <f t="shared" si="5"/>
        <v>0</v>
      </c>
      <c r="W71" s="193">
        <f t="shared" si="5"/>
        <v>667240.86</v>
      </c>
      <c r="X71" s="193">
        <f t="shared" si="5"/>
        <v>1087862.2200000002</v>
      </c>
      <c r="Y71" s="193">
        <f t="shared" si="5"/>
        <v>3911435.67</v>
      </c>
      <c r="Z71" s="193">
        <f t="shared" si="5"/>
        <v>0</v>
      </c>
      <c r="AA71" s="193">
        <f t="shared" si="5"/>
        <v>671518.79</v>
      </c>
      <c r="AB71" s="193">
        <f t="shared" si="5"/>
        <v>9752825.7799999975</v>
      </c>
      <c r="AC71" s="193">
        <f t="shared" si="5"/>
        <v>1710971.0000000002</v>
      </c>
      <c r="AD71" s="193">
        <f t="shared" si="5"/>
        <v>516996.99</v>
      </c>
      <c r="AE71" s="193">
        <f t="shared" si="5"/>
        <v>1634138.8799999997</v>
      </c>
      <c r="AF71" s="193">
        <f t="shared" si="5"/>
        <v>0</v>
      </c>
      <c r="AG71" s="193">
        <f t="shared" si="5"/>
        <v>8602418.3790000007</v>
      </c>
      <c r="AH71" s="193">
        <f t="shared" si="5"/>
        <v>0</v>
      </c>
      <c r="AI71" s="193">
        <f t="shared" si="5"/>
        <v>0</v>
      </c>
      <c r="AJ71" s="193">
        <f t="shared" ref="AJ71:BO71" si="6">SUM(AJ61:AJ69)-AJ70</f>
        <v>38063310.550000004</v>
      </c>
      <c r="AK71" s="193">
        <f t="shared" si="6"/>
        <v>438501.06000000006</v>
      </c>
      <c r="AL71" s="193">
        <f t="shared" si="6"/>
        <v>114172.61</v>
      </c>
      <c r="AM71" s="193">
        <f t="shared" si="6"/>
        <v>0</v>
      </c>
      <c r="AN71" s="193">
        <f t="shared" si="6"/>
        <v>0</v>
      </c>
      <c r="AO71" s="193">
        <f t="shared" si="6"/>
        <v>0</v>
      </c>
      <c r="AP71" s="193">
        <f t="shared" si="6"/>
        <v>0</v>
      </c>
      <c r="AQ71" s="193">
        <f t="shared" si="6"/>
        <v>0</v>
      </c>
      <c r="AR71" s="193">
        <f t="shared" si="6"/>
        <v>0</v>
      </c>
      <c r="AS71" s="193">
        <f t="shared" si="6"/>
        <v>0</v>
      </c>
      <c r="AT71" s="193">
        <f t="shared" si="6"/>
        <v>0</v>
      </c>
      <c r="AU71" s="193">
        <f t="shared" si="6"/>
        <v>0</v>
      </c>
      <c r="AV71" s="193">
        <f t="shared" si="6"/>
        <v>4231293.3046400007</v>
      </c>
      <c r="AW71" s="193">
        <f t="shared" si="6"/>
        <v>0</v>
      </c>
      <c r="AX71" s="193">
        <f t="shared" si="6"/>
        <v>59244.906239999989</v>
      </c>
      <c r="AY71" s="193">
        <f t="shared" si="6"/>
        <v>15205</v>
      </c>
      <c r="AZ71" s="193">
        <f t="shared" si="6"/>
        <v>2436105.4299999992</v>
      </c>
      <c r="BA71" s="193">
        <f t="shared" si="6"/>
        <v>116905.98999999999</v>
      </c>
      <c r="BB71" s="193">
        <f t="shared" si="6"/>
        <v>0</v>
      </c>
      <c r="BC71" s="193">
        <f t="shared" si="6"/>
        <v>225857.51999999996</v>
      </c>
      <c r="BD71" s="193">
        <f t="shared" si="6"/>
        <v>0</v>
      </c>
      <c r="BE71" s="193">
        <f t="shared" si="6"/>
        <v>6438850.8168799998</v>
      </c>
      <c r="BF71" s="193">
        <f t="shared" si="6"/>
        <v>1927100.56</v>
      </c>
      <c r="BG71" s="193">
        <f t="shared" si="6"/>
        <v>255043.22668000002</v>
      </c>
      <c r="BH71" s="193">
        <f t="shared" si="6"/>
        <v>1111095.9992</v>
      </c>
      <c r="BI71" s="193">
        <f t="shared" si="6"/>
        <v>-20342.560000000027</v>
      </c>
      <c r="BJ71" s="193">
        <f t="shared" si="6"/>
        <v>265283.34811999992</v>
      </c>
      <c r="BK71" s="193">
        <f t="shared" si="6"/>
        <v>1737873.9040149639</v>
      </c>
      <c r="BL71" s="193">
        <f t="shared" si="6"/>
        <v>1893979.6281200002</v>
      </c>
      <c r="BM71" s="193">
        <f t="shared" si="6"/>
        <v>0</v>
      </c>
      <c r="BN71" s="193">
        <f t="shared" si="6"/>
        <v>6078131.6203294201</v>
      </c>
      <c r="BO71" s="193">
        <f t="shared" si="6"/>
        <v>193367.18455999999</v>
      </c>
      <c r="BP71" s="193">
        <f t="shared" ref="BP71:CC71" si="7">SUM(BP61:BP69)-BP70</f>
        <v>1019033.2456799999</v>
      </c>
      <c r="BQ71" s="193">
        <f t="shared" si="7"/>
        <v>0</v>
      </c>
      <c r="BR71" s="193">
        <f t="shared" si="7"/>
        <v>650624.20675999997</v>
      </c>
      <c r="BS71" s="193">
        <f t="shared" si="7"/>
        <v>53429.914439999986</v>
      </c>
      <c r="BT71" s="193">
        <f t="shared" si="7"/>
        <v>91478.531639999987</v>
      </c>
      <c r="BU71" s="193">
        <f t="shared" si="7"/>
        <v>31867.568360000008</v>
      </c>
      <c r="BV71" s="193">
        <f t="shared" si="7"/>
        <v>2406552.8505677478</v>
      </c>
      <c r="BW71" s="193">
        <f t="shared" si="7"/>
        <v>469536.11818737997</v>
      </c>
      <c r="BX71" s="193">
        <f t="shared" si="7"/>
        <v>2872459.7217133441</v>
      </c>
      <c r="BY71" s="193">
        <f t="shared" si="7"/>
        <v>1579410.9217999994</v>
      </c>
      <c r="BZ71" s="193">
        <f t="shared" si="7"/>
        <v>0</v>
      </c>
      <c r="CA71" s="193">
        <f t="shared" si="7"/>
        <v>507489.80928000004</v>
      </c>
      <c r="CB71" s="193">
        <f t="shared" si="7"/>
        <v>34213.396519999995</v>
      </c>
      <c r="CC71" s="193">
        <f t="shared" si="7"/>
        <v>7185751.2341428967</v>
      </c>
      <c r="CD71" s="241">
        <f>CD69-CD70</f>
        <v>7246315</v>
      </c>
      <c r="CE71" s="193">
        <f>SUM(CE61:CE69)-CE70</f>
        <v>177908139.65558928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6"/>
      <c r="CF72" s="248"/>
    </row>
    <row r="73" spans="1:84" ht="12.6" customHeight="1" x14ac:dyDescent="0.25">
      <c r="A73" s="171" t="s">
        <v>245</v>
      </c>
      <c r="B73" s="175"/>
      <c r="C73" s="184">
        <f>IF(ISERR(VLOOKUP(VALUE(C$44),'SA Data'!$C$3:$E$48,3,0)="TRUE"),0,VLOOKUP(VALUE(C$44),'SA Data'!$C$3:$E$48,3,0))</f>
        <v>25778779.219999999</v>
      </c>
      <c r="D73" s="184">
        <f>IF(ISERR(VLOOKUP(VALUE(D$44),'SA Data'!$C$3:$E$48,3,0)="TRUE"),0,VLOOKUP(VALUE(D$44),'SA Data'!$C$3:$E$48,3,0))</f>
        <v>0</v>
      </c>
      <c r="E73" s="184">
        <f>IF(ISERR(VLOOKUP(VALUE(E$44),'SA Data'!$C$3:$E$48,3,0)="TRUE"),0,VLOOKUP(VALUE(E$44),'SA Data'!$C$3:$E$48,3,0))</f>
        <v>58131915.720000006</v>
      </c>
      <c r="F73" s="184">
        <f>IF(ISERR(VLOOKUP(VALUE(F$44),'SA Data'!$C$3:$E$48,3,0)="TRUE"),0,VLOOKUP(VALUE(F$44),'SA Data'!$C$3:$E$48,3,0))</f>
        <v>0</v>
      </c>
      <c r="G73" s="184">
        <f>IF(ISERR(VLOOKUP(VALUE(G$44),'SA Data'!$C$3:$E$48,3,0)="TRUE"),0,VLOOKUP(VALUE(G$44),'SA Data'!$C$3:$E$48,3,0))</f>
        <v>0</v>
      </c>
      <c r="H73" s="184">
        <f>IF(ISERR(VLOOKUP(VALUE(H$44),'SA Data'!$C$3:$E$48,3,0)="TRUE"),0,VLOOKUP(VALUE(H$44),'SA Data'!$C$3:$E$48,3,0))</f>
        <v>0</v>
      </c>
      <c r="I73" s="184">
        <f>IF(ISERR(VLOOKUP(VALUE(I$44),'SA Data'!$C$3:$E$48,3,0)="TRUE"),0,VLOOKUP(VALUE(I$44),'SA Data'!$C$3:$E$48,3,0))</f>
        <v>0</v>
      </c>
      <c r="J73" s="184">
        <f>IF(ISERR(VLOOKUP(VALUE(J$44),'SA Data'!$C$3:$E$48,3,0)="TRUE"),0,VLOOKUP(VALUE(J$44),'SA Data'!$C$3:$E$48,3,0))</f>
        <v>0</v>
      </c>
      <c r="K73" s="184">
        <f>IF(ISERR(VLOOKUP(VALUE(K$44),'SA Data'!$C$3:$E$48,3,0)="TRUE"),0,VLOOKUP(VALUE(K$44),'SA Data'!$C$3:$E$48,3,0))</f>
        <v>0</v>
      </c>
      <c r="L73" s="184">
        <f>IF(ISERR(VLOOKUP(VALUE(L$44),'SA Data'!$C$3:$E$48,3,0)="TRUE"),0,VLOOKUP(VALUE(L$44),'SA Data'!$C$3:$E$48,3,0))</f>
        <v>0</v>
      </c>
      <c r="M73" s="184">
        <f>IF(ISERR(VLOOKUP(VALUE(M$44),'SA Data'!$C$3:$E$48,3,0)="TRUE"),0,VLOOKUP(VALUE(M$44),'SA Data'!$C$3:$E$48,3,0))</f>
        <v>0</v>
      </c>
      <c r="N73" s="184">
        <f>IF(ISERR(VLOOKUP(VALUE(N$44),'SA Data'!$C$3:$E$48,3,0)="TRUE"),0,VLOOKUP(VALUE(N$44),'SA Data'!$C$3:$E$48,3,0))</f>
        <v>0</v>
      </c>
      <c r="O73" s="184">
        <f>IF(ISERR(VLOOKUP(VALUE(O$44),'SA Data'!$C$3:$E$48,3,0)="TRUE"),0,VLOOKUP(VALUE(O$44),'SA Data'!$C$3:$E$48,3,0))</f>
        <v>0</v>
      </c>
      <c r="P73" s="184">
        <f>IF(ISERR(VLOOKUP(VALUE(P$44),'SA Data'!$C$3:$E$48,3,0)="TRUE"),0,VLOOKUP(VALUE(P$44),'SA Data'!$C$3:$E$48,3,0))</f>
        <v>101668853.34999999</v>
      </c>
      <c r="Q73" s="184">
        <f>IF(ISERR(VLOOKUP(VALUE(Q$44),'SA Data'!$C$3:$E$48,3,0)="TRUE"),0,VLOOKUP(VALUE(Q$44),'SA Data'!$C$3:$E$48,3,0))</f>
        <v>4907091.3099999996</v>
      </c>
      <c r="R73" s="184">
        <f>IF(ISERR(VLOOKUP(VALUE(R$44),'SA Data'!$C$3:$E$48,3,0)="TRUE"),0,VLOOKUP(VALUE(R$44),'SA Data'!$C$3:$E$48,3,0))</f>
        <v>0</v>
      </c>
      <c r="S73" s="184">
        <f>IF(ISERR(VLOOKUP(VALUE(S$44),'SA Data'!$C$3:$E$48,3,0)="TRUE"),0,VLOOKUP(VALUE(S$44),'SA Data'!$C$3:$E$48,3,0))</f>
        <v>0</v>
      </c>
      <c r="T73" s="184">
        <f>IF(ISERR(VLOOKUP(VALUE(T$44),'SA Data'!$C$3:$E$48,3,0)="TRUE"),0,VLOOKUP(VALUE(T$44),'SA Data'!$C$3:$E$48,3,0))</f>
        <v>4243670.37</v>
      </c>
      <c r="U73" s="184">
        <f>IF(ISERR(VLOOKUP(VALUE(U$44),'SA Data'!$C$3:$E$48,3,0)="TRUE"),0,VLOOKUP(VALUE(U$44),'SA Data'!$C$3:$E$48,3,0))</f>
        <v>26186106.489999998</v>
      </c>
      <c r="V73" s="184">
        <f>IF(ISERR(VLOOKUP(VALUE(V$44),'SA Data'!$C$3:$E$48,3,0)="TRUE"),0,VLOOKUP(VALUE(V$44),'SA Data'!$C$3:$E$48,3,0))</f>
        <v>0</v>
      </c>
      <c r="W73" s="184">
        <f>IF(ISERR(VLOOKUP(VALUE(W$44),'SA Data'!$C$3:$E$48,3,0)="TRUE"),0,VLOOKUP(VALUE(W$44),'SA Data'!$C$3:$E$48,3,0))</f>
        <v>3778688.01</v>
      </c>
      <c r="X73" s="184">
        <f>IF(ISERR(VLOOKUP(VALUE(X$44),'SA Data'!$C$3:$E$48,3,0)="TRUE"),0,VLOOKUP(VALUE(X$44),'SA Data'!$C$3:$E$48,3,0))</f>
        <v>21868049.75</v>
      </c>
      <c r="Y73" s="184">
        <f>IF(ISERR(VLOOKUP(VALUE(Y$44),'SA Data'!$C$3:$E$48,3,0)="TRUE"),0,VLOOKUP(VALUE(Y$44),'SA Data'!$C$3:$E$48,3,0))</f>
        <v>12314249.23</v>
      </c>
      <c r="Z73" s="184">
        <f>IF(ISERR(VLOOKUP(VALUE(Z$44),'SA Data'!$C$3:$E$48,3,0)="TRUE"),0,VLOOKUP(VALUE(Z$44),'SA Data'!$C$3:$E$48,3,0))</f>
        <v>0</v>
      </c>
      <c r="AA73" s="184">
        <f>IF(ISERR(VLOOKUP(VALUE(AA$44),'SA Data'!$C$3:$E$48,3,0)="TRUE"),0,VLOOKUP(VALUE(AA$44),'SA Data'!$C$3:$E$48,3,0))</f>
        <v>1499339.1400000001</v>
      </c>
      <c r="AB73" s="184">
        <f>IF(ISERR(VLOOKUP(VALUE(AB$44),'SA Data'!$C$3:$E$48,3,0)="TRUE"),0,VLOOKUP(VALUE(AB$44),'SA Data'!$C$3:$E$48,3,0))</f>
        <v>60003651.420000009</v>
      </c>
      <c r="AC73" s="184">
        <f>IF(ISERR(VLOOKUP(VALUE(AC$44),'SA Data'!$C$3:$E$48,3,0)="TRUE"),0,VLOOKUP(VALUE(AC$44),'SA Data'!$C$3:$E$48,3,0))</f>
        <v>17776333.25</v>
      </c>
      <c r="AD73" s="184">
        <f>IF(ISERR(VLOOKUP(VALUE(AD$44),'SA Data'!$C$3:$E$48,3,0)="TRUE"),0,VLOOKUP(VALUE(AD$44),'SA Data'!$C$3:$E$48,3,0))</f>
        <v>1618232.55</v>
      </c>
      <c r="AE73" s="184">
        <f>IF(ISERR(VLOOKUP(VALUE(AE$44),'SA Data'!$C$3:$E$48,3,0)="TRUE"),0,VLOOKUP(VALUE(AE$44),'SA Data'!$C$3:$E$48,3,0))</f>
        <v>2297499.4400000004</v>
      </c>
      <c r="AF73" s="184">
        <f>IF(ISERR(VLOOKUP(VALUE(AF$44),'SA Data'!$C$3:$E$48,3,0)="TRUE"),0,VLOOKUP(VALUE(AF$44),'SA Data'!$C$3:$E$48,3,0))</f>
        <v>0</v>
      </c>
      <c r="AG73" s="184">
        <f>IF(ISERR(VLOOKUP(VALUE(AG$44),'SA Data'!$C$3:$E$48,3,0)="TRUE"),0,VLOOKUP(VALUE(AG$44),'SA Data'!$C$3:$E$48,3,0))</f>
        <v>25474474.689999998</v>
      </c>
      <c r="AH73" s="184">
        <f>IF(ISERR(VLOOKUP(VALUE(AH$44),'SA Data'!$C$3:$E$48,3,0)="TRUE"),0,VLOOKUP(VALUE(AH$44),'SA Data'!$C$3:$E$48,3,0))</f>
        <v>0</v>
      </c>
      <c r="AI73" s="184">
        <f>IF(ISERR(VLOOKUP(VALUE(AI$44),'SA Data'!$C$3:$E$48,3,0)="TRUE"),0,VLOOKUP(VALUE(AI$44),'SA Data'!$C$3:$E$48,3,0))</f>
        <v>0</v>
      </c>
      <c r="AJ73" s="184">
        <f>IF(ISERR(VLOOKUP(VALUE(AJ$44),'SA Data'!$C$3:$E$48,3,0)="TRUE"),0,VLOOKUP(VALUE(AJ$44),'SA Data'!$C$3:$E$48,3,0))</f>
        <v>9620.92</v>
      </c>
      <c r="AK73" s="184">
        <f>IF(ISERR(VLOOKUP(VALUE(AK$44),'SA Data'!$C$3:$E$48,3,0)="TRUE"),0,VLOOKUP(VALUE(AK$44),'SA Data'!$C$3:$E$48,3,0))</f>
        <v>892947.96</v>
      </c>
      <c r="AL73" s="184">
        <f>IF(ISERR(VLOOKUP(VALUE(AL$44),'SA Data'!$C$3:$E$48,3,0)="TRUE"),0,VLOOKUP(VALUE(AL$44),'SA Data'!$C$3:$E$48,3,0))</f>
        <v>423377.05</v>
      </c>
      <c r="AM73" s="184">
        <f>IF(ISERR(VLOOKUP(VALUE(AM$44),'SA Data'!$C$3:$E$48,3,0)="TRUE"),0,VLOOKUP(VALUE(AM$44),'SA Data'!$C$3:$E$48,3,0))</f>
        <v>0</v>
      </c>
      <c r="AN73" s="184">
        <f>IF(ISERR(VLOOKUP(VALUE(AN$44),'SA Data'!$C$3:$E$48,3,0)="TRUE"),0,VLOOKUP(VALUE(AN$44),'SA Data'!$C$3:$E$48,3,0))</f>
        <v>0</v>
      </c>
      <c r="AO73" s="184">
        <f>IF(ISERR(VLOOKUP(VALUE(AO$44),'SA Data'!$C$3:$E$48,3,0)="TRUE"),0,VLOOKUP(VALUE(AO$44),'SA Data'!$C$3:$E$48,3,0))</f>
        <v>0</v>
      </c>
      <c r="AP73" s="184">
        <f>IF(ISERR(VLOOKUP(VALUE(AP$44),'SA Data'!$C$3:$E$48,3,0)="TRUE"),0,VLOOKUP(VALUE(AP$44),'SA Data'!$C$3:$E$48,3,0))</f>
        <v>0</v>
      </c>
      <c r="AQ73" s="184">
        <f>IF(ISERR(VLOOKUP(VALUE(AQ$44),'SA Data'!$C$3:$E$48,3,0)="TRUE"),0,VLOOKUP(VALUE(AQ$44),'SA Data'!$C$3:$E$48,3,0))</f>
        <v>0</v>
      </c>
      <c r="AR73" s="184">
        <f>IF(ISERR(VLOOKUP(VALUE(AR$44),'SA Data'!$C$3:$E$48,3,0)="TRUE"),0,VLOOKUP(VALUE(AR$44),'SA Data'!$C$3:$E$48,3,0))</f>
        <v>0</v>
      </c>
      <c r="AS73" s="184">
        <f>IF(ISERR(VLOOKUP(VALUE(AS$44),'SA Data'!$C$3:$E$48,3,0)="TRUE"),0,VLOOKUP(VALUE(AS$44),'SA Data'!$C$3:$E$48,3,0))</f>
        <v>0</v>
      </c>
      <c r="AT73" s="184">
        <f>IF(ISERR(VLOOKUP(VALUE(AT$44),'SA Data'!$C$3:$E$48,3,0)="TRUE"),0,VLOOKUP(VALUE(AT$44),'SA Data'!$C$3:$E$48,3,0))</f>
        <v>0</v>
      </c>
      <c r="AU73" s="184">
        <f>IF(ISERR(VLOOKUP(VALUE(AU$44),'SA Data'!$C$3:$E$48,3,0)="TRUE"),0,VLOOKUP(VALUE(AU$44),'SA Data'!$C$3:$E$48,3,0))</f>
        <v>0</v>
      </c>
      <c r="AV73" s="184">
        <f>IF(ISERR(VLOOKUP(VALUE(AV$44),'SA Data'!$C$3:$E$48,3,0)="TRUE"),0,VLOOKUP(VALUE(AV$44),'SA Data'!$C$3:$E$48,3,0))-254613</f>
        <v>-6517.3600000000151</v>
      </c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3">
        <f t="shared" ref="CE73:CE80" si="8">SUM(C73:CD73)</f>
        <v>368866362.50999999</v>
      </c>
      <c r="CF73" s="248"/>
    </row>
    <row r="74" spans="1:84" ht="12.6" customHeight="1" x14ac:dyDescent="0.25">
      <c r="A74" s="171" t="s">
        <v>246</v>
      </c>
      <c r="B74" s="175"/>
      <c r="C74" s="184">
        <f>IF(ISERR(VLOOKUP(VALUE(C$44),'SA Data'!$C$3:$F$48,4,0)="TRUE"),0,VLOOKUP(VALUE(C$44),'SA Data'!$C$3:$F$48,4,0))</f>
        <v>256188.07999999996</v>
      </c>
      <c r="D74" s="184">
        <f>IF(ISERR(VLOOKUP(VALUE(D$44),'SA Data'!$C$3:$F$48,4,0)="TRUE"),0,VLOOKUP(VALUE(D$44),'SA Data'!$C$3:$F$48,4,0))</f>
        <v>0</v>
      </c>
      <c r="E74" s="184">
        <f>IF(ISERR(VLOOKUP(VALUE(E$44),'SA Data'!$C$3:$F$48,4,0)="TRUE"),0,VLOOKUP(VALUE(E$44),'SA Data'!$C$3:$F$48,4,0))</f>
        <v>11145320.83</v>
      </c>
      <c r="F74" s="184">
        <f>IF(ISERR(VLOOKUP(VALUE(F$44),'SA Data'!$C$3:$F$48,4,0)="TRUE"),0,VLOOKUP(VALUE(F$44),'SA Data'!$C$3:$F$48,4,0))</f>
        <v>0</v>
      </c>
      <c r="G74" s="184">
        <f>IF(ISERR(VLOOKUP(VALUE(G$44),'SA Data'!$C$3:$F$48,4,0)="TRUE"),0,VLOOKUP(VALUE(G$44),'SA Data'!$C$3:$F$48,4,0))</f>
        <v>0</v>
      </c>
      <c r="H74" s="184">
        <f>IF(ISERR(VLOOKUP(VALUE(H$44),'SA Data'!$C$3:$F$48,4,0)="TRUE"),0,VLOOKUP(VALUE(H$44),'SA Data'!$C$3:$F$48,4,0))</f>
        <v>0</v>
      </c>
      <c r="I74" s="184">
        <f>IF(ISERR(VLOOKUP(VALUE(I$44),'SA Data'!$C$3:$F$48,4,0)="TRUE"),0,VLOOKUP(VALUE(I$44),'SA Data'!$C$3:$F$48,4,0))</f>
        <v>0</v>
      </c>
      <c r="J74" s="184">
        <f>IF(ISERR(VLOOKUP(VALUE(J$44),'SA Data'!$C$3:$F$48,4,0)="TRUE"),0,VLOOKUP(VALUE(J$44),'SA Data'!$C$3:$F$48,4,0))</f>
        <v>0</v>
      </c>
      <c r="K74" s="184">
        <f>IF(ISERR(VLOOKUP(VALUE(K$44),'SA Data'!$C$3:$F$48,4,0)="TRUE"),0,VLOOKUP(VALUE(K$44),'SA Data'!$C$3:$F$48,4,0))</f>
        <v>0</v>
      </c>
      <c r="L74" s="184">
        <f>IF(ISERR(VLOOKUP(VALUE(L$44),'SA Data'!$C$3:$F$48,4,0)="TRUE"),0,VLOOKUP(VALUE(L$44),'SA Data'!$C$3:$F$48,4,0))</f>
        <v>0</v>
      </c>
      <c r="M74" s="184">
        <f>IF(ISERR(VLOOKUP(VALUE(M$44),'SA Data'!$C$3:$F$48,4,0)="TRUE"),0,VLOOKUP(VALUE(M$44),'SA Data'!$C$3:$F$48,4,0))</f>
        <v>0</v>
      </c>
      <c r="N74" s="184">
        <f>IF(ISERR(VLOOKUP(VALUE(N$44),'SA Data'!$C$3:$F$48,4,0)="TRUE"),0,VLOOKUP(VALUE(N$44),'SA Data'!$C$3:$F$48,4,0))</f>
        <v>0</v>
      </c>
      <c r="O74" s="184">
        <f>IF(ISERR(VLOOKUP(VALUE(O$44),'SA Data'!$C$3:$F$48,4,0)="TRUE"),0,VLOOKUP(VALUE(O$44),'SA Data'!$C$3:$F$48,4,0))</f>
        <v>0</v>
      </c>
      <c r="P74" s="184">
        <f>IF(ISERR(VLOOKUP(VALUE(P$44),'SA Data'!$C$3:$F$48,4,0)="TRUE"),0,VLOOKUP(VALUE(P$44),'SA Data'!$C$3:$F$48,4,0))</f>
        <v>146007841.93000001</v>
      </c>
      <c r="Q74" s="184">
        <f>IF(ISERR(VLOOKUP(VALUE(Q$44),'SA Data'!$C$3:$F$48,4,0)="TRUE"),0,VLOOKUP(VALUE(Q$44),'SA Data'!$C$3:$F$48,4,0))</f>
        <v>19318078.82</v>
      </c>
      <c r="R74" s="184">
        <f>IF(ISERR(VLOOKUP(VALUE(R$44),'SA Data'!$C$3:$F$48,4,0)="TRUE"),0,VLOOKUP(VALUE(R$44),'SA Data'!$C$3:$F$48,4,0))</f>
        <v>0</v>
      </c>
      <c r="S74" s="184">
        <f>IF(ISERR(VLOOKUP(VALUE(S$44),'SA Data'!$C$3:$F$48,4,0)="TRUE"),0,VLOOKUP(VALUE(S$44),'SA Data'!$C$3:$F$48,4,0))</f>
        <v>0</v>
      </c>
      <c r="T74" s="184">
        <f>IF(ISERR(VLOOKUP(VALUE(T$44),'SA Data'!$C$3:$F$48,4,0)="TRUE"),0,VLOOKUP(VALUE(T$44),'SA Data'!$C$3:$F$48,4,0))</f>
        <v>429530.19</v>
      </c>
      <c r="U74" s="184">
        <f>IF(ISERR(VLOOKUP(VALUE(U$44),'SA Data'!$C$3:$F$48,4,0)="TRUE"),0,VLOOKUP(VALUE(U$44),'SA Data'!$C$3:$F$48,4,0))</f>
        <v>16853754.66</v>
      </c>
      <c r="V74" s="184">
        <f>IF(ISERR(VLOOKUP(VALUE(V$44),'SA Data'!$C$3:$F$48,4,0)="TRUE"),0,VLOOKUP(VALUE(V$44),'SA Data'!$C$3:$F$48,4,0))</f>
        <v>0</v>
      </c>
      <c r="W74" s="184">
        <f>IF(ISERR(VLOOKUP(VALUE(W$44),'SA Data'!$C$3:$F$48,4,0)="TRUE"),0,VLOOKUP(VALUE(W$44),'SA Data'!$C$3:$F$48,4,0))</f>
        <v>13849239.529999997</v>
      </c>
      <c r="X74" s="184">
        <f>IF(ISERR(VLOOKUP(VALUE(X$44),'SA Data'!$C$3:$F$48,4,0)="TRUE"),0,VLOOKUP(VALUE(X$44),'SA Data'!$C$3:$F$48,4,0))</f>
        <v>58521303.590000004</v>
      </c>
      <c r="Y74" s="184">
        <f>IF(ISERR(VLOOKUP(VALUE(Y$44),'SA Data'!$C$3:$F$48,4,0)="TRUE"),0,VLOOKUP(VALUE(Y$44),'SA Data'!$C$3:$F$48,4,0))</f>
        <v>23081243.570000004</v>
      </c>
      <c r="Z74" s="184">
        <f>IF(ISERR(VLOOKUP(VALUE(Z$44),'SA Data'!$C$3:$F$48,4,0)="TRUE"),0,VLOOKUP(VALUE(Z$44),'SA Data'!$C$3:$F$48,4,0))</f>
        <v>0</v>
      </c>
      <c r="AA74" s="184">
        <f>IF(ISERR(VLOOKUP(VALUE(AA$44),'SA Data'!$C$3:$F$48,4,0)="TRUE"),0,VLOOKUP(VALUE(AA$44),'SA Data'!$C$3:$F$48,4,0))</f>
        <v>7877080.7899999991</v>
      </c>
      <c r="AB74" s="184">
        <f>IF(ISERR(VLOOKUP(VALUE(AB$44),'SA Data'!$C$3:$F$48,4,0)="TRUE"),0,VLOOKUP(VALUE(AB$44),'SA Data'!$C$3:$F$48,4,0))</f>
        <v>55538554.599999994</v>
      </c>
      <c r="AC74" s="184">
        <f>IF(ISERR(VLOOKUP(VALUE(AC$44),'SA Data'!$C$3:$F$48,4,0)="TRUE"),0,VLOOKUP(VALUE(AC$44),'SA Data'!$C$3:$F$48,4,0))</f>
        <v>2123087.8400000003</v>
      </c>
      <c r="AD74" s="184">
        <f>IF(ISERR(VLOOKUP(VALUE(AD$44),'SA Data'!$C$3:$F$48,4,0)="TRUE"),0,VLOOKUP(VALUE(AD$44),'SA Data'!$C$3:$F$48,4,0))</f>
        <v>98381.580000000016</v>
      </c>
      <c r="AE74" s="184">
        <f>IF(ISERR(VLOOKUP(VALUE(AE$44),'SA Data'!$C$3:$F$48,4,0)="TRUE"),0,VLOOKUP(VALUE(AE$44),'SA Data'!$C$3:$F$48,4,0))</f>
        <v>5654406.0499999998</v>
      </c>
      <c r="AF74" s="184">
        <f>IF(ISERR(VLOOKUP(VALUE(AF$44),'SA Data'!$C$3:$F$48,4,0)="TRUE"),0,VLOOKUP(VALUE(AF$44),'SA Data'!$C$3:$F$48,4,0))</f>
        <v>0</v>
      </c>
      <c r="AG74" s="184">
        <f>IF(ISERR(VLOOKUP(VALUE(AG$44),'SA Data'!$C$3:$F$48,4,0)="TRUE"),0,VLOOKUP(VALUE(AG$44),'SA Data'!$C$3:$F$48,4,0))</f>
        <v>83906657.730000019</v>
      </c>
      <c r="AH74" s="184">
        <f>IF(ISERR(VLOOKUP(VALUE(AH$44),'SA Data'!$C$3:$F$48,4,0)="TRUE"),0,VLOOKUP(VALUE(AH$44),'SA Data'!$C$3:$F$48,4,0))</f>
        <v>0</v>
      </c>
      <c r="AI74" s="184">
        <f>IF(ISERR(VLOOKUP(VALUE(AI$44),'SA Data'!$C$3:$F$48,4,0)="TRUE"),0,VLOOKUP(VALUE(AI$44),'SA Data'!$C$3:$F$48,4,0))</f>
        <v>0</v>
      </c>
      <c r="AJ74" s="184">
        <f>IF(ISERR(VLOOKUP(VALUE(AJ$44),'SA Data'!$C$3:$F$48,4,0)="TRUE"),0,VLOOKUP(VALUE(AJ$44),'SA Data'!$C$3:$F$48,4,0))</f>
        <v>64719993.859999992</v>
      </c>
      <c r="AK74" s="184">
        <f>IF(ISERR(VLOOKUP(VALUE(AK$44),'SA Data'!$C$3:$F$48,4,0)="TRUE"),0,VLOOKUP(VALUE(AK$44),'SA Data'!$C$3:$F$48,4,0))</f>
        <v>1476456.32</v>
      </c>
      <c r="AL74" s="184">
        <f>IF(ISERR(VLOOKUP(VALUE(AL$44),'SA Data'!$C$3:$F$48,4,0)="TRUE"),0,VLOOKUP(VALUE(AL$44),'SA Data'!$C$3:$F$48,4,0))</f>
        <v>277880.85000000003</v>
      </c>
      <c r="AM74" s="184">
        <f>IF(ISERR(VLOOKUP(VALUE(AM$44),'SA Data'!$C$3:$F$48,4,0)="TRUE"),0,VLOOKUP(VALUE(AM$44),'SA Data'!$C$3:$F$48,4,0))</f>
        <v>0</v>
      </c>
      <c r="AN74" s="184">
        <f>IF(ISERR(VLOOKUP(VALUE(AN$44),'SA Data'!$C$3:$F$48,4,0)="TRUE"),0,VLOOKUP(VALUE(AN$44),'SA Data'!$C$3:$F$48,4,0))</f>
        <v>0</v>
      </c>
      <c r="AO74" s="184">
        <f>IF(ISERR(VLOOKUP(VALUE(AO$44),'SA Data'!$C$3:$F$48,4,0)="TRUE"),0,VLOOKUP(VALUE(AO$44),'SA Data'!$C$3:$F$48,4,0))</f>
        <v>0</v>
      </c>
      <c r="AP74" s="184">
        <f>IF(ISERR(VLOOKUP(VALUE(AP$44),'SA Data'!$C$3:$F$48,4,0)="TRUE"),0,VLOOKUP(VALUE(AP$44),'SA Data'!$C$3:$F$48,4,0))</f>
        <v>0</v>
      </c>
      <c r="AQ74" s="184">
        <f>IF(ISERR(VLOOKUP(VALUE(AQ$44),'SA Data'!$C$3:$F$48,4,0)="TRUE"),0,VLOOKUP(VALUE(AQ$44),'SA Data'!$C$3:$F$48,4,0))</f>
        <v>0</v>
      </c>
      <c r="AR74" s="184">
        <f>IF(ISERR(VLOOKUP(VALUE(AR$44),'SA Data'!$C$3:$F$48,4,0)="TRUE"),0,VLOOKUP(VALUE(AR$44),'SA Data'!$C$3:$F$48,4,0))</f>
        <v>0</v>
      </c>
      <c r="AS74" s="184">
        <f>IF(ISERR(VLOOKUP(VALUE(AS$44),'SA Data'!$C$3:$F$48,4,0)="TRUE"),0,VLOOKUP(VALUE(AS$44),'SA Data'!$C$3:$F$48,4,0))</f>
        <v>0</v>
      </c>
      <c r="AT74" s="184">
        <f>IF(ISERR(VLOOKUP(VALUE(AT$44),'SA Data'!$C$3:$F$48,4,0)="TRUE"),0,VLOOKUP(VALUE(AT$44),'SA Data'!$C$3:$F$48,4,0))</f>
        <v>0</v>
      </c>
      <c r="AU74" s="184">
        <f>IF(ISERR(VLOOKUP(VALUE(AU$44),'SA Data'!$C$3:$F$48,4,0)="TRUE"),0,VLOOKUP(VALUE(AU$44),'SA Data'!$C$3:$F$48,4,0))</f>
        <v>0</v>
      </c>
      <c r="AV74" s="184">
        <f>IF(ISERR(VLOOKUP(VALUE(AV$44),'SA Data'!$C$3:$F$48,4,0)="TRUE"),0,VLOOKUP(VALUE(AV$44),'SA Data'!$C$3:$F$48,4,0))+193120</f>
        <v>3553704.5200000005</v>
      </c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3">
        <f t="shared" si="8"/>
        <v>514688705.34000003</v>
      </c>
      <c r="CF74" s="248"/>
    </row>
    <row r="75" spans="1:84" ht="12.6" customHeight="1" x14ac:dyDescent="0.25">
      <c r="A75" s="171" t="s">
        <v>247</v>
      </c>
      <c r="B75" s="175"/>
      <c r="C75" s="193">
        <f t="shared" ref="C75:AV75" si="9">SUM(C73:C74)</f>
        <v>26034967.299999997</v>
      </c>
      <c r="D75" s="193">
        <f t="shared" si="9"/>
        <v>0</v>
      </c>
      <c r="E75" s="193">
        <f t="shared" si="9"/>
        <v>69277236.550000012</v>
      </c>
      <c r="F75" s="193">
        <f t="shared" si="9"/>
        <v>0</v>
      </c>
      <c r="G75" s="193">
        <f t="shared" si="9"/>
        <v>0</v>
      </c>
      <c r="H75" s="193">
        <f t="shared" si="9"/>
        <v>0</v>
      </c>
      <c r="I75" s="193">
        <f t="shared" si="9"/>
        <v>0</v>
      </c>
      <c r="J75" s="193">
        <f t="shared" si="9"/>
        <v>0</v>
      </c>
      <c r="K75" s="193">
        <f t="shared" si="9"/>
        <v>0</v>
      </c>
      <c r="L75" s="193">
        <f t="shared" si="9"/>
        <v>0</v>
      </c>
      <c r="M75" s="193">
        <f t="shared" si="9"/>
        <v>0</v>
      </c>
      <c r="N75" s="193">
        <f t="shared" si="9"/>
        <v>0</v>
      </c>
      <c r="O75" s="193">
        <f t="shared" si="9"/>
        <v>0</v>
      </c>
      <c r="P75" s="193">
        <f t="shared" si="9"/>
        <v>247676695.28</v>
      </c>
      <c r="Q75" s="193">
        <f t="shared" si="9"/>
        <v>24225170.129999999</v>
      </c>
      <c r="R75" s="193">
        <f t="shared" si="9"/>
        <v>0</v>
      </c>
      <c r="S75" s="193">
        <f t="shared" si="9"/>
        <v>0</v>
      </c>
      <c r="T75" s="193">
        <f t="shared" si="9"/>
        <v>4673200.5600000005</v>
      </c>
      <c r="U75" s="193">
        <f t="shared" si="9"/>
        <v>43039861.149999999</v>
      </c>
      <c r="V75" s="193">
        <f t="shared" si="9"/>
        <v>0</v>
      </c>
      <c r="W75" s="193">
        <f t="shared" si="9"/>
        <v>17627927.539999999</v>
      </c>
      <c r="X75" s="193">
        <f t="shared" si="9"/>
        <v>80389353.340000004</v>
      </c>
      <c r="Y75" s="193">
        <f t="shared" si="9"/>
        <v>35395492.800000004</v>
      </c>
      <c r="Z75" s="193">
        <f t="shared" si="9"/>
        <v>0</v>
      </c>
      <c r="AA75" s="193">
        <f t="shared" si="9"/>
        <v>9376419.9299999997</v>
      </c>
      <c r="AB75" s="193">
        <f t="shared" si="9"/>
        <v>115542206.02000001</v>
      </c>
      <c r="AC75" s="193">
        <f t="shared" si="9"/>
        <v>19899421.09</v>
      </c>
      <c r="AD75" s="193">
        <f t="shared" si="9"/>
        <v>1716614.1300000001</v>
      </c>
      <c r="AE75" s="193">
        <f t="shared" si="9"/>
        <v>7951905.4900000002</v>
      </c>
      <c r="AF75" s="193">
        <f t="shared" si="9"/>
        <v>0</v>
      </c>
      <c r="AG75" s="193">
        <f t="shared" si="9"/>
        <v>109381132.42000002</v>
      </c>
      <c r="AH75" s="193">
        <f t="shared" si="9"/>
        <v>0</v>
      </c>
      <c r="AI75" s="193">
        <f t="shared" si="9"/>
        <v>0</v>
      </c>
      <c r="AJ75" s="193">
        <f t="shared" si="9"/>
        <v>64729614.779999994</v>
      </c>
      <c r="AK75" s="193">
        <f t="shared" si="9"/>
        <v>2369404.2800000003</v>
      </c>
      <c r="AL75" s="193">
        <f t="shared" si="9"/>
        <v>701257.9</v>
      </c>
      <c r="AM75" s="193">
        <f t="shared" si="9"/>
        <v>0</v>
      </c>
      <c r="AN75" s="193">
        <f t="shared" si="9"/>
        <v>0</v>
      </c>
      <c r="AO75" s="193">
        <f t="shared" si="9"/>
        <v>0</v>
      </c>
      <c r="AP75" s="193">
        <f t="shared" si="9"/>
        <v>0</v>
      </c>
      <c r="AQ75" s="193">
        <f t="shared" si="9"/>
        <v>0</v>
      </c>
      <c r="AR75" s="193">
        <f t="shared" si="9"/>
        <v>0</v>
      </c>
      <c r="AS75" s="193">
        <f t="shared" si="9"/>
        <v>0</v>
      </c>
      <c r="AT75" s="193">
        <f t="shared" si="9"/>
        <v>0</v>
      </c>
      <c r="AU75" s="193">
        <f t="shared" si="9"/>
        <v>0</v>
      </c>
      <c r="AV75" s="193">
        <f t="shared" si="9"/>
        <v>3547187.1600000006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3">
        <f t="shared" si="8"/>
        <v>883555067.8499999</v>
      </c>
      <c r="CF75" s="248"/>
    </row>
    <row r="76" spans="1:84" ht="12.6" customHeight="1" x14ac:dyDescent="0.25">
      <c r="A76" s="171" t="s">
        <v>248</v>
      </c>
      <c r="B76" s="175"/>
      <c r="C76" s="184">
        <f>IF(ISERR(VLOOKUP(VALUE(C$44),'SA Data'!$H$62:$AC$141,4,0)="TRUE"),0,VLOOKUP(VALUE(C$44),'SA Data'!$H$62:$AC$141,4,0))</f>
        <v>13914</v>
      </c>
      <c r="D76" s="184">
        <f>IF(ISERR(VLOOKUP(VALUE(D$44),'SA Data'!$H$62:$AC$141,4,0)="TRUE"),0,VLOOKUP(VALUE(D$44),'SA Data'!$H$62:$AC$141,4,0))</f>
        <v>0</v>
      </c>
      <c r="E76" s="184">
        <f>IF(ISERR(VLOOKUP(VALUE(E$44),'SA Data'!$H$62:$AC$141,4,0)="TRUE"),0,VLOOKUP(VALUE(E$44),'SA Data'!$H$62:$AC$141,4,0))</f>
        <v>83423</v>
      </c>
      <c r="F76" s="184">
        <f>IF(ISERR(VLOOKUP(VALUE(F$44),'SA Data'!$H$62:$AC$141,4,0)="TRUE"),0,VLOOKUP(VALUE(F$44),'SA Data'!$H$62:$AC$141,4,0))</f>
        <v>0</v>
      </c>
      <c r="G76" s="184">
        <f>IF(ISERR(VLOOKUP(VALUE(G$44),'SA Data'!$H$62:$AC$141,4,0)="TRUE"),0,VLOOKUP(VALUE(G$44),'SA Data'!$H$62:$AC$141,4,0))</f>
        <v>0</v>
      </c>
      <c r="H76" s="184">
        <f>IF(ISERR(VLOOKUP(VALUE(H$44),'SA Data'!$H$62:$AC$141,4,0)="TRUE"),0,VLOOKUP(VALUE(H$44),'SA Data'!$H$62:$AC$141,4,0))</f>
        <v>0</v>
      </c>
      <c r="I76" s="184">
        <f>IF(ISERR(VLOOKUP(VALUE(I$44),'SA Data'!$H$62:$AC$141,4,0)="TRUE"),0,VLOOKUP(VALUE(I$44),'SA Data'!$H$62:$AC$141,4,0))</f>
        <v>0</v>
      </c>
      <c r="J76" s="184">
        <f>IF(ISERR(VLOOKUP(VALUE(J$44),'SA Data'!$H$62:$AC$141,4,0)="TRUE"),0,VLOOKUP(VALUE(J$44),'SA Data'!$H$62:$AC$141,4,0))</f>
        <v>0</v>
      </c>
      <c r="K76" s="184">
        <f>IF(ISERR(VLOOKUP(VALUE(K$44),'SA Data'!$H$62:$AC$141,4,0)="TRUE"),0,VLOOKUP(VALUE(K$44),'SA Data'!$H$62:$AC$141,4,0))</f>
        <v>0</v>
      </c>
      <c r="L76" s="184">
        <f>IF(ISERR(VLOOKUP(VALUE(L$44),'SA Data'!$H$62:$AC$141,4,0)="TRUE"),0,VLOOKUP(VALUE(L$44),'SA Data'!$H$62:$AC$141,4,0))</f>
        <v>0</v>
      </c>
      <c r="M76" s="184">
        <f>IF(ISERR(VLOOKUP(VALUE(M$44),'SA Data'!$H$62:$AC$141,4,0)="TRUE"),0,VLOOKUP(VALUE(M$44),'SA Data'!$H$62:$AC$141,4,0))</f>
        <v>0</v>
      </c>
      <c r="N76" s="184">
        <f>IF(ISERR(VLOOKUP(VALUE(N$44),'SA Data'!$H$62:$AC$141,4,0)="TRUE"),0,VLOOKUP(VALUE(N$44),'SA Data'!$H$62:$AC$141,4,0))</f>
        <v>0</v>
      </c>
      <c r="O76" s="184">
        <f>IF(ISERR(VLOOKUP(VALUE(O$44),'SA Data'!$H$62:$AC$141,4,0)="TRUE"),0,VLOOKUP(VALUE(O$44),'SA Data'!$H$62:$AC$141,4,0))</f>
        <v>0</v>
      </c>
      <c r="P76" s="184">
        <f>IF(ISERR(VLOOKUP(VALUE(P$44),'SA Data'!$H$62:$AC$141,4,0)="TRUE"),0,VLOOKUP(VALUE(P$44),'SA Data'!$H$62:$AC$141,4,0))</f>
        <v>28084</v>
      </c>
      <c r="Q76" s="184">
        <f>IF(ISERR(VLOOKUP(VALUE(Q$44),'SA Data'!$H$62:$AC$141,4,0)="TRUE"),0,VLOOKUP(VALUE(Q$44),'SA Data'!$H$62:$AC$141,4,0))</f>
        <v>3621</v>
      </c>
      <c r="R76" s="184">
        <f>IF(ISERR(VLOOKUP(VALUE(R$44),'SA Data'!$H$62:$AC$141,4,0)="TRUE"),0,VLOOKUP(VALUE(R$44),'SA Data'!$H$62:$AC$141,4,0))</f>
        <v>0</v>
      </c>
      <c r="S76" s="184">
        <f>IF(ISERR(VLOOKUP(VALUE(S$44),'SA Data'!$H$62:$AC$141,4,0)="TRUE"),0,VLOOKUP(VALUE(S$44),'SA Data'!$H$62:$AC$141,4,0))</f>
        <v>7582</v>
      </c>
      <c r="T76" s="184">
        <f>IF(ISERR(VLOOKUP(VALUE(T$44),'SA Data'!$H$62:$AC$141,4,0)="TRUE"),0,VLOOKUP(VALUE(T$44),'SA Data'!$H$62:$AC$141,4,0))</f>
        <v>0</v>
      </c>
      <c r="U76" s="184">
        <f>IF(ISERR(VLOOKUP(VALUE(U$44),'SA Data'!$H$62:$AC$141,4,0)="TRUE"),0,VLOOKUP(VALUE(U$44),'SA Data'!$H$62:$AC$141,4,0))</f>
        <v>7295</v>
      </c>
      <c r="V76" s="184">
        <f>IF(ISERR(VLOOKUP(VALUE(V$44),'SA Data'!$H$62:$AC$141,4,0)="TRUE"),0,VLOOKUP(VALUE(V$44),'SA Data'!$H$62:$AC$141,4,0))</f>
        <v>0</v>
      </c>
      <c r="W76" s="184">
        <f>IF(ISERR(VLOOKUP(VALUE(W$44),'SA Data'!$H$62:$AC$141,4,0)="TRUE"),0,VLOOKUP(VALUE(W$44),'SA Data'!$H$62:$AC$141,4,0))</f>
        <v>1100</v>
      </c>
      <c r="X76" s="184">
        <f>IF(ISERR(VLOOKUP(VALUE(X$44),'SA Data'!$H$62:$AC$141,4,0)="TRUE"),0,VLOOKUP(VALUE(X$44),'SA Data'!$H$62:$AC$141,4,0))</f>
        <v>976</v>
      </c>
      <c r="Y76" s="184">
        <f>IF(ISERR(VLOOKUP(VALUE(Y$44),'SA Data'!$H$62:$AC$141,4,0)="TRUE"),0,VLOOKUP(VALUE(Y$44),'SA Data'!$H$62:$AC$141,4,0))</f>
        <v>14993</v>
      </c>
      <c r="Z76" s="184">
        <f>IF(ISERR(VLOOKUP(VALUE(Z$44),'SA Data'!$H$62:$AC$141,4,0)="TRUE"),0,VLOOKUP(VALUE(Z$44),'SA Data'!$H$62:$AC$141,4,0))</f>
        <v>0</v>
      </c>
      <c r="AA76" s="184">
        <f>IF(ISERR(VLOOKUP(VALUE(AA$44),'SA Data'!$H$62:$AC$141,4,0)="TRUE"),0,VLOOKUP(VALUE(AA$44),'SA Data'!$H$62:$AC$141,4,0))</f>
        <v>0</v>
      </c>
      <c r="AB76" s="184">
        <f>IF(ISERR(VLOOKUP(VALUE(AB$44),'SA Data'!$H$62:$AC$141,4,0)="TRUE"),0,VLOOKUP(VALUE(AB$44),'SA Data'!$H$62:$AC$141,4,0))</f>
        <v>2835</v>
      </c>
      <c r="AC76" s="184">
        <f>IF(ISERR(VLOOKUP(VALUE(AC$44),'SA Data'!$H$62:$AC$141,4,0)="TRUE"),0,VLOOKUP(VALUE(AC$44),'SA Data'!$H$62:$AC$141,4,0))</f>
        <v>657</v>
      </c>
      <c r="AD76" s="184">
        <f>IF(ISERR(VLOOKUP(VALUE(AD$44),'SA Data'!$H$62:$AC$141,4,0)="TRUE"),0,VLOOKUP(VALUE(AD$44),'SA Data'!$H$62:$AC$141,4,0))</f>
        <v>0</v>
      </c>
      <c r="AE76" s="184">
        <f>IF(ISERR(VLOOKUP(VALUE(AE$44),'SA Data'!$H$62:$AC$141,4,0)="TRUE"),0,VLOOKUP(VALUE(AE$44),'SA Data'!$H$62:$AC$141,4,0))</f>
        <v>5802</v>
      </c>
      <c r="AF76" s="184">
        <f>IF(ISERR(VLOOKUP(VALUE(AF$44),'SA Data'!$H$62:$AC$141,4,0)="TRUE"),0,VLOOKUP(VALUE(AF$44),'SA Data'!$H$62:$AC$141,4,0))</f>
        <v>0</v>
      </c>
      <c r="AG76" s="184">
        <f>IF(ISERR(VLOOKUP(VALUE(AG$44),'SA Data'!$H$62:$AC$141,4,0)="TRUE"),0,VLOOKUP(VALUE(AG$44),'SA Data'!$H$62:$AC$141,4,0))</f>
        <v>15505</v>
      </c>
      <c r="AH76" s="184">
        <f>IF(ISERR(VLOOKUP(VALUE(AH$44),'SA Data'!$H$62:$AC$141,4,0)="TRUE"),0,VLOOKUP(VALUE(AH$44),'SA Data'!$H$62:$AC$141,4,0))</f>
        <v>0</v>
      </c>
      <c r="AI76" s="184">
        <f>IF(ISERR(VLOOKUP(VALUE(AI$44),'SA Data'!$H$62:$AC$141,4,0)="TRUE"),0,VLOOKUP(VALUE(AI$44),'SA Data'!$H$62:$AC$141,4,0))</f>
        <v>0</v>
      </c>
      <c r="AJ76" s="184">
        <f>IF(ISERR(VLOOKUP(VALUE(AJ$44),'SA Data'!$H$62:$AC$141,4,0)="TRUE"),0,VLOOKUP(VALUE(AJ$44),'SA Data'!$H$62:$AC$141,4,0))</f>
        <v>0</v>
      </c>
      <c r="AK76" s="184">
        <f>IF(ISERR(VLOOKUP(VALUE(AK$44),'SA Data'!$H$62:$AC$141,4,0)="TRUE"),0,VLOOKUP(VALUE(AK$44),'SA Data'!$H$62:$AC$141,4,0))</f>
        <v>0</v>
      </c>
      <c r="AL76" s="184">
        <f>IF(ISERR(VLOOKUP(VALUE(AL$44),'SA Data'!$H$62:$AC$141,4,0)="TRUE"),0,VLOOKUP(VALUE(AL$44),'SA Data'!$H$62:$AC$141,4,0))</f>
        <v>0</v>
      </c>
      <c r="AM76" s="184">
        <f>IF(ISERR(VLOOKUP(VALUE(AM$44),'SA Data'!$H$62:$AC$141,4,0)="TRUE"),0,VLOOKUP(VALUE(AM$44),'SA Data'!$H$62:$AC$141,4,0))</f>
        <v>0</v>
      </c>
      <c r="AN76" s="184">
        <f>IF(ISERR(VLOOKUP(VALUE(AN$44),'SA Data'!$H$62:$AC$141,4,0)="TRUE"),0,VLOOKUP(VALUE(AN$44),'SA Data'!$H$62:$AC$141,4,0))</f>
        <v>0</v>
      </c>
      <c r="AO76" s="184">
        <f>IF(ISERR(VLOOKUP(VALUE(AO$44),'SA Data'!$H$62:$AC$141,4,0)="TRUE"),0,VLOOKUP(VALUE(AO$44),'SA Data'!$H$62:$AC$141,4,0))</f>
        <v>0</v>
      </c>
      <c r="AP76" s="184">
        <f>IF(ISERR(VLOOKUP(VALUE(AP$44),'SA Data'!$H$62:$AC$141,4,0)="TRUE"),0,VLOOKUP(VALUE(AP$44),'SA Data'!$H$62:$AC$141,4,0))</f>
        <v>0</v>
      </c>
      <c r="AQ76" s="184">
        <f>IF(ISERR(VLOOKUP(VALUE(AQ$44),'SA Data'!$H$62:$AC$141,4,0)="TRUE"),0,VLOOKUP(VALUE(AQ$44),'SA Data'!$H$62:$AC$141,4,0))</f>
        <v>0</v>
      </c>
      <c r="AR76" s="184">
        <f>IF(ISERR(VLOOKUP(VALUE(AR$44),'SA Data'!$H$62:$AC$141,4,0)="TRUE"),0,VLOOKUP(VALUE(AR$44),'SA Data'!$H$62:$AC$141,4,0))</f>
        <v>0</v>
      </c>
      <c r="AS76" s="184">
        <f>IF(ISERR(VLOOKUP(VALUE(AS$44),'SA Data'!$H$62:$AC$141,4,0)="TRUE"),0,VLOOKUP(VALUE(AS$44),'SA Data'!$H$62:$AC$141,4,0))</f>
        <v>0</v>
      </c>
      <c r="AT76" s="184">
        <f>IF(ISERR(VLOOKUP(VALUE(AT$44),'SA Data'!$H$62:$AC$141,4,0)="TRUE"),0,VLOOKUP(VALUE(AT$44),'SA Data'!$H$62:$AC$141,4,0))</f>
        <v>0</v>
      </c>
      <c r="AU76" s="184">
        <f>IF(ISERR(VLOOKUP(VALUE(AU$44),'SA Data'!$H$62:$AC$141,4,0)="TRUE"),0,VLOOKUP(VALUE(AU$44),'SA Data'!$H$62:$AC$141,4,0))</f>
        <v>0</v>
      </c>
      <c r="AV76" s="184">
        <f>IF(ISERR(VLOOKUP(VALUE(AV$44),'SA Data'!$H$62:$AC$141,4,0)="TRUE"),0,VLOOKUP(VALUE(AV$44),'SA Data'!$H$62:$AC$141,4,0))</f>
        <v>0</v>
      </c>
      <c r="AW76" s="184">
        <f>IF(ISERR(VLOOKUP(VALUE(AW$44),'SA Data'!$H$62:$AC$141,4,0)="TRUE"),0,VLOOKUP(VALUE(AW$44),'SA Data'!$H$62:$AC$141,4,0))</f>
        <v>0</v>
      </c>
      <c r="AX76" s="184">
        <f>IF(ISERR(VLOOKUP(VALUE(AX$44),'SA Data'!$H$62:$AC$141,4,0)="TRUE"),0,VLOOKUP(VALUE(AX$44),'SA Data'!$H$62:$AC$141,4,0))</f>
        <v>0</v>
      </c>
      <c r="AY76" s="184">
        <f>IF(ISERR(VLOOKUP(VALUE(AY$44),'SA Data'!$H$62:$AC$141,4,0)="TRUE"),0,VLOOKUP(VALUE(AY$44),'SA Data'!$H$62:$AC$141,4,0))</f>
        <v>1247</v>
      </c>
      <c r="AZ76" s="184">
        <f>IF(ISERR(VLOOKUP(VALUE(AZ$44),'SA Data'!$H$62:$AC$141,4,0)="TRUE"),0,VLOOKUP(VALUE(AZ$44),'SA Data'!$H$62:$AC$141,4,0))</f>
        <v>6076</v>
      </c>
      <c r="BA76" s="184">
        <f>IF(ISERR(VLOOKUP(VALUE(BA$44),'SA Data'!$H$62:$AC$141,4,0)="TRUE"),0,VLOOKUP(VALUE(BA$44),'SA Data'!$H$62:$AC$141,4,0))</f>
        <v>893</v>
      </c>
      <c r="BB76" s="184">
        <f>IF(ISERR(VLOOKUP(VALUE(BB$44),'SA Data'!$H$62:$AC$141,4,0)="TRUE"),0,VLOOKUP(VALUE(BB$44),'SA Data'!$H$62:$AC$141,4,0))</f>
        <v>0</v>
      </c>
      <c r="BC76" s="184">
        <f>IF(ISERR(VLOOKUP(VALUE(BC$44),'SA Data'!$H$62:$AC$141,4,0)="TRUE"),0,VLOOKUP(VALUE(BC$44),'SA Data'!$H$62:$AC$141,4,0))</f>
        <v>0</v>
      </c>
      <c r="BD76" s="184">
        <f>IF(ISERR(VLOOKUP(VALUE(BD$44),'SA Data'!$H$62:$AC$141,4,0)="TRUE"),0,VLOOKUP(VALUE(BD$44),'SA Data'!$H$62:$AC$141,4,0))</f>
        <v>0</v>
      </c>
      <c r="BE76" s="184">
        <f>IF(ISERR(VLOOKUP(VALUE(BE$44),'SA Data'!$H$62:$AC$141,4,0)="TRUE"),0,VLOOKUP(VALUE(BE$44),'SA Data'!$H$62:$AC$141,4,0))</f>
        <v>19027.5</v>
      </c>
      <c r="BF76" s="184">
        <f>IF(ISERR(VLOOKUP(VALUE(BF$44),'SA Data'!$H$62:$AC$141,4,0)="TRUE"),0,VLOOKUP(VALUE(BF$44),'SA Data'!$H$62:$AC$141,4,0))</f>
        <v>730</v>
      </c>
      <c r="BG76" s="184">
        <f>IF(ISERR(VLOOKUP(VALUE(BG$44),'SA Data'!$H$62:$AC$141,4,0)="TRUE"),0,VLOOKUP(VALUE(BG$44),'SA Data'!$H$62:$AC$141,4,0))</f>
        <v>0</v>
      </c>
      <c r="BH76" s="184">
        <f>IF(ISERR(VLOOKUP(VALUE(BH$44),'SA Data'!$H$62:$AC$141,4,0)="TRUE"),0,VLOOKUP(VALUE(BH$44),'SA Data'!$H$62:$AC$141,4,0))</f>
        <v>0</v>
      </c>
      <c r="BI76" s="184">
        <f>IF(ISERR(VLOOKUP(VALUE(BI$44),'SA Data'!$H$62:$AC$141,4,0)="TRUE"),0,VLOOKUP(VALUE(BI$44),'SA Data'!$H$62:$AC$141,4,0))</f>
        <v>674</v>
      </c>
      <c r="BJ76" s="184">
        <f>IF(ISERR(VLOOKUP(VALUE(BJ$44),'SA Data'!$H$62:$AC$141,4,0)="TRUE"),0,VLOOKUP(VALUE(BJ$44),'SA Data'!$H$62:$AC$141,4,0))</f>
        <v>0</v>
      </c>
      <c r="BK76" s="184">
        <f>IF(ISERR(VLOOKUP(VALUE(BK$44),'SA Data'!$H$62:$AC$141,4,0)="TRUE"),0,VLOOKUP(VALUE(BK$44),'SA Data'!$H$62:$AC$141,4,0))</f>
        <v>0</v>
      </c>
      <c r="BL76" s="184">
        <f>IF(ISERR(VLOOKUP(VALUE(BL$44),'SA Data'!$H$62:$AC$141,4,0)="TRUE"),0,VLOOKUP(VALUE(BL$44),'SA Data'!$H$62:$AC$141,4,0))</f>
        <v>0</v>
      </c>
      <c r="BM76" s="184">
        <f>IF(ISERR(VLOOKUP(VALUE(BM$44),'SA Data'!$H$62:$AC$141,4,0)="TRUE"),0,VLOOKUP(VALUE(BM$44),'SA Data'!$H$62:$AC$141,4,0))</f>
        <v>0</v>
      </c>
      <c r="BN76" s="184">
        <f>IF(ISERR(VLOOKUP(VALUE(BN$44),'SA Data'!$H$62:$AC$141,4,0)="TRUE"),0,VLOOKUP(VALUE(BN$44),'SA Data'!$H$62:$AC$141,4,0))</f>
        <v>69478</v>
      </c>
      <c r="BO76" s="184">
        <f>IF(ISERR(VLOOKUP(VALUE(BO$44),'SA Data'!$H$62:$AC$141,4,0)="TRUE"),0,VLOOKUP(VALUE(BO$44),'SA Data'!$H$62:$AC$141,4,0))</f>
        <v>0</v>
      </c>
      <c r="BP76" s="184">
        <f>IF(ISERR(VLOOKUP(VALUE(BP$44),'SA Data'!$H$62:$AC$141,4,0)="TRUE"),0,VLOOKUP(VALUE(BP$44),'SA Data'!$H$62:$AC$141,4,0))</f>
        <v>0</v>
      </c>
      <c r="BQ76" s="184">
        <f>IF(ISERR(VLOOKUP(VALUE(BQ$44),'SA Data'!$H$62:$AC$141,4,0)="TRUE"),0,VLOOKUP(VALUE(BQ$44),'SA Data'!$H$62:$AC$141,4,0))</f>
        <v>0</v>
      </c>
      <c r="BR76" s="184">
        <f>IF(ISERR(VLOOKUP(VALUE(BR$44),'SA Data'!$H$62:$AC$141,4,0)="TRUE"),0,VLOOKUP(VALUE(BR$44),'SA Data'!$H$62:$AC$141,4,0))-873</f>
        <v>0</v>
      </c>
      <c r="BS76" s="184">
        <f>IF(ISERR(VLOOKUP(VALUE(BS$44),'SA Data'!$H$62:$AC$141,4,0)="TRUE"),0,VLOOKUP(VALUE(BS$44),'SA Data'!$H$62:$AC$141,4,0))</f>
        <v>0</v>
      </c>
      <c r="BT76" s="184">
        <f>IF(ISERR(VLOOKUP(VALUE(BT$44),'SA Data'!$H$62:$AC$141,4,0)="TRUE"),0,VLOOKUP(VALUE(BT$44),'SA Data'!$H$62:$AC$141,4,0))</f>
        <v>0</v>
      </c>
      <c r="BU76" s="184">
        <f>IF(ISERR(VLOOKUP(VALUE(BU$44),'SA Data'!$H$62:$AC$141,4,0)="TRUE"),0,VLOOKUP(VALUE(BU$44),'SA Data'!$H$62:$AC$141,4,0))</f>
        <v>0</v>
      </c>
      <c r="BV76" s="184">
        <f>IF(ISERR(VLOOKUP(VALUE(BV$44),'SA Data'!$H$62:$AC$141,4,0)="TRUE"),0,VLOOKUP(VALUE(BV$44),'SA Data'!$H$62:$AC$141,4,0))</f>
        <v>930</v>
      </c>
      <c r="BW76" s="184">
        <f>IF(ISERR(VLOOKUP(VALUE(BW$44),'SA Data'!$H$62:$AC$141,4,0)="TRUE"),0,VLOOKUP(VALUE(BW$44),'SA Data'!$H$62:$AC$141,4,0))</f>
        <v>0</v>
      </c>
      <c r="BX76" s="184">
        <f>IF(ISERR(VLOOKUP(VALUE(BX$44),'SA Data'!$H$62:$AC$141,4,0)="TRUE"),0,VLOOKUP(VALUE(BX$44),'SA Data'!$H$62:$AC$141,4,0))</f>
        <v>0</v>
      </c>
      <c r="BY76" s="184">
        <f>IF(ISERR(VLOOKUP(VALUE(BY$44),'SA Data'!$H$62:$AC$141,4,0)="TRUE"),0,VLOOKUP(VALUE(BY$44),'SA Data'!$H$62:$AC$141,4,0))</f>
        <v>140</v>
      </c>
      <c r="BZ76" s="184">
        <f>IF(ISERR(VLOOKUP(VALUE(BZ$44),'SA Data'!$H$62:$AC$141,4,0)="TRUE"),0,VLOOKUP(VALUE(BZ$44),'SA Data'!$H$62:$AC$141,4,0))</f>
        <v>0</v>
      </c>
      <c r="CA76" s="184">
        <f>IF(ISERR(VLOOKUP(VALUE(CA$44),'SA Data'!$H$62:$AC$141,4,0)="TRUE"),0,VLOOKUP(VALUE(CA$44),'SA Data'!$H$62:$AC$141,4,0))</f>
        <v>0</v>
      </c>
      <c r="CB76" s="184">
        <f>IF(ISERR(VLOOKUP(VALUE(CB$44),'SA Data'!$H$62:$AC$141,4,0)="TRUE"),0,VLOOKUP(VALUE(CB$44),'SA Data'!$H$62:$AC$141,4,0))</f>
        <v>0</v>
      </c>
      <c r="CC76" s="184">
        <f>IF(ISERR(VLOOKUP(VALUE(CC$44),'SA Data'!$H$62:$AC$141,4,0)="TRUE"),0,VLOOKUP(VALUE(CC$44),'SA Data'!$H$62:$AC$141,4,0))</f>
        <v>0</v>
      </c>
      <c r="CD76" s="245" t="s">
        <v>221</v>
      </c>
      <c r="CE76" s="193">
        <f t="shared" si="8"/>
        <v>284982.5</v>
      </c>
      <c r="CF76" s="193">
        <f>BE59-CE76</f>
        <v>0.5</v>
      </c>
    </row>
    <row r="77" spans="1:84" ht="12.6" customHeight="1" x14ac:dyDescent="0.25">
      <c r="A77" s="171" t="s">
        <v>249</v>
      </c>
      <c r="B77" s="175"/>
      <c r="C77" s="184">
        <v>10964</v>
      </c>
      <c r="D77" s="184">
        <v>0</v>
      </c>
      <c r="E77" s="184">
        <v>97800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1472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5" t="s">
        <v>221</v>
      </c>
      <c r="AY77" s="245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5" t="s">
        <v>221</v>
      </c>
      <c r="BE77" s="245" t="s">
        <v>221</v>
      </c>
      <c r="BF77" s="184">
        <v>0</v>
      </c>
      <c r="BG77" s="245" t="s">
        <v>221</v>
      </c>
      <c r="BH77" s="184">
        <v>0</v>
      </c>
      <c r="BI77" s="184">
        <v>0</v>
      </c>
      <c r="BJ77" s="245" t="s">
        <v>221</v>
      </c>
      <c r="BK77" s="184">
        <v>0</v>
      </c>
      <c r="BL77" s="184">
        <v>0</v>
      </c>
      <c r="BM77" s="184">
        <v>0</v>
      </c>
      <c r="BN77" s="245" t="s">
        <v>221</v>
      </c>
      <c r="BO77" s="245" t="s">
        <v>221</v>
      </c>
      <c r="BP77" s="245" t="s">
        <v>221</v>
      </c>
      <c r="BQ77" s="245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5" t="s">
        <v>221</v>
      </c>
      <c r="CD77" s="245" t="s">
        <v>221</v>
      </c>
      <c r="CE77" s="193">
        <f>SUM(C77:CD77)</f>
        <v>110236</v>
      </c>
      <c r="CF77" s="193">
        <f>AY59-CE77</f>
        <v>0</v>
      </c>
    </row>
    <row r="78" spans="1:84" ht="12.6" customHeight="1" x14ac:dyDescent="0.25">
      <c r="A78" s="171" t="s">
        <v>250</v>
      </c>
      <c r="B78" s="175"/>
      <c r="C78" s="184">
        <f>IF(ISERR(VLOOKUP(VALUE(C$44),'SA Data'!$H$152:$AC$231,3,0)="TRUE"),0,VLOOKUP(VALUE(C$44),'SA Data'!$H$152:$AC$231,3,0))</f>
        <v>4168.4349914023696</v>
      </c>
      <c r="D78" s="184">
        <f>IF(ISERR(VLOOKUP(VALUE(D$44),'SA Data'!$H$152:$AC$231,3,0)="TRUE"),0,VLOOKUP(VALUE(D$44),'SA Data'!$H$152:$AC$231,3,0))</f>
        <v>0</v>
      </c>
      <c r="E78" s="184">
        <f>IF(ISERR(VLOOKUP(VALUE(E$44),'SA Data'!$H$152:$AC$231,3,0)="TRUE"),0,VLOOKUP(VALUE(E$44),'SA Data'!$H$152:$AC$231,3,0))</f>
        <v>24992.335222636179</v>
      </c>
      <c r="F78" s="184">
        <f>IF(ISERR(VLOOKUP(VALUE(F$44),'SA Data'!$H$152:$AC$231,3,0)="TRUE"),0,VLOOKUP(VALUE(F$44),'SA Data'!$H$152:$AC$231,3,0))</f>
        <v>0</v>
      </c>
      <c r="G78" s="184">
        <f>IF(ISERR(VLOOKUP(VALUE(G$44),'SA Data'!$H$152:$AC$231,3,0)="TRUE"),0,VLOOKUP(VALUE(G$44),'SA Data'!$H$152:$AC$231,3,0))</f>
        <v>0</v>
      </c>
      <c r="H78" s="184">
        <f>IF(ISERR(VLOOKUP(VALUE(H$44),'SA Data'!$H$152:$AC$231,3,0)="TRUE"),0,VLOOKUP(VALUE(H$44),'SA Data'!$H$152:$AC$231,3,0))</f>
        <v>0</v>
      </c>
      <c r="I78" s="184">
        <f>IF(ISERR(VLOOKUP(VALUE(I$44),'SA Data'!$H$152:$AC$231,3,0)="TRUE"),0,VLOOKUP(VALUE(I$44),'SA Data'!$H$152:$AC$231,3,0))</f>
        <v>0</v>
      </c>
      <c r="J78" s="184">
        <f>IF(ISERR(VLOOKUP(VALUE(J$44),'SA Data'!$H$152:$AC$231,3,0)="TRUE"),0,VLOOKUP(VALUE(J$44),'SA Data'!$H$152:$AC$231,3,0))</f>
        <v>0</v>
      </c>
      <c r="K78" s="184">
        <f>IF(ISERR(VLOOKUP(VALUE(K$44),'SA Data'!$H$152:$AC$231,3,0)="TRUE"),0,VLOOKUP(VALUE(K$44),'SA Data'!$H$152:$AC$231,3,0))</f>
        <v>0</v>
      </c>
      <c r="L78" s="184">
        <f>IF(ISERR(VLOOKUP(VALUE(L$44),'SA Data'!$H$152:$AC$231,3,0)="TRUE"),0,VLOOKUP(VALUE(L$44),'SA Data'!$H$152:$AC$231,3,0))</f>
        <v>0</v>
      </c>
      <c r="M78" s="184">
        <f>IF(ISERR(VLOOKUP(VALUE(M$44),'SA Data'!$H$152:$AC$231,3,0)="TRUE"),0,VLOOKUP(VALUE(M$44),'SA Data'!$H$152:$AC$231,3,0))</f>
        <v>0</v>
      </c>
      <c r="N78" s="184">
        <f>IF(ISERR(VLOOKUP(VALUE(N$44),'SA Data'!$H$152:$AC$231,3,0)="TRUE"),0,VLOOKUP(VALUE(N$44),'SA Data'!$H$152:$AC$231,3,0))</f>
        <v>0</v>
      </c>
      <c r="O78" s="184">
        <f>IF(ISERR(VLOOKUP(VALUE(O$44),'SA Data'!$H$152:$AC$231,3,0)="TRUE"),0,VLOOKUP(VALUE(O$44),'SA Data'!$H$152:$AC$231,3,0))</f>
        <v>0</v>
      </c>
      <c r="P78" s="184">
        <f>IF(ISERR(VLOOKUP(VALUE(P$44),'SA Data'!$H$152:$AC$231,3,0)="TRUE"),0,VLOOKUP(VALUE(P$44),'SA Data'!$H$152:$AC$231,3,0))</f>
        <v>8413.5639139387768</v>
      </c>
      <c r="Q78" s="184">
        <f>IF(ISERR(VLOOKUP(VALUE(Q$44),'SA Data'!$H$152:$AC$231,3,0)="TRUE"),0,VLOOKUP(VALUE(Q$44),'SA Data'!$H$152:$AC$231,3,0))</f>
        <v>1084.7997056107502</v>
      </c>
      <c r="R78" s="184">
        <f>IF(ISERR(VLOOKUP(VALUE(R$44),'SA Data'!$H$152:$AC$231,3,0)="TRUE"),0,VLOOKUP(VALUE(R$44),'SA Data'!$H$152:$AC$231,3,0))</f>
        <v>0</v>
      </c>
      <c r="S78" s="184">
        <f>IF(ISERR(VLOOKUP(VALUE(S$44),'SA Data'!$H$152:$AC$231,3,0)="TRUE"),0,VLOOKUP(VALUE(S$44),'SA Data'!$H$152:$AC$231,3,0))</f>
        <v>2271.4585385088949</v>
      </c>
      <c r="T78" s="184">
        <f>IF(ISERR(VLOOKUP(VALUE(T$44),'SA Data'!$H$152:$AC$231,3,0)="TRUE"),0,VLOOKUP(VALUE(T$44),'SA Data'!$H$152:$AC$231,3,0))</f>
        <v>0</v>
      </c>
      <c r="U78" s="184">
        <f>IF(ISERR(VLOOKUP(VALUE(U$44),'SA Data'!$H$152:$AC$231,3,0)="TRUE"),0,VLOOKUP(VALUE(U$44),'SA Data'!$H$152:$AC$231,3,0))</f>
        <v>2185.477451651594</v>
      </c>
      <c r="V78" s="184">
        <f>IF(ISERR(VLOOKUP(VALUE(V$44),'SA Data'!$H$152:$AC$231,3,0)="TRUE"),0,VLOOKUP(VALUE(V$44),'SA Data'!$H$152:$AC$231,3,0))</f>
        <v>0</v>
      </c>
      <c r="W78" s="184">
        <f>IF(ISERR(VLOOKUP(VALUE(W$44),'SA Data'!$H$152:$AC$231,3,0)="TRUE"),0,VLOOKUP(VALUE(W$44),'SA Data'!$H$152:$AC$231,3,0))</f>
        <v>329.54423534157007</v>
      </c>
      <c r="X78" s="184">
        <f>IF(ISERR(VLOOKUP(VALUE(X$44),'SA Data'!$H$152:$AC$231,3,0)="TRUE"),0,VLOOKUP(VALUE(X$44),'SA Data'!$H$152:$AC$231,3,0))</f>
        <v>292.39561244852035</v>
      </c>
      <c r="Y78" s="184">
        <f>IF(ISERR(VLOOKUP(VALUE(Y$44),'SA Data'!$H$152:$AC$231,3,0)="TRUE"),0,VLOOKUP(VALUE(Y$44),'SA Data'!$H$152:$AC$231,3,0))</f>
        <v>4491.6879277055996</v>
      </c>
      <c r="Z78" s="184">
        <f>IF(ISERR(VLOOKUP(VALUE(Z$44),'SA Data'!$H$152:$AC$231,3,0)="TRUE"),0,VLOOKUP(VALUE(Z$44),'SA Data'!$H$152:$AC$231,3,0))</f>
        <v>0</v>
      </c>
      <c r="AA78" s="184">
        <f>IF(ISERR(VLOOKUP(VALUE(AA$44),'SA Data'!$H$152:$AC$231,3,0)="TRUE"),0,VLOOKUP(VALUE(AA$44),'SA Data'!$H$152:$AC$231,3,0))</f>
        <v>0</v>
      </c>
      <c r="AB78" s="184">
        <f>IF(ISERR(VLOOKUP(VALUE(AB$44),'SA Data'!$H$152:$AC$231,3,0)="TRUE"),0,VLOOKUP(VALUE(AB$44),'SA Data'!$H$152:$AC$231,3,0))</f>
        <v>849.32537017577374</v>
      </c>
      <c r="AC78" s="184">
        <f>IF(ISERR(VLOOKUP(VALUE(AC$44),'SA Data'!$H$152:$AC$231,3,0)="TRUE"),0,VLOOKUP(VALUE(AC$44),'SA Data'!$H$152:$AC$231,3,0))</f>
        <v>196.82778419946501</v>
      </c>
      <c r="AD78" s="184">
        <f>IF(ISERR(VLOOKUP(VALUE(AD$44),'SA Data'!$H$152:$AC$231,3,0)="TRUE"),0,VLOOKUP(VALUE(AD$44),'SA Data'!$H$152:$AC$231,3,0))</f>
        <v>0</v>
      </c>
      <c r="AE78" s="184">
        <f>IF(ISERR(VLOOKUP(VALUE(AE$44),'SA Data'!$H$152:$AC$231,3,0)="TRUE"),0,VLOOKUP(VALUE(AE$44),'SA Data'!$H$152:$AC$231,3,0))</f>
        <v>1738.196048592536</v>
      </c>
      <c r="AF78" s="184">
        <f>IF(ISERR(VLOOKUP(VALUE(AF$44),'SA Data'!$H$152:$AC$231,3,0)="TRUE"),0,VLOOKUP(VALUE(AF$44),'SA Data'!$H$152:$AC$231,3,0))</f>
        <v>0</v>
      </c>
      <c r="AG78" s="184">
        <f>IF(ISERR(VLOOKUP(VALUE(AG$44),'SA Data'!$H$152:$AC$231,3,0)="TRUE"),0,VLOOKUP(VALUE(AG$44),'SA Data'!$H$152:$AC$231,3,0))</f>
        <v>4645.0757899736764</v>
      </c>
      <c r="AH78" s="184">
        <f>IF(ISERR(VLOOKUP(VALUE(AH$44),'SA Data'!$H$152:$AC$231,3,0)="TRUE"),0,VLOOKUP(VALUE(AH$44),'SA Data'!$H$152:$AC$231,3,0))</f>
        <v>0</v>
      </c>
      <c r="AI78" s="184">
        <f>IF(ISERR(VLOOKUP(VALUE(AI$44),'SA Data'!$H$152:$AC$231,3,0)="TRUE"),0,VLOOKUP(VALUE(AI$44),'SA Data'!$H$152:$AC$231,3,0))</f>
        <v>0</v>
      </c>
      <c r="AJ78" s="184">
        <f>IF(ISERR(VLOOKUP(VALUE(AJ$44),'SA Data'!$H$152:$AC$231,3,0)="TRUE"),0,VLOOKUP(VALUE(AJ$44),'SA Data'!$H$152:$AC$231,3,0))</f>
        <v>0</v>
      </c>
      <c r="AK78" s="184">
        <f>IF(ISERR(VLOOKUP(VALUE(AK$44),'SA Data'!$H$152:$AC$231,3,0)="TRUE"),0,VLOOKUP(VALUE(AK$44),'SA Data'!$H$152:$AC$231,3,0))</f>
        <v>0</v>
      </c>
      <c r="AL78" s="184">
        <f>IF(ISERR(VLOOKUP(VALUE(AL$44),'SA Data'!$H$152:$AC$231,3,0)="TRUE"),0,VLOOKUP(VALUE(AL$44),'SA Data'!$H$152:$AC$231,3,0))</f>
        <v>0</v>
      </c>
      <c r="AM78" s="184">
        <f>IF(ISERR(VLOOKUP(VALUE(AM$44),'SA Data'!$H$152:$AC$231,3,0)="TRUE"),0,VLOOKUP(VALUE(AM$44),'SA Data'!$H$152:$AC$231,3,0))</f>
        <v>0</v>
      </c>
      <c r="AN78" s="184">
        <f>IF(ISERR(VLOOKUP(VALUE(AN$44),'SA Data'!$H$152:$AC$231,3,0)="TRUE"),0,VLOOKUP(VALUE(AN$44),'SA Data'!$H$152:$AC$231,3,0))</f>
        <v>0</v>
      </c>
      <c r="AO78" s="184">
        <f>IF(ISERR(VLOOKUP(VALUE(AO$44),'SA Data'!$H$152:$AC$231,3,0)="TRUE"),0,VLOOKUP(VALUE(AO$44),'SA Data'!$H$152:$AC$231,3,0))</f>
        <v>0</v>
      </c>
      <c r="AP78" s="184">
        <f>IF(ISERR(VLOOKUP(VALUE(AP$44),'SA Data'!$H$152:$AC$231,3,0)="TRUE"),0,VLOOKUP(VALUE(AP$44),'SA Data'!$H$152:$AC$231,3,0))</f>
        <v>0</v>
      </c>
      <c r="AQ78" s="184">
        <f>IF(ISERR(VLOOKUP(VALUE(AQ$44),'SA Data'!$H$152:$AC$231,3,0)="TRUE"),0,VLOOKUP(VALUE(AQ$44),'SA Data'!$H$152:$AC$231,3,0))</f>
        <v>0</v>
      </c>
      <c r="AR78" s="184">
        <f>IF(ISERR(VLOOKUP(VALUE(AR$44),'SA Data'!$H$152:$AC$231,3,0)="TRUE"),0,VLOOKUP(VALUE(AR$44),'SA Data'!$H$152:$AC$231,3,0))</f>
        <v>0</v>
      </c>
      <c r="AS78" s="184">
        <f>IF(ISERR(VLOOKUP(VALUE(AS$44),'SA Data'!$H$152:$AC$231,3,0)="TRUE"),0,VLOOKUP(VALUE(AS$44),'SA Data'!$H$152:$AC$231,3,0))</f>
        <v>0</v>
      </c>
      <c r="AT78" s="184">
        <f>IF(ISERR(VLOOKUP(VALUE(AT$44),'SA Data'!$H$152:$AC$231,3,0)="TRUE"),0,VLOOKUP(VALUE(AT$44),'SA Data'!$H$152:$AC$231,3,0))</f>
        <v>0</v>
      </c>
      <c r="AU78" s="184">
        <f>IF(ISERR(VLOOKUP(VALUE(AU$44),'SA Data'!$H$152:$AC$231,3,0)="TRUE"),0,VLOOKUP(VALUE(AU$44),'SA Data'!$H$152:$AC$231,3,0))</f>
        <v>0</v>
      </c>
      <c r="AV78" s="184">
        <f>IF(ISERR(VLOOKUP(VALUE(AV$44),'SA Data'!$H$152:$AC$231,3,0)="TRUE"),0,VLOOKUP(VALUE(AV$44),'SA Data'!$H$152:$AC$231,3,0))</f>
        <v>0</v>
      </c>
      <c r="AW78" s="184">
        <f>IF(ISERR(VLOOKUP(VALUE(AW$44),'SA Data'!$H$152:$AC$231,3,0)="TRUE"),0,VLOOKUP(VALUE(AW$44),'SA Data'!$H$152:$AC$231,3,0))</f>
        <v>0</v>
      </c>
      <c r="AX78" s="245" t="s">
        <v>221</v>
      </c>
      <c r="AY78" s="245" t="s">
        <v>221</v>
      </c>
      <c r="AZ78" s="245" t="s">
        <v>221</v>
      </c>
      <c r="BA78" s="184">
        <f>IF(ISERR(VLOOKUP(VALUE(BA$44),'SA Data'!$H$152:$AC$231,3,0)="TRUE"),0,VLOOKUP(VALUE(BA$44),'SA Data'!$H$152:$AC$231,3,0))</f>
        <v>267.53000196365645</v>
      </c>
      <c r="BB78" s="184">
        <f>IF(ISERR(VLOOKUP(VALUE(BB$44),'SA Data'!$H$152:$AC$231,3,0)="TRUE"),0,VLOOKUP(VALUE(BB$44),'SA Data'!$H$152:$AC$231,3,0))</f>
        <v>0</v>
      </c>
      <c r="BC78" s="184">
        <f>IF(ISERR(VLOOKUP(VALUE(BC$44),'SA Data'!$H$152:$AC$231,3,0)="TRUE"),0,VLOOKUP(VALUE(BC$44),'SA Data'!$H$152:$AC$231,3,0))</f>
        <v>0</v>
      </c>
      <c r="BD78" s="245" t="s">
        <v>221</v>
      </c>
      <c r="BE78" s="245" t="s">
        <v>221</v>
      </c>
      <c r="BF78" s="245" t="s">
        <v>221</v>
      </c>
      <c r="BG78" s="245" t="s">
        <v>221</v>
      </c>
      <c r="BH78" s="184">
        <f>IF(ISERR(VLOOKUP(VALUE(BH$44),'SA Data'!$H$152:$AC$231,3,0)="TRUE"),0,VLOOKUP(VALUE(BH$44),'SA Data'!$H$152:$AC$231,3,0))</f>
        <v>0</v>
      </c>
      <c r="BI78" s="184">
        <f>IF(ISERR(VLOOKUP(VALUE(BI$44),'SA Data'!$H$152:$AC$231,3,0)="TRUE"),0,VLOOKUP(VALUE(BI$44),'SA Data'!$H$152:$AC$231,3,0))</f>
        <v>201.92074056383476</v>
      </c>
      <c r="BJ78" s="245" t="s">
        <v>221</v>
      </c>
      <c r="BK78" s="184">
        <f>IF(ISERR(VLOOKUP(VALUE(BK$44),'SA Data'!$H$152:$AC$231,3,0)="TRUE"),0,VLOOKUP(VALUE(BK$44),'SA Data'!$H$152:$AC$231,3,0))</f>
        <v>0</v>
      </c>
      <c r="BL78" s="184">
        <f>IF(ISERR(VLOOKUP(VALUE(BL$44),'SA Data'!$H$152:$AC$231,3,0)="TRUE"),0,VLOOKUP(VALUE(BL$44),'SA Data'!$H$152:$AC$231,3,0))</f>
        <v>0</v>
      </c>
      <c r="BM78" s="184">
        <f>IF(ISERR(VLOOKUP(VALUE(BM$44),'SA Data'!$H$152:$AC$231,3,0)="TRUE"),0,VLOOKUP(VALUE(BM$44),'SA Data'!$H$152:$AC$231,3,0))</f>
        <v>0</v>
      </c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>
        <f>IF(ISERR(VLOOKUP(VALUE(BS$44),'SA Data'!$H$152:$AC$231,3,0)="TRUE"),0,VLOOKUP(VALUE(BS$44),'SA Data'!$H$152:$AC$231,3,0))</f>
        <v>0</v>
      </c>
      <c r="BT78" s="184">
        <f>IF(ISERR(VLOOKUP(VALUE(BT$44),'SA Data'!$H$152:$AC$231,3,0)="TRUE"),0,VLOOKUP(VALUE(BT$44),'SA Data'!$H$152:$AC$231,3,0))</f>
        <v>0</v>
      </c>
      <c r="BU78" s="184">
        <f>IF(ISERR(VLOOKUP(VALUE(BU$44),'SA Data'!$H$152:$AC$231,3,0)="TRUE"),0,VLOOKUP(VALUE(BU$44),'SA Data'!$H$152:$AC$231,3,0))</f>
        <v>0</v>
      </c>
      <c r="BV78" s="184">
        <f>IF(ISERR(VLOOKUP(VALUE(BV$44),'SA Data'!$H$152:$AC$231,3,0)="TRUE"),0,VLOOKUP(VALUE(BV$44),'SA Data'!$H$152:$AC$231,3,0))</f>
        <v>278.61467169787289</v>
      </c>
      <c r="BW78" s="184">
        <f>IF(ISERR(VLOOKUP(VALUE(BW$44),'SA Data'!$H$152:$AC$231,3,0)="TRUE"),0,VLOOKUP(VALUE(BW$44),'SA Data'!$H$152:$AC$231,3,0))</f>
        <v>0</v>
      </c>
      <c r="BX78" s="184">
        <f>IF(ISERR(VLOOKUP(VALUE(BX$44),'SA Data'!$H$152:$AC$231,3,0)="TRUE"),0,VLOOKUP(VALUE(BX$44),'SA Data'!$H$152:$AC$231,3,0))</f>
        <v>0</v>
      </c>
      <c r="BY78" s="184">
        <f>IF(ISERR(VLOOKUP(VALUE(BY$44),'SA Data'!$H$152:$AC$231,3,0)="TRUE"),0,VLOOKUP(VALUE(BY$44),'SA Data'!$H$152:$AC$231,3,0))</f>
        <v>41.941993588927097</v>
      </c>
      <c r="BZ78" s="184">
        <f>IF(ISERR(VLOOKUP(VALUE(BZ$44),'SA Data'!$H$152:$AC$231,3,0)="TRUE"),0,VLOOKUP(VALUE(BZ$44),'SA Data'!$H$152:$AC$231,3,0))</f>
        <v>0</v>
      </c>
      <c r="CA78" s="184">
        <f>IF(ISERR(VLOOKUP(VALUE(CA$44),'SA Data'!$H$152:$AC$231,3,0)="TRUE"),0,VLOOKUP(VALUE(CA$44),'SA Data'!$H$152:$AC$231,3,0))</f>
        <v>0</v>
      </c>
      <c r="CB78" s="184">
        <f>IF(ISERR(VLOOKUP(VALUE(CB$44),'SA Data'!$H$152:$AC$231,3,0)="TRUE"),0,VLOOKUP(VALUE(CB$44),'SA Data'!$H$152:$AC$231,3,0))</f>
        <v>0</v>
      </c>
      <c r="CC78" s="245" t="s">
        <v>221</v>
      </c>
      <c r="CD78" s="245" t="s">
        <v>221</v>
      </c>
      <c r="CE78" s="193">
        <f t="shared" si="8"/>
        <v>56449.13</v>
      </c>
      <c r="CF78" s="193"/>
    </row>
    <row r="79" spans="1:84" ht="12.6" customHeight="1" x14ac:dyDescent="0.25">
      <c r="A79" s="171" t="s">
        <v>251</v>
      </c>
      <c r="B79" s="175"/>
      <c r="C79" s="221">
        <v>92612</v>
      </c>
      <c r="D79" s="221">
        <v>0</v>
      </c>
      <c r="E79" s="184">
        <v>345918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102157</v>
      </c>
      <c r="Q79" s="184">
        <v>0</v>
      </c>
      <c r="R79" s="184">
        <v>0</v>
      </c>
      <c r="S79" s="184">
        <v>4015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63058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7097</v>
      </c>
      <c r="AF79" s="184">
        <v>0</v>
      </c>
      <c r="AG79" s="184">
        <v>158456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43</v>
      </c>
      <c r="AW79" s="184">
        <v>0</v>
      </c>
      <c r="AX79" s="245" t="s">
        <v>221</v>
      </c>
      <c r="AY79" s="245" t="s">
        <v>221</v>
      </c>
      <c r="AZ79" s="245" t="s">
        <v>221</v>
      </c>
      <c r="BA79" s="245" t="s">
        <v>221</v>
      </c>
      <c r="BB79" s="184">
        <v>0</v>
      </c>
      <c r="BC79" s="184">
        <v>0</v>
      </c>
      <c r="BD79" s="245" t="s">
        <v>221</v>
      </c>
      <c r="BE79" s="245" t="s">
        <v>221</v>
      </c>
      <c r="BF79" s="245" t="s">
        <v>221</v>
      </c>
      <c r="BG79" s="245" t="s">
        <v>221</v>
      </c>
      <c r="BH79" s="184">
        <v>0</v>
      </c>
      <c r="BI79" s="184">
        <v>0</v>
      </c>
      <c r="BJ79" s="245" t="s">
        <v>221</v>
      </c>
      <c r="BK79" s="184">
        <v>0</v>
      </c>
      <c r="BL79" s="184">
        <v>0</v>
      </c>
      <c r="BM79" s="184">
        <v>0</v>
      </c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5" t="s">
        <v>221</v>
      </c>
      <c r="CD79" s="245" t="s">
        <v>221</v>
      </c>
      <c r="CE79" s="193">
        <f t="shared" si="8"/>
        <v>773356</v>
      </c>
      <c r="CF79" s="193">
        <f>BA59</f>
        <v>0</v>
      </c>
    </row>
    <row r="80" spans="1:84" ht="21" customHeight="1" x14ac:dyDescent="0.25">
      <c r="A80" s="171" t="s">
        <v>252</v>
      </c>
      <c r="B80" s="175"/>
      <c r="C80" s="184">
        <f>IF(ISERR(VLOOKUP(VALUE(C$44),'SA Data'!$C$61:$F$87,3,0)="TRUE"),0,VLOOKUP(VALUE(C$44),'SA Data'!$C$61:$F$87,3,0))</f>
        <v>27.621831730769234</v>
      </c>
      <c r="D80" s="184">
        <f>IF(ISERR(VLOOKUP(VALUE(D$44),'SA Data'!$C$61:$F$87,3,0)="TRUE"),0,VLOOKUP(VALUE(D$44),'SA Data'!$C$61:$F$87,3,0))</f>
        <v>0</v>
      </c>
      <c r="E80" s="184">
        <f>IF(ISERR(VLOOKUP(VALUE(E$44),'SA Data'!$C$61:$F$87,3,0)="TRUE"),0,VLOOKUP(VALUE(E$44),'SA Data'!$C$61:$F$87,3,0))</f>
        <v>87.873163461538454</v>
      </c>
      <c r="F80" s="184">
        <f>IF(ISERR(VLOOKUP(VALUE(F$44),'SA Data'!$C$61:$F$87,3,0)="TRUE"),0,VLOOKUP(VALUE(F$44),'SA Data'!$C$61:$F$87,3,0))</f>
        <v>0</v>
      </c>
      <c r="G80" s="184">
        <f>IF(ISERR(VLOOKUP(VALUE(G$44),'SA Data'!$C$61:$F$87,3,0)="TRUE"),0,VLOOKUP(VALUE(G$44),'SA Data'!$C$61:$F$87,3,0))</f>
        <v>0</v>
      </c>
      <c r="H80" s="184">
        <f>IF(ISERR(VLOOKUP(VALUE(H$44),'SA Data'!$C$61:$F$87,3,0)="TRUE"),0,VLOOKUP(VALUE(H$44),'SA Data'!$C$61:$F$87,3,0))</f>
        <v>0</v>
      </c>
      <c r="I80" s="184">
        <f>IF(ISERR(VLOOKUP(VALUE(I$44),'SA Data'!$C$61:$F$87,3,0)="TRUE"),0,VLOOKUP(VALUE(I$44),'SA Data'!$C$61:$F$87,3,0))</f>
        <v>0</v>
      </c>
      <c r="J80" s="184">
        <f>IF(ISERR(VLOOKUP(VALUE(J$44),'SA Data'!$C$61:$F$87,3,0)="TRUE"),0,VLOOKUP(VALUE(J$44),'SA Data'!$C$61:$F$87,3,0))</f>
        <v>0</v>
      </c>
      <c r="K80" s="184">
        <f>IF(ISERR(VLOOKUP(VALUE(K$44),'SA Data'!$C$61:$F$87,3,0)="TRUE"),0,VLOOKUP(VALUE(K$44),'SA Data'!$C$61:$F$87,3,0))</f>
        <v>0</v>
      </c>
      <c r="L80" s="184">
        <f>IF(ISERR(VLOOKUP(VALUE(L$44),'SA Data'!$C$61:$F$87,3,0)="TRUE"),0,VLOOKUP(VALUE(L$44),'SA Data'!$C$61:$F$87,3,0))</f>
        <v>0</v>
      </c>
      <c r="M80" s="184">
        <f>IF(ISERR(VLOOKUP(VALUE(M$44),'SA Data'!$C$61:$F$87,3,0)="TRUE"),0,VLOOKUP(VALUE(M$44),'SA Data'!$C$61:$F$87,3,0))</f>
        <v>0</v>
      </c>
      <c r="N80" s="184">
        <f>IF(ISERR(VLOOKUP(VALUE(N$44),'SA Data'!$C$61:$F$87,3,0)="TRUE"),0,VLOOKUP(VALUE(N$44),'SA Data'!$C$61:$F$87,3,0))</f>
        <v>0</v>
      </c>
      <c r="O80" s="184">
        <f>IF(ISERR(VLOOKUP(VALUE(O$44),'SA Data'!$C$61:$F$87,3,0)="TRUE"),0,VLOOKUP(VALUE(O$44),'SA Data'!$C$61:$F$87,3,0))</f>
        <v>0</v>
      </c>
      <c r="P80" s="184">
        <f>IF(ISERR(VLOOKUP(VALUE(P$44),'SA Data'!$C$61:$F$87,3,0)="TRUE"),0,VLOOKUP(VALUE(P$44),'SA Data'!$C$61:$F$87,3,0))</f>
        <v>12.931831730769229</v>
      </c>
      <c r="Q80" s="184">
        <f>IF(ISERR(VLOOKUP(VALUE(Q$44),'SA Data'!$C$61:$F$87,3,0)="TRUE"),0,VLOOKUP(VALUE(Q$44),'SA Data'!$C$61:$F$87,3,0))</f>
        <v>17.361932692307693</v>
      </c>
      <c r="R80" s="184">
        <f>IF(ISERR(VLOOKUP(VALUE(R$44),'SA Data'!$C$61:$F$87,3,0)="TRUE"),0,VLOOKUP(VALUE(R$44),'SA Data'!$C$61:$F$87,3,0))</f>
        <v>0</v>
      </c>
      <c r="S80" s="184">
        <f>IF(ISERR(VLOOKUP(VALUE(S$44),'SA Data'!$C$61:$F$87,3,0)="TRUE"),0,VLOOKUP(VALUE(S$44),'SA Data'!$C$61:$F$87,3,0))</f>
        <v>6.0096153846153849E-3</v>
      </c>
      <c r="T80" s="184">
        <f>IF(ISERR(VLOOKUP(VALUE(T$44),'SA Data'!$C$61:$F$87,3,0)="TRUE"),0,VLOOKUP(VALUE(T$44),'SA Data'!$C$61:$F$87,3,0))</f>
        <v>5.0558557692307691</v>
      </c>
      <c r="U80" s="184">
        <f>IF(ISERR(VLOOKUP(VALUE(U$44),'SA Data'!$C$61:$F$87,3,0)="TRUE"),0,VLOOKUP(VALUE(U$44),'SA Data'!$C$61:$F$87,3,0))</f>
        <v>0</v>
      </c>
      <c r="V80" s="184">
        <f>IF(ISERR(VLOOKUP(VALUE(V$44),'SA Data'!$C$61:$F$87,3,0)="TRUE"),0,VLOOKUP(VALUE(V$44),'SA Data'!$C$61:$F$87,3,0))</f>
        <v>0</v>
      </c>
      <c r="W80" s="184">
        <f>IF(ISERR(VLOOKUP(VALUE(W$44),'SA Data'!$C$61:$F$87,3,0)="TRUE"),0,VLOOKUP(VALUE(W$44),'SA Data'!$C$61:$F$87,3,0))</f>
        <v>0</v>
      </c>
      <c r="X80" s="184">
        <f>IF(ISERR(VLOOKUP(VALUE(X$44),'SA Data'!$C$61:$F$87,3,0)="TRUE"),0,VLOOKUP(VALUE(X$44),'SA Data'!$C$61:$F$87,3,0))</f>
        <v>0</v>
      </c>
      <c r="Y80" s="184">
        <f>IF(ISERR(VLOOKUP(VALUE(Y$44),'SA Data'!$C$61:$F$87,3,0)="TRUE"),0,VLOOKUP(VALUE(Y$44),'SA Data'!$C$61:$F$87,3,0))</f>
        <v>4.807692307692308E-4</v>
      </c>
      <c r="Z80" s="184">
        <f>IF(ISERR(VLOOKUP(VALUE(Z$44),'SA Data'!$C$61:$F$87,3,0)="TRUE"),0,VLOOKUP(VALUE(Z$44),'SA Data'!$C$61:$F$87,3,0))</f>
        <v>0</v>
      </c>
      <c r="AA80" s="184">
        <f>IF(ISERR(VLOOKUP(VALUE(AA$44),'SA Data'!$C$61:$F$87,3,0)="TRUE"),0,VLOOKUP(VALUE(AA$44),'SA Data'!$C$61:$F$87,3,0))</f>
        <v>0</v>
      </c>
      <c r="AB80" s="184">
        <f>IF(ISERR(VLOOKUP(VALUE(AB$44),'SA Data'!$C$61:$F$87,3,0)="TRUE"),0,VLOOKUP(VALUE(AB$44),'SA Data'!$C$61:$F$87,3,0))</f>
        <v>0</v>
      </c>
      <c r="AC80" s="184">
        <f>IF(ISERR(VLOOKUP(VALUE(AC$44),'SA Data'!$C$61:$F$87,3,0)="TRUE"),0,VLOOKUP(VALUE(AC$44),'SA Data'!$C$61:$F$87,3,0))</f>
        <v>0</v>
      </c>
      <c r="AD80" s="184">
        <f>IF(ISERR(VLOOKUP(VALUE(AD$44),'SA Data'!$C$61:$F$87,3,0)="TRUE"),0,VLOOKUP(VALUE(AD$44),'SA Data'!$C$61:$F$87,3,0))</f>
        <v>0</v>
      </c>
      <c r="AE80" s="184">
        <f>IF(ISERR(VLOOKUP(VALUE(AE$44),'SA Data'!$C$61:$F$87,3,0)="TRUE"),0,VLOOKUP(VALUE(AE$44),'SA Data'!$C$61:$F$87,3,0))</f>
        <v>0</v>
      </c>
      <c r="AF80" s="184">
        <f>IF(ISERR(VLOOKUP(VALUE(AF$44),'SA Data'!$C$61:$F$87,3,0)="TRUE"),0,VLOOKUP(VALUE(AF$44),'SA Data'!$C$61:$F$87,3,0))</f>
        <v>0</v>
      </c>
      <c r="AG80" s="184">
        <f>IF(ISERR(VLOOKUP(VALUE(AG$44),'SA Data'!$C$61:$F$87,3,0)="TRUE"),0,VLOOKUP(VALUE(AG$44),'SA Data'!$C$61:$F$87,3,0))</f>
        <v>22.40910576923077</v>
      </c>
      <c r="AH80" s="184">
        <f>IF(ISERR(VLOOKUP(VALUE(AH$44),'SA Data'!$C$61:$F$87,3,0)="TRUE"),0,VLOOKUP(VALUE(AH$44),'SA Data'!$C$61:$F$87,3,0))</f>
        <v>0</v>
      </c>
      <c r="AI80" s="184">
        <f>IF(ISERR(VLOOKUP(VALUE(AI$44),'SA Data'!$C$61:$F$87,3,0)="TRUE"),0,VLOOKUP(VALUE(AI$44),'SA Data'!$C$61:$F$87,3,0))</f>
        <v>0</v>
      </c>
      <c r="AJ80" s="184">
        <f>IF(ISERR(VLOOKUP(VALUE(AJ$44),'SA Data'!$C$61:$F$87,3,0)="TRUE"),0,VLOOKUP(VALUE(AJ$44),'SA Data'!$C$61:$F$87,3,0))</f>
        <v>33.018408653846151</v>
      </c>
      <c r="AK80" s="184">
        <f>IF(ISERR(VLOOKUP(VALUE(AK$44),'SA Data'!$C$61:$F$87,3,0)="TRUE"),0,VLOOKUP(VALUE(AK$44),'SA Data'!$C$61:$F$87,3,0))</f>
        <v>0</v>
      </c>
      <c r="AL80" s="184">
        <f>IF(ISERR(VLOOKUP(VALUE(AL$44),'SA Data'!$C$61:$F$87,3,0)="TRUE"),0,VLOOKUP(VALUE(AL$44),'SA Data'!$C$61:$F$87,3,0))</f>
        <v>0</v>
      </c>
      <c r="AM80" s="184">
        <f>IF(ISERR(VLOOKUP(VALUE(AM$44),'SA Data'!$C$61:$F$87,3,0)="TRUE"),0,VLOOKUP(VALUE(AM$44),'SA Data'!$C$61:$F$87,3,0))</f>
        <v>0</v>
      </c>
      <c r="AN80" s="184">
        <f>IF(ISERR(VLOOKUP(VALUE(AN$44),'SA Data'!$C$61:$F$87,3,0)="TRUE"),0,VLOOKUP(VALUE(AN$44),'SA Data'!$C$61:$F$87,3,0))</f>
        <v>0</v>
      </c>
      <c r="AO80" s="184">
        <f>IF(ISERR(VLOOKUP(VALUE(AO$44),'SA Data'!$C$61:$F$87,3,0)="TRUE"),0,VLOOKUP(VALUE(AO$44),'SA Data'!$C$61:$F$87,3,0))</f>
        <v>0</v>
      </c>
      <c r="AP80" s="184">
        <f>IF(ISERR(VLOOKUP(VALUE(AP$44),'SA Data'!$C$61:$F$87,3,0)="TRUE"),0,VLOOKUP(VALUE(AP$44),'SA Data'!$C$61:$F$87,3,0))</f>
        <v>0</v>
      </c>
      <c r="AQ80" s="184">
        <f>IF(ISERR(VLOOKUP(VALUE(AQ$44),'SA Data'!$C$61:$F$87,3,0)="TRUE"),0,VLOOKUP(VALUE(AQ$44),'SA Data'!$C$61:$F$87,3,0))</f>
        <v>0</v>
      </c>
      <c r="AR80" s="184">
        <f>IF(ISERR(VLOOKUP(VALUE(AR$44),'SA Data'!$C$61:$F$87,3,0)="TRUE"),0,VLOOKUP(VALUE(AR$44),'SA Data'!$C$61:$F$87,3,0))</f>
        <v>0</v>
      </c>
      <c r="AS80" s="184">
        <f>IF(ISERR(VLOOKUP(VALUE(AS$44),'SA Data'!$C$61:$F$87,3,0)="TRUE"),0,VLOOKUP(VALUE(AS$44),'SA Data'!$C$61:$F$87,3,0))</f>
        <v>0</v>
      </c>
      <c r="AT80" s="184">
        <f>IF(ISERR(VLOOKUP(VALUE(AT$44),'SA Data'!$C$61:$F$87,3,0)="TRUE"),0,VLOOKUP(VALUE(AT$44),'SA Data'!$C$61:$F$87,3,0))</f>
        <v>0</v>
      </c>
      <c r="AU80" s="184">
        <f>IF(ISERR(VLOOKUP(VALUE(AU$44),'SA Data'!$C$61:$F$87,3,0)="TRUE"),0,VLOOKUP(VALUE(AU$44),'SA Data'!$C$61:$F$87,3,0))</f>
        <v>0</v>
      </c>
      <c r="AV80" s="184">
        <f>IF(ISERR(VLOOKUP(VALUE(AV$44),'SA Data'!$C$61:$F$87,3,0)="TRUE"),0,VLOOKUP(VALUE(AV$44),'SA Data'!$C$61:$F$87,3,0))</f>
        <v>0.1343798076923077</v>
      </c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 t="shared" si="8"/>
        <v>206.41299999999995</v>
      </c>
      <c r="CF80" s="251"/>
    </row>
    <row r="81" spans="1:5" ht="12.6" customHeight="1" x14ac:dyDescent="0.25">
      <c r="A81" s="206" t="s">
        <v>253</v>
      </c>
      <c r="B81" s="206"/>
      <c r="C81" s="206"/>
      <c r="D81" s="206"/>
      <c r="E81" s="206"/>
    </row>
    <row r="82" spans="1:5" ht="12.6" customHeight="1" x14ac:dyDescent="0.25">
      <c r="A82" s="171" t="s">
        <v>254</v>
      </c>
      <c r="B82" s="172"/>
      <c r="C82" s="278" t="s">
        <v>1267</v>
      </c>
      <c r="D82" s="252"/>
      <c r="E82" s="175"/>
    </row>
    <row r="83" spans="1:5" ht="12.6" customHeight="1" x14ac:dyDescent="0.25">
      <c r="A83" s="173" t="s">
        <v>255</v>
      </c>
      <c r="B83" s="172" t="s">
        <v>256</v>
      </c>
      <c r="C83" s="223" t="s">
        <v>1274</v>
      </c>
      <c r="D83" s="252"/>
      <c r="E83" s="175"/>
    </row>
    <row r="84" spans="1:5" ht="12.6" customHeight="1" x14ac:dyDescent="0.25">
      <c r="A84" s="173" t="s">
        <v>257</v>
      </c>
      <c r="B84" s="172" t="s">
        <v>256</v>
      </c>
      <c r="C84" s="226" t="s">
        <v>1275</v>
      </c>
      <c r="D84" s="203"/>
      <c r="E84" s="202"/>
    </row>
    <row r="85" spans="1:5" ht="12.6" customHeight="1" x14ac:dyDescent="0.25">
      <c r="A85" s="173" t="s">
        <v>1251</v>
      </c>
      <c r="B85" s="172"/>
      <c r="C85" s="267" t="s">
        <v>1276</v>
      </c>
      <c r="D85" s="203"/>
      <c r="E85" s="202"/>
    </row>
    <row r="86" spans="1:5" ht="12.6" customHeight="1" x14ac:dyDescent="0.25">
      <c r="A86" s="173" t="s">
        <v>1252</v>
      </c>
      <c r="B86" s="172" t="s">
        <v>256</v>
      </c>
      <c r="C86" s="227" t="s">
        <v>1276</v>
      </c>
      <c r="D86" s="203"/>
      <c r="E86" s="202"/>
    </row>
    <row r="87" spans="1:5" ht="12.6" customHeight="1" x14ac:dyDescent="0.25">
      <c r="A87" s="173" t="s">
        <v>258</v>
      </c>
      <c r="B87" s="172" t="s">
        <v>256</v>
      </c>
      <c r="C87" s="226" t="s">
        <v>1277</v>
      </c>
      <c r="D87" s="203"/>
      <c r="E87" s="202"/>
    </row>
    <row r="88" spans="1:5" ht="12.6" customHeight="1" x14ac:dyDescent="0.25">
      <c r="A88" s="173" t="s">
        <v>259</v>
      </c>
      <c r="B88" s="172" t="s">
        <v>256</v>
      </c>
      <c r="C88" s="226" t="s">
        <v>1268</v>
      </c>
      <c r="D88" s="203"/>
      <c r="E88" s="202"/>
    </row>
    <row r="89" spans="1:5" ht="12.6" customHeight="1" x14ac:dyDescent="0.25">
      <c r="A89" s="173" t="s">
        <v>260</v>
      </c>
      <c r="B89" s="172" t="s">
        <v>256</v>
      </c>
      <c r="C89" s="226" t="s">
        <v>1269</v>
      </c>
      <c r="D89" s="203"/>
      <c r="E89" s="202"/>
    </row>
    <row r="90" spans="1:5" ht="12.6" customHeight="1" x14ac:dyDescent="0.25">
      <c r="A90" s="173" t="s">
        <v>261</v>
      </c>
      <c r="B90" s="172" t="s">
        <v>256</v>
      </c>
      <c r="C90" s="226" t="s">
        <v>1270</v>
      </c>
      <c r="D90" s="203"/>
      <c r="E90" s="202"/>
    </row>
    <row r="91" spans="1:5" ht="12.6" customHeight="1" x14ac:dyDescent="0.25">
      <c r="A91" s="173" t="s">
        <v>262</v>
      </c>
      <c r="B91" s="172" t="s">
        <v>256</v>
      </c>
      <c r="C91" s="226" t="s">
        <v>1271</v>
      </c>
      <c r="D91" s="203"/>
      <c r="E91" s="202"/>
    </row>
    <row r="92" spans="1:5" ht="12.6" customHeight="1" x14ac:dyDescent="0.25">
      <c r="A92" s="173" t="s">
        <v>263</v>
      </c>
      <c r="B92" s="172" t="s">
        <v>256</v>
      </c>
      <c r="C92" s="222" t="s">
        <v>1278</v>
      </c>
      <c r="D92" s="252"/>
      <c r="E92" s="175"/>
    </row>
    <row r="93" spans="1:5" ht="12.6" customHeight="1" x14ac:dyDescent="0.25">
      <c r="A93" s="173" t="s">
        <v>264</v>
      </c>
      <c r="B93" s="172" t="s">
        <v>256</v>
      </c>
      <c r="C93" s="266" t="s">
        <v>1278</v>
      </c>
      <c r="D93" s="252"/>
      <c r="E93" s="175"/>
    </row>
    <row r="94" spans="1:5" ht="12.6" customHeight="1" x14ac:dyDescent="0.25">
      <c r="A94" s="173"/>
      <c r="B94" s="173"/>
      <c r="C94" s="189"/>
      <c r="D94" s="175"/>
      <c r="E94" s="175"/>
    </row>
    <row r="95" spans="1:5" ht="12.6" customHeight="1" x14ac:dyDescent="0.25">
      <c r="A95" s="206" t="s">
        <v>265</v>
      </c>
      <c r="B95" s="206"/>
      <c r="C95" s="206"/>
      <c r="D95" s="206"/>
      <c r="E95" s="206"/>
    </row>
    <row r="96" spans="1:5" ht="12.6" customHeight="1" x14ac:dyDescent="0.25">
      <c r="A96" s="253" t="s">
        <v>266</v>
      </c>
      <c r="B96" s="253"/>
      <c r="C96" s="253"/>
      <c r="D96" s="253"/>
      <c r="E96" s="253"/>
    </row>
    <row r="97" spans="1:5" ht="12.6" customHeight="1" x14ac:dyDescent="0.25">
      <c r="A97" s="173" t="s">
        <v>267</v>
      </c>
      <c r="B97" s="172" t="s">
        <v>256</v>
      </c>
      <c r="C97" s="187">
        <v>0</v>
      </c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7">
        <v>0</v>
      </c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7">
        <v>0</v>
      </c>
      <c r="D99" s="175"/>
      <c r="E99" s="175"/>
    </row>
    <row r="100" spans="1:5" ht="12.6" customHeight="1" x14ac:dyDescent="0.25">
      <c r="A100" s="253" t="s">
        <v>269</v>
      </c>
      <c r="B100" s="253"/>
      <c r="C100" s="253"/>
      <c r="D100" s="253"/>
      <c r="E100" s="253"/>
    </row>
    <row r="101" spans="1:5" ht="12.6" customHeight="1" x14ac:dyDescent="0.25">
      <c r="A101" s="173" t="s">
        <v>270</v>
      </c>
      <c r="B101" s="172" t="s">
        <v>256</v>
      </c>
      <c r="C101" s="187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187">
        <v>0</v>
      </c>
      <c r="D102" s="175"/>
      <c r="E102" s="175"/>
    </row>
    <row r="103" spans="1:5" ht="12.6" customHeight="1" x14ac:dyDescent="0.25">
      <c r="A103" s="253" t="s">
        <v>271</v>
      </c>
      <c r="B103" s="253"/>
      <c r="C103" s="253"/>
      <c r="D103" s="253"/>
      <c r="E103" s="253"/>
    </row>
    <row r="104" spans="1:5" ht="12.6" customHeight="1" x14ac:dyDescent="0.25">
      <c r="A104" s="173" t="s">
        <v>272</v>
      </c>
      <c r="B104" s="172" t="s">
        <v>256</v>
      </c>
      <c r="C104" s="187">
        <v>0</v>
      </c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7">
        <v>0</v>
      </c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7">
        <v>0</v>
      </c>
      <c r="D106" s="175"/>
      <c r="E106" s="175"/>
    </row>
    <row r="107" spans="1:5" ht="21.75" customHeight="1" x14ac:dyDescent="0.25">
      <c r="A107" s="173"/>
      <c r="B107" s="172"/>
      <c r="C107" s="188"/>
      <c r="D107" s="175"/>
      <c r="E107" s="175"/>
    </row>
    <row r="108" spans="1:5" ht="13.5" customHeight="1" x14ac:dyDescent="0.25">
      <c r="A108" s="205" t="s">
        <v>275</v>
      </c>
      <c r="B108" s="206"/>
      <c r="C108" s="206"/>
      <c r="D108" s="206"/>
      <c r="E108" s="206"/>
    </row>
    <row r="109" spans="1:5" ht="13.5" customHeight="1" x14ac:dyDescent="0.25">
      <c r="A109" s="173"/>
      <c r="B109" s="172"/>
      <c r="C109" s="188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7">
        <v>5254</v>
      </c>
      <c r="D111" s="174">
        <v>25207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7">
        <v>0</v>
      </c>
      <c r="D112" s="174">
        <v>0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7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7">
        <v>0</v>
      </c>
      <c r="D114" s="174">
        <v>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7">
        <v>16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7">
        <v>0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7">
        <v>96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7">
        <v>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7">
        <v>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7">
        <v>0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7">
        <v>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7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7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7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7">
        <v>0</v>
      </c>
      <c r="D126" s="175"/>
      <c r="E126" s="175"/>
    </row>
    <row r="127" spans="1:5" ht="12.6" customHeight="1" x14ac:dyDescent="0.25">
      <c r="A127" s="173" t="s">
        <v>291</v>
      </c>
      <c r="B127" s="175"/>
      <c r="C127" s="189"/>
      <c r="D127" s="175"/>
      <c r="E127" s="175">
        <f>SUM(C116:C126)</f>
        <v>112</v>
      </c>
    </row>
    <row r="128" spans="1:5" ht="12.6" customHeight="1" x14ac:dyDescent="0.25">
      <c r="A128" s="173" t="s">
        <v>292</v>
      </c>
      <c r="B128" s="172" t="s">
        <v>256</v>
      </c>
      <c r="C128" s="187">
        <v>112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7">
        <v>0</v>
      </c>
      <c r="D129" s="175"/>
      <c r="E129" s="175"/>
    </row>
    <row r="130" spans="1:6" ht="12.6" customHeight="1" x14ac:dyDescent="0.25">
      <c r="A130" s="173"/>
      <c r="B130" s="175"/>
      <c r="C130" s="189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7">
        <v>0</v>
      </c>
      <c r="D131" s="175"/>
      <c r="E131" s="175"/>
    </row>
    <row r="132" spans="1:6" ht="12.6" customHeight="1" x14ac:dyDescent="0.25">
      <c r="A132" s="173"/>
      <c r="B132" s="173"/>
      <c r="C132" s="189"/>
      <c r="D132" s="175"/>
      <c r="E132" s="175"/>
    </row>
    <row r="133" spans="1:6" ht="12.6" customHeight="1" x14ac:dyDescent="0.25">
      <c r="A133" s="173"/>
      <c r="B133" s="173"/>
      <c r="C133" s="189"/>
      <c r="D133" s="175"/>
      <c r="E133" s="175"/>
    </row>
    <row r="134" spans="1:6" ht="12.6" customHeight="1" x14ac:dyDescent="0.25">
      <c r="A134" s="173"/>
      <c r="B134" s="173"/>
      <c r="C134" s="189"/>
      <c r="D134" s="175"/>
      <c r="E134" s="175"/>
    </row>
    <row r="135" spans="1:6" ht="18" customHeight="1" x14ac:dyDescent="0.25">
      <c r="A135" s="173"/>
      <c r="B135" s="173"/>
      <c r="C135" s="189"/>
      <c r="D135" s="175"/>
      <c r="E135" s="175"/>
    </row>
    <row r="136" spans="1:6" ht="12.6" customHeight="1" x14ac:dyDescent="0.25">
      <c r="A136" s="206" t="s">
        <v>1240</v>
      </c>
      <c r="B136" s="205"/>
      <c r="C136" s="205"/>
      <c r="D136" s="205"/>
      <c r="E136" s="205"/>
    </row>
    <row r="137" spans="1:6" ht="12.6" customHeight="1" x14ac:dyDescent="0.25">
      <c r="A137" s="254" t="s">
        <v>295</v>
      </c>
      <c r="B137" s="176" t="s">
        <v>296</v>
      </c>
      <c r="C137" s="190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f>2421+808+1</f>
        <v>3230</v>
      </c>
      <c r="C138" s="187">
        <f>60+679+2</f>
        <v>741</v>
      </c>
      <c r="D138" s="174">
        <f>961+6+222+79+15</f>
        <v>1283</v>
      </c>
      <c r="E138" s="175">
        <f>SUM(B138:D138)</f>
        <v>5254</v>
      </c>
    </row>
    <row r="139" spans="1:6" ht="12.6" customHeight="1" x14ac:dyDescent="0.25">
      <c r="A139" s="173" t="s">
        <v>215</v>
      </c>
      <c r="B139" s="174">
        <f>12129+4011</f>
        <v>16140</v>
      </c>
      <c r="C139" s="187">
        <f>349+3405+10</f>
        <v>3764</v>
      </c>
      <c r="D139" s="174">
        <f>3781+19+1135+299+69</f>
        <v>5303</v>
      </c>
      <c r="E139" s="175">
        <f>SUM(B139:D139)</f>
        <v>25207</v>
      </c>
    </row>
    <row r="140" spans="1:6" ht="12.6" customHeight="1" x14ac:dyDescent="0.25">
      <c r="A140" s="173" t="s">
        <v>298</v>
      </c>
      <c r="B140" s="174">
        <v>0</v>
      </c>
      <c r="C140" s="174">
        <v>0</v>
      </c>
      <c r="D140" s="174">
        <v>0</v>
      </c>
      <c r="E140" s="175">
        <f>SUM(B140:D140)</f>
        <v>0</v>
      </c>
    </row>
    <row r="141" spans="1:6" ht="12.6" customHeight="1" x14ac:dyDescent="0.25">
      <c r="A141" s="173" t="s">
        <v>245</v>
      </c>
      <c r="B141" s="174">
        <v>225888332.31</v>
      </c>
      <c r="C141" s="187">
        <v>50504572.200000003</v>
      </c>
      <c r="D141" s="174">
        <f>5338443.45+20589973.49+42688832.62+4203303.47+19652905.47</f>
        <v>92473458.5</v>
      </c>
      <c r="E141" s="175">
        <f>SUM(B141:D141)</f>
        <v>368866363.00999999</v>
      </c>
      <c r="F141" s="197"/>
    </row>
    <row r="142" spans="1:6" ht="12.6" customHeight="1" x14ac:dyDescent="0.25">
      <c r="A142" s="173" t="s">
        <v>246</v>
      </c>
      <c r="B142" s="174">
        <f>179627414.56+688452.9+24198077.66</f>
        <v>204513945.12</v>
      </c>
      <c r="C142" s="187">
        <f>71524864.29+163485.89+7328809.64</f>
        <v>79017159.820000008</v>
      </c>
      <c r="D142" s="174">
        <f>15339120.15+50974860.98+102512387.44+8331111.31+26882721.4+64768.11+155182.71+522230.91+22817.69+81453.73+2113643.94+4628233.17+16146876.36+813712.16+2568479.88</f>
        <v>231157599.93999997</v>
      </c>
      <c r="E142" s="175">
        <f>SUM(B142:D142)</f>
        <v>514688704.88</v>
      </c>
      <c r="F142" s="197"/>
    </row>
    <row r="143" spans="1:6" ht="12.6" customHeight="1" x14ac:dyDescent="0.25">
      <c r="A143" s="254" t="s">
        <v>299</v>
      </c>
      <c r="B143" s="176" t="s">
        <v>296</v>
      </c>
      <c r="C143" s="190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0</v>
      </c>
      <c r="C144" s="187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87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298</v>
      </c>
      <c r="B146" s="174">
        <v>0</v>
      </c>
      <c r="C146" s="187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0</v>
      </c>
      <c r="C147" s="187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246</v>
      </c>
      <c r="B148" s="174">
        <v>0</v>
      </c>
      <c r="C148" s="187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4" t="s">
        <v>300</v>
      </c>
      <c r="B149" s="176" t="s">
        <v>296</v>
      </c>
      <c r="C149" s="190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87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87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87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87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87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1"/>
      <c r="D155" s="178"/>
      <c r="E155" s="175"/>
    </row>
    <row r="156" spans="1:5" ht="12.6" customHeight="1" x14ac:dyDescent="0.25">
      <c r="A156" s="254" t="s">
        <v>301</v>
      </c>
      <c r="B156" s="176" t="s">
        <v>302</v>
      </c>
      <c r="C156" s="190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0</v>
      </c>
      <c r="C157" s="174">
        <v>0</v>
      </c>
      <c r="D157" s="175"/>
      <c r="E157" s="175"/>
    </row>
    <row r="158" spans="1:5" ht="12.6" customHeight="1" x14ac:dyDescent="0.25">
      <c r="A158" s="177"/>
      <c r="B158" s="178"/>
      <c r="C158" s="191"/>
      <c r="D158" s="175"/>
      <c r="E158" s="175"/>
    </row>
    <row r="159" spans="1:5" ht="12.6" customHeight="1" x14ac:dyDescent="0.25">
      <c r="A159" s="177"/>
      <c r="B159" s="177"/>
      <c r="C159" s="191"/>
      <c r="D159" s="178"/>
      <c r="E159" s="175"/>
    </row>
    <row r="160" spans="1:5" ht="12.6" customHeight="1" x14ac:dyDescent="0.25">
      <c r="A160" s="177"/>
      <c r="B160" s="177"/>
      <c r="C160" s="191"/>
      <c r="D160" s="178"/>
      <c r="E160" s="175"/>
    </row>
    <row r="161" spans="1:5" ht="12.6" customHeight="1" x14ac:dyDescent="0.25">
      <c r="A161" s="177"/>
      <c r="B161" s="177"/>
      <c r="C161" s="191"/>
      <c r="D161" s="178"/>
      <c r="E161" s="175"/>
    </row>
    <row r="162" spans="1:5" ht="21.75" customHeight="1" x14ac:dyDescent="0.25">
      <c r="A162" s="177"/>
      <c r="B162" s="177"/>
      <c r="C162" s="191"/>
      <c r="D162" s="178"/>
      <c r="E162" s="175"/>
    </row>
    <row r="163" spans="1:5" ht="11.4" customHeight="1" x14ac:dyDescent="0.25">
      <c r="A163" s="205" t="s">
        <v>305</v>
      </c>
      <c r="B163" s="206"/>
      <c r="C163" s="206"/>
      <c r="D163" s="206"/>
      <c r="E163" s="206"/>
    </row>
    <row r="164" spans="1:5" ht="11.4" customHeight="1" x14ac:dyDescent="0.25">
      <c r="A164" s="253" t="s">
        <v>306</v>
      </c>
      <c r="B164" s="253"/>
      <c r="C164" s="253"/>
      <c r="D164" s="253"/>
      <c r="E164" s="253"/>
    </row>
    <row r="165" spans="1:5" ht="11.4" customHeight="1" x14ac:dyDescent="0.25">
      <c r="A165" s="173" t="s">
        <v>307</v>
      </c>
      <c r="B165" s="172" t="s">
        <v>256</v>
      </c>
      <c r="C165" s="187">
        <f>3199867.12+1230543.85</f>
        <v>4430410.9700000007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7">
        <f>22316+20270</f>
        <v>42586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7">
        <f>684647.04-1642.75+48512</f>
        <v>731516.29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7">
        <f>141148.86+5360311.48-755151.56+6.45+333035.35-121954.28+0.21+52226.83-52117.06+126887.75+1876343</f>
        <v>6960737.0300000012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7">
        <f>116969.32-88176.69+23472</f>
        <v>52264.630000000005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7">
        <f>1189218.23+921477.4+961968</f>
        <v>3072663.63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7">
        <f>61052.23+25860.82+2502.06-1237.13+2500+4005.86+12188.19+239151</f>
        <v>346023.03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7">
        <v>0</v>
      </c>
      <c r="D172" s="175"/>
      <c r="E172" s="175"/>
    </row>
    <row r="173" spans="1:5" ht="11.4" customHeight="1" x14ac:dyDescent="0.25">
      <c r="A173" s="173" t="s">
        <v>203</v>
      </c>
      <c r="B173" s="175"/>
      <c r="C173" s="189"/>
      <c r="D173" s="175">
        <f>SUM(C165:C172)</f>
        <v>15636201.580000004</v>
      </c>
      <c r="E173" s="175"/>
    </row>
    <row r="174" spans="1:5" ht="11.4" customHeight="1" x14ac:dyDescent="0.25">
      <c r="A174" s="253" t="s">
        <v>314</v>
      </c>
      <c r="B174" s="253"/>
      <c r="C174" s="253"/>
      <c r="D174" s="253"/>
      <c r="E174" s="253"/>
    </row>
    <row r="175" spans="1:5" ht="11.4" customHeight="1" x14ac:dyDescent="0.25">
      <c r="A175" s="173" t="s">
        <v>315</v>
      </c>
      <c r="B175" s="172" t="s">
        <v>256</v>
      </c>
      <c r="C175" s="187">
        <f>2138041.4+810424.95+295987.16</f>
        <v>3244453.51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7">
        <f>420201+247350.53</f>
        <v>667551.53</v>
      </c>
      <c r="D176" s="175"/>
      <c r="E176" s="175"/>
    </row>
    <row r="177" spans="1:5" ht="11.4" customHeight="1" x14ac:dyDescent="0.25">
      <c r="A177" s="173" t="s">
        <v>203</v>
      </c>
      <c r="B177" s="175"/>
      <c r="C177" s="189"/>
      <c r="D177" s="175">
        <f>SUM(C175:C176)</f>
        <v>3912005.04</v>
      </c>
      <c r="E177" s="175"/>
    </row>
    <row r="178" spans="1:5" ht="11.4" customHeight="1" x14ac:dyDescent="0.25">
      <c r="A178" s="253" t="s">
        <v>317</v>
      </c>
      <c r="B178" s="253"/>
      <c r="C178" s="253"/>
      <c r="D178" s="253"/>
      <c r="E178" s="253"/>
    </row>
    <row r="179" spans="1:5" ht="11.4" customHeight="1" x14ac:dyDescent="0.25">
      <c r="A179" s="173" t="s">
        <v>318</v>
      </c>
      <c r="B179" s="172" t="s">
        <v>256</v>
      </c>
      <c r="C179" s="187">
        <f>1173117.27+381800.21</f>
        <v>1554917.48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7">
        <f>208211.62-32332.3</f>
        <v>175879.32</v>
      </c>
      <c r="D180" s="175"/>
      <c r="E180" s="175"/>
    </row>
    <row r="181" spans="1:5" ht="11.4" customHeight="1" x14ac:dyDescent="0.25">
      <c r="A181" s="173" t="s">
        <v>203</v>
      </c>
      <c r="B181" s="175"/>
      <c r="C181" s="189"/>
      <c r="D181" s="175">
        <f>SUM(C179:C180)</f>
        <v>1730796.8</v>
      </c>
      <c r="E181" s="175"/>
    </row>
    <row r="182" spans="1:5" ht="11.4" customHeight="1" x14ac:dyDescent="0.25">
      <c r="A182" s="253" t="s">
        <v>320</v>
      </c>
      <c r="B182" s="253"/>
      <c r="C182" s="253"/>
      <c r="D182" s="253"/>
      <c r="E182" s="253"/>
    </row>
    <row r="183" spans="1:5" ht="11.4" customHeight="1" x14ac:dyDescent="0.25">
      <c r="A183" s="173" t="s">
        <v>321</v>
      </c>
      <c r="B183" s="172" t="s">
        <v>256</v>
      </c>
      <c r="C183" s="187">
        <v>0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7">
        <v>4792033.6399999997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7">
        <v>0</v>
      </c>
      <c r="D185" s="175"/>
      <c r="E185" s="175"/>
    </row>
    <row r="186" spans="1:5" ht="11.4" customHeight="1" x14ac:dyDescent="0.25">
      <c r="A186" s="173" t="s">
        <v>203</v>
      </c>
      <c r="B186" s="175"/>
      <c r="C186" s="189"/>
      <c r="D186" s="175">
        <f>SUM(C183:C185)</f>
        <v>4792033.6399999997</v>
      </c>
      <c r="E186" s="175"/>
    </row>
    <row r="187" spans="1:5" ht="11.4" customHeight="1" x14ac:dyDescent="0.25">
      <c r="A187" s="253" t="s">
        <v>323</v>
      </c>
      <c r="B187" s="253"/>
      <c r="C187" s="253"/>
      <c r="D187" s="253"/>
      <c r="E187" s="253"/>
    </row>
    <row r="188" spans="1:5" ht="11.4" customHeight="1" x14ac:dyDescent="0.25">
      <c r="A188" s="173" t="s">
        <v>324</v>
      </c>
      <c r="B188" s="172" t="s">
        <v>256</v>
      </c>
      <c r="C188" s="187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7">
        <v>762492.78</v>
      </c>
      <c r="D189" s="175"/>
      <c r="E189" s="175"/>
    </row>
    <row r="190" spans="1:5" ht="11.4" customHeight="1" x14ac:dyDescent="0.25">
      <c r="A190" s="173" t="s">
        <v>203</v>
      </c>
      <c r="B190" s="175"/>
      <c r="C190" s="189"/>
      <c r="D190" s="175">
        <f>SUM(C188:C189)</f>
        <v>762492.78</v>
      </c>
      <c r="E190" s="175"/>
    </row>
    <row r="191" spans="1:5" ht="18" customHeight="1" x14ac:dyDescent="0.25">
      <c r="A191" s="173"/>
      <c r="B191" s="175"/>
      <c r="C191" s="189"/>
      <c r="D191" s="175"/>
      <c r="E191" s="175"/>
    </row>
    <row r="192" spans="1:5" ht="12.6" customHeight="1" x14ac:dyDescent="0.25">
      <c r="A192" s="206" t="s">
        <v>326</v>
      </c>
      <c r="B192" s="206"/>
      <c r="C192" s="206"/>
      <c r="D192" s="206"/>
      <c r="E192" s="206"/>
    </row>
    <row r="193" spans="1:8" ht="12.6" customHeight="1" x14ac:dyDescent="0.25">
      <c r="A193" s="205" t="s">
        <v>327</v>
      </c>
      <c r="B193" s="206"/>
      <c r="C193" s="206"/>
      <c r="D193" s="206"/>
      <c r="E193" s="206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3531776</v>
      </c>
      <c r="C195" s="187">
        <v>0</v>
      </c>
      <c r="D195" s="174">
        <v>0</v>
      </c>
      <c r="E195" s="175">
        <f t="shared" ref="E195:E203" si="10">SUM(B195:C195)-D195</f>
        <v>3531776</v>
      </c>
    </row>
    <row r="196" spans="1:8" ht="12.6" customHeight="1" x14ac:dyDescent="0.25">
      <c r="A196" s="173" t="s">
        <v>333</v>
      </c>
      <c r="B196" s="174">
        <v>2067270</v>
      </c>
      <c r="C196" s="187">
        <v>0</v>
      </c>
      <c r="D196" s="174">
        <v>0</v>
      </c>
      <c r="E196" s="175">
        <f t="shared" si="10"/>
        <v>2067270</v>
      </c>
    </row>
    <row r="197" spans="1:8" ht="12.6" customHeight="1" x14ac:dyDescent="0.25">
      <c r="A197" s="173" t="s">
        <v>334</v>
      </c>
      <c r="B197" s="174">
        <v>134516969</v>
      </c>
      <c r="C197" s="187">
        <v>0</v>
      </c>
      <c r="D197" s="174">
        <v>0</v>
      </c>
      <c r="E197" s="175">
        <f t="shared" si="10"/>
        <v>134516969</v>
      </c>
    </row>
    <row r="198" spans="1:8" ht="12.6" customHeight="1" x14ac:dyDescent="0.25">
      <c r="A198" s="173" t="s">
        <v>335</v>
      </c>
      <c r="B198" s="174">
        <f>13868554+28569.57</f>
        <v>13897123.57</v>
      </c>
      <c r="C198" s="187">
        <f>1286924.12+185323.33+490492.73</f>
        <v>1962740.1800000002</v>
      </c>
      <c r="D198" s="174">
        <v>0</v>
      </c>
      <c r="E198" s="175">
        <f t="shared" si="10"/>
        <v>15859863.75</v>
      </c>
    </row>
    <row r="199" spans="1:8" ht="12.6" customHeight="1" x14ac:dyDescent="0.25">
      <c r="A199" s="173" t="s">
        <v>336</v>
      </c>
      <c r="B199" s="174">
        <f>937963+140166.21</f>
        <v>1078129.21</v>
      </c>
      <c r="C199" s="187">
        <f>29521.95+12522.26</f>
        <v>42044.21</v>
      </c>
      <c r="D199" s="174">
        <v>0</v>
      </c>
      <c r="E199" s="175">
        <f t="shared" si="10"/>
        <v>1120173.42</v>
      </c>
    </row>
    <row r="200" spans="1:8" ht="12.6" customHeight="1" x14ac:dyDescent="0.25">
      <c r="A200" s="173" t="s">
        <v>337</v>
      </c>
      <c r="B200" s="174">
        <f>68969082+7035772.66</f>
        <v>76004854.659999996</v>
      </c>
      <c r="C200" s="187">
        <f>2189388.4+323024.39</f>
        <v>2512412.79</v>
      </c>
      <c r="D200" s="174">
        <f>182630.25+5945.8+28897.84</f>
        <v>217473.88999999998</v>
      </c>
      <c r="E200" s="175">
        <f>SUM(B200:C200)-D200+2</f>
        <v>78299795.560000002</v>
      </c>
    </row>
    <row r="201" spans="1:8" ht="12.6" customHeight="1" x14ac:dyDescent="0.25">
      <c r="A201" s="173" t="s">
        <v>338</v>
      </c>
      <c r="B201" s="174">
        <v>0</v>
      </c>
      <c r="C201" s="187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f>5849849+3513402.22</f>
        <v>9363251.2200000007</v>
      </c>
      <c r="C202" s="187">
        <f>0+455053.28+8435.88</f>
        <v>463489.16000000003</v>
      </c>
      <c r="D202" s="174">
        <f>5621.21</f>
        <v>5621.21</v>
      </c>
      <c r="E202" s="175">
        <f t="shared" si="10"/>
        <v>9821119.1699999999</v>
      </c>
    </row>
    <row r="203" spans="1:8" ht="12.6" customHeight="1" x14ac:dyDescent="0.25">
      <c r="A203" s="173" t="s">
        <v>340</v>
      </c>
      <c r="B203" s="174">
        <f>2620709+621376.82+43999</f>
        <v>3286084.82</v>
      </c>
      <c r="C203" s="187">
        <f>1370199.59-3789254.18-578715.64-27905.47</f>
        <v>-3025675.7</v>
      </c>
      <c r="D203" s="174">
        <v>0</v>
      </c>
      <c r="E203" s="175">
        <f t="shared" si="10"/>
        <v>260409.11999999965</v>
      </c>
    </row>
    <row r="204" spans="1:8" ht="12.6" customHeight="1" x14ac:dyDescent="0.25">
      <c r="A204" s="173" t="s">
        <v>203</v>
      </c>
      <c r="B204" s="175">
        <f>SUM(B195:B203)</f>
        <v>243745458.47999999</v>
      </c>
      <c r="C204" s="189">
        <f>SUM(C195:C203)</f>
        <v>1955010.6399999997</v>
      </c>
      <c r="D204" s="175">
        <f>SUM(D195:D203)</f>
        <v>223095.09999999998</v>
      </c>
      <c r="E204" s="175">
        <f>SUM(E195:E203)</f>
        <v>245477376.01999998</v>
      </c>
    </row>
    <row r="205" spans="1:8" ht="12.6" customHeight="1" x14ac:dyDescent="0.25">
      <c r="A205" s="173"/>
      <c r="B205" s="173"/>
      <c r="C205" s="189"/>
      <c r="D205" s="175"/>
      <c r="E205" s="175"/>
    </row>
    <row r="206" spans="1:8" ht="12.6" customHeight="1" x14ac:dyDescent="0.25">
      <c r="A206" s="205" t="s">
        <v>341</v>
      </c>
      <c r="B206" s="205"/>
      <c r="C206" s="205"/>
      <c r="D206" s="205"/>
      <c r="E206" s="205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x14ac:dyDescent="0.25">
      <c r="A208" s="173" t="s">
        <v>332</v>
      </c>
      <c r="B208" s="178"/>
      <c r="C208" s="191"/>
      <c r="D208" s="178"/>
      <c r="E208" s="175"/>
      <c r="H208" s="255"/>
    </row>
    <row r="209" spans="1:8" ht="12.6" customHeight="1" x14ac:dyDescent="0.25">
      <c r="A209" s="173" t="s">
        <v>333</v>
      </c>
      <c r="B209" s="174">
        <v>720337</v>
      </c>
      <c r="C209" s="187">
        <v>86929.33</v>
      </c>
      <c r="D209" s="174">
        <v>0</v>
      </c>
      <c r="E209" s="175">
        <f t="shared" ref="E209:E216" si="11">SUM(B209:C209)-D209</f>
        <v>807266.33</v>
      </c>
      <c r="H209" s="255"/>
    </row>
    <row r="210" spans="1:8" ht="12.6" customHeight="1" x14ac:dyDescent="0.25">
      <c r="A210" s="173" t="s">
        <v>334</v>
      </c>
      <c r="B210" s="174">
        <v>48950514</v>
      </c>
      <c r="C210" s="187">
        <v>4222037.37</v>
      </c>
      <c r="D210" s="174">
        <v>0</v>
      </c>
      <c r="E210" s="175">
        <f t="shared" si="11"/>
        <v>53172551.369999997</v>
      </c>
      <c r="H210" s="255"/>
    </row>
    <row r="211" spans="1:8" ht="12.6" customHeight="1" x14ac:dyDescent="0.25">
      <c r="A211" s="173" t="s">
        <v>335</v>
      </c>
      <c r="B211" s="174">
        <f>1067512+4641.62</f>
        <v>1072153.6200000001</v>
      </c>
      <c r="C211" s="187">
        <f>1046768.59+21313.2</f>
        <v>1068081.79</v>
      </c>
      <c r="D211" s="174">
        <v>0</v>
      </c>
      <c r="E211" s="175">
        <f>SUM(B211:C211)-D211</f>
        <v>2140235.41</v>
      </c>
      <c r="H211" s="255"/>
    </row>
    <row r="212" spans="1:8" ht="12.6" customHeight="1" x14ac:dyDescent="0.25">
      <c r="A212" s="173" t="s">
        <v>336</v>
      </c>
      <c r="B212" s="174">
        <f>613706+79817.73</f>
        <v>693523.73</v>
      </c>
      <c r="C212" s="187">
        <f>53775.77+14727.28</f>
        <v>68503.05</v>
      </c>
      <c r="D212" s="174">
        <v>0</v>
      </c>
      <c r="E212" s="175">
        <f t="shared" si="11"/>
        <v>762026.78</v>
      </c>
      <c r="H212" s="255"/>
    </row>
    <row r="213" spans="1:8" ht="12.6" customHeight="1" x14ac:dyDescent="0.25">
      <c r="A213" s="173" t="s">
        <v>337</v>
      </c>
      <c r="B213" s="174">
        <f>51683422+4002652.78</f>
        <v>55686074.780000001</v>
      </c>
      <c r="C213" s="187">
        <f>5685170.76+120000+707042.71-104180</f>
        <v>6408033.4699999997</v>
      </c>
      <c r="D213" s="174">
        <f>107543.03+5648.5-104180</f>
        <v>9011.5299999999988</v>
      </c>
      <c r="E213" s="175">
        <f t="shared" si="11"/>
        <v>62085096.719999999</v>
      </c>
      <c r="H213" s="255"/>
    </row>
    <row r="214" spans="1:8" ht="12.6" customHeight="1" x14ac:dyDescent="0.25">
      <c r="A214" s="173" t="s">
        <v>338</v>
      </c>
      <c r="B214" s="174">
        <v>0</v>
      </c>
      <c r="C214" s="187">
        <v>0</v>
      </c>
      <c r="D214" s="174">
        <v>0</v>
      </c>
      <c r="E214" s="175">
        <f t="shared" si="11"/>
        <v>0</v>
      </c>
      <c r="H214" s="255"/>
    </row>
    <row r="215" spans="1:8" ht="12.6" customHeight="1" x14ac:dyDescent="0.25">
      <c r="A215" s="173" t="s">
        <v>339</v>
      </c>
      <c r="B215" s="174">
        <f>4307794+1755897.13</f>
        <v>6063691.1299999999</v>
      </c>
      <c r="C215" s="187">
        <f>507378.89+395282.88</f>
        <v>902661.77</v>
      </c>
      <c r="D215" s="174">
        <v>-1004</v>
      </c>
      <c r="E215" s="175">
        <f t="shared" si="11"/>
        <v>6967356.9000000004</v>
      </c>
      <c r="H215" s="255"/>
    </row>
    <row r="216" spans="1:8" ht="12.6" customHeight="1" x14ac:dyDescent="0.25">
      <c r="A216" s="173" t="s">
        <v>340</v>
      </c>
      <c r="B216" s="174">
        <v>0</v>
      </c>
      <c r="C216" s="187">
        <v>0</v>
      </c>
      <c r="D216" s="174">
        <v>0</v>
      </c>
      <c r="E216" s="175">
        <f t="shared" si="11"/>
        <v>0</v>
      </c>
      <c r="H216" s="255"/>
    </row>
    <row r="217" spans="1:8" ht="12.6" customHeight="1" x14ac:dyDescent="0.25">
      <c r="A217" s="173" t="s">
        <v>203</v>
      </c>
      <c r="B217" s="175">
        <f>SUM(B208:B216)</f>
        <v>113186294.25999999</v>
      </c>
      <c r="C217" s="189">
        <f>SUM(C208:C216)</f>
        <v>12756246.779999999</v>
      </c>
      <c r="D217" s="175">
        <f>SUM(D208:D216)</f>
        <v>8007.5299999999988</v>
      </c>
      <c r="E217" s="175">
        <f>SUM(E208:E216)</f>
        <v>125934533.51000001</v>
      </c>
    </row>
    <row r="218" spans="1:8" ht="21.75" customHeight="1" x14ac:dyDescent="0.25">
      <c r="A218" s="173"/>
      <c r="B218" s="175"/>
      <c r="C218" s="189"/>
      <c r="D218" s="175"/>
      <c r="E218" s="175"/>
    </row>
    <row r="219" spans="1:8" ht="12.6" customHeight="1" x14ac:dyDescent="0.25">
      <c r="A219" s="206" t="s">
        <v>342</v>
      </c>
      <c r="B219" s="206"/>
      <c r="C219" s="206"/>
      <c r="D219" s="206"/>
      <c r="E219" s="206"/>
    </row>
    <row r="220" spans="1:8" ht="12.6" customHeight="1" x14ac:dyDescent="0.25">
      <c r="A220" s="206"/>
      <c r="B220" s="341" t="s">
        <v>1255</v>
      </c>
      <c r="C220" s="341"/>
      <c r="D220" s="206"/>
      <c r="E220" s="206"/>
    </row>
    <row r="221" spans="1:8" ht="12.6" customHeight="1" x14ac:dyDescent="0.25">
      <c r="A221" s="268" t="s">
        <v>1255</v>
      </c>
      <c r="B221" s="206"/>
      <c r="C221" s="187">
        <v>5026728.3</v>
      </c>
      <c r="D221" s="172">
        <f>C221</f>
        <v>5026728.3</v>
      </c>
      <c r="E221" s="206"/>
    </row>
    <row r="222" spans="1:8" ht="12.6" customHeight="1" x14ac:dyDescent="0.25">
      <c r="A222" s="253" t="s">
        <v>343</v>
      </c>
      <c r="B222" s="253"/>
      <c r="C222" s="253"/>
      <c r="D222" s="253"/>
      <c r="E222" s="253"/>
    </row>
    <row r="223" spans="1:8" ht="12.6" customHeight="1" x14ac:dyDescent="0.25">
      <c r="A223" s="173" t="s">
        <v>344</v>
      </c>
      <c r="B223" s="172" t="s">
        <v>256</v>
      </c>
      <c r="C223" s="187">
        <f>189771171.34-21736+1030090-97652.2+158105334.7+439714.29+16360279.69</f>
        <v>365587201.82000005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7">
        <f>43280636.93+40708.13-1930977.79-2052092.35+67227438+126106.45+5581895.44</f>
        <v>112273714.81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7">
        <v>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7">
        <v>0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7">
        <v>0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7">
        <f>3461065.32+10819595.64+29065864.11+13095122.69-152430.45+9653529.75+33242452.26+73150120.81+21775687.45+24931.02+55386.91+224171.65+45864.62+869100.87+1818869.23+7098921.29-586116.33+1619612.36</f>
        <v>205281749.19999999</v>
      </c>
      <c r="D228" s="175"/>
      <c r="E228" s="175"/>
    </row>
    <row r="229" spans="1:5" ht="12.6" customHeight="1" x14ac:dyDescent="0.25">
      <c r="A229" s="173" t="s">
        <v>350</v>
      </c>
      <c r="B229" s="175"/>
      <c r="C229" s="189"/>
      <c r="D229" s="175">
        <f>SUM(C223:C228)</f>
        <v>683142665.83000004</v>
      </c>
      <c r="E229" s="175"/>
    </row>
    <row r="230" spans="1:5" ht="12.6" customHeight="1" x14ac:dyDescent="0.25">
      <c r="A230" s="253" t="s">
        <v>351</v>
      </c>
      <c r="B230" s="253"/>
      <c r="C230" s="253"/>
      <c r="D230" s="253"/>
      <c r="E230" s="253"/>
    </row>
    <row r="231" spans="1:5" ht="12.6" customHeight="1" x14ac:dyDescent="0.25">
      <c r="A231" s="171" t="s">
        <v>352</v>
      </c>
      <c r="B231" s="172" t="s">
        <v>256</v>
      </c>
      <c r="C231" s="187">
        <v>2875</v>
      </c>
      <c r="D231" s="175"/>
      <c r="E231" s="175"/>
    </row>
    <row r="232" spans="1:5" ht="12.6" customHeight="1" x14ac:dyDescent="0.25">
      <c r="A232" s="171"/>
      <c r="B232" s="172"/>
      <c r="C232" s="189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7">
        <v>2410737.52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7">
        <f>3707320.64+316639.18</f>
        <v>4023959.8200000003</v>
      </c>
      <c r="D234" s="175"/>
      <c r="E234" s="175"/>
    </row>
    <row r="235" spans="1:5" ht="12.6" customHeight="1" x14ac:dyDescent="0.25">
      <c r="A235" s="173"/>
      <c r="B235" s="175"/>
      <c r="C235" s="189"/>
      <c r="D235" s="175"/>
      <c r="E235" s="175"/>
    </row>
    <row r="236" spans="1:5" ht="12.6" customHeight="1" x14ac:dyDescent="0.25">
      <c r="A236" s="171" t="s">
        <v>355</v>
      </c>
      <c r="B236" s="175"/>
      <c r="C236" s="189"/>
      <c r="D236" s="175">
        <f>SUM(C233:C235)</f>
        <v>6434697.3399999999</v>
      </c>
      <c r="E236" s="175"/>
    </row>
    <row r="237" spans="1:5" ht="12.6" customHeight="1" x14ac:dyDescent="0.25">
      <c r="A237" s="253" t="s">
        <v>356</v>
      </c>
      <c r="B237" s="253"/>
      <c r="C237" s="253"/>
      <c r="D237" s="253"/>
      <c r="E237" s="253"/>
    </row>
    <row r="238" spans="1:5" ht="12.6" customHeight="1" x14ac:dyDescent="0.25">
      <c r="A238" s="173" t="s">
        <v>357</v>
      </c>
      <c r="B238" s="172" t="s">
        <v>256</v>
      </c>
      <c r="C238" s="187">
        <f>2052072.49+5400801.91+244.35+12198.27-11885.47+744158.79</f>
        <v>8197590.3399999999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7">
        <v>0</v>
      </c>
      <c r="D239" s="175"/>
      <c r="E239" s="175"/>
    </row>
    <row r="240" spans="1:5" ht="12.6" customHeight="1" x14ac:dyDescent="0.25">
      <c r="A240" s="173" t="s">
        <v>358</v>
      </c>
      <c r="B240" s="175"/>
      <c r="C240" s="189"/>
      <c r="D240" s="175">
        <f>SUM(C238:C239)</f>
        <v>8197590.3399999999</v>
      </c>
      <c r="E240" s="175"/>
    </row>
    <row r="241" spans="1:5" ht="12.6" customHeight="1" x14ac:dyDescent="0.25">
      <c r="A241" s="173"/>
      <c r="B241" s="175"/>
      <c r="C241" s="189"/>
      <c r="D241" s="175"/>
      <c r="E241" s="175"/>
    </row>
    <row r="242" spans="1:5" ht="12.6" customHeight="1" x14ac:dyDescent="0.25">
      <c r="A242" s="173" t="s">
        <v>359</v>
      </c>
      <c r="B242" s="175"/>
      <c r="C242" s="189"/>
      <c r="D242" s="175">
        <f>D221+D229+D236+D240</f>
        <v>702801681.81000006</v>
      </c>
      <c r="E242" s="175"/>
    </row>
    <row r="243" spans="1:5" ht="12.6" customHeight="1" x14ac:dyDescent="0.25">
      <c r="A243" s="173"/>
      <c r="B243" s="173"/>
      <c r="C243" s="189"/>
      <c r="D243" s="175"/>
      <c r="E243" s="175"/>
    </row>
    <row r="244" spans="1:5" ht="12.6" customHeight="1" x14ac:dyDescent="0.25">
      <c r="A244" s="173"/>
      <c r="B244" s="173"/>
      <c r="C244" s="189"/>
      <c r="D244" s="175"/>
      <c r="E244" s="175"/>
    </row>
    <row r="245" spans="1:5" ht="12.6" customHeight="1" x14ac:dyDescent="0.25">
      <c r="A245" s="173"/>
      <c r="B245" s="173"/>
      <c r="C245" s="189"/>
      <c r="D245" s="175"/>
      <c r="E245" s="175"/>
    </row>
    <row r="246" spans="1:5" ht="12.6" customHeight="1" x14ac:dyDescent="0.25">
      <c r="A246" s="173"/>
      <c r="B246" s="173"/>
      <c r="C246" s="189"/>
      <c r="D246" s="175"/>
      <c r="E246" s="175"/>
    </row>
    <row r="247" spans="1:5" ht="21.75" customHeight="1" x14ac:dyDescent="0.25">
      <c r="A247" s="173"/>
      <c r="B247" s="173"/>
      <c r="C247" s="189"/>
      <c r="D247" s="175"/>
      <c r="E247" s="175"/>
    </row>
    <row r="248" spans="1:5" ht="12.45" customHeight="1" x14ac:dyDescent="0.25">
      <c r="A248" s="206" t="s">
        <v>360</v>
      </c>
      <c r="B248" s="206"/>
      <c r="C248" s="206"/>
      <c r="D248" s="206"/>
      <c r="E248" s="206"/>
    </row>
    <row r="249" spans="1:5" ht="11.25" customHeight="1" x14ac:dyDescent="0.25">
      <c r="A249" s="253" t="s">
        <v>361</v>
      </c>
      <c r="B249" s="253"/>
      <c r="C249" s="253"/>
      <c r="D249" s="253"/>
      <c r="E249" s="253"/>
    </row>
    <row r="250" spans="1:5" ht="12.45" customHeight="1" x14ac:dyDescent="0.25">
      <c r="A250" s="173" t="s">
        <v>362</v>
      </c>
      <c r="B250" s="172" t="s">
        <v>256</v>
      </c>
      <c r="C250" s="187">
        <f>-95620.88+23433.63</f>
        <v>-72187.25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7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7">
        <f>100704373.08+7764934.22</f>
        <v>108469307.3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7">
        <f>75119113.45+6056580.99+4832679.54</f>
        <v>86008373.980000004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7"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7">
        <f>1405799.5+186258.9</f>
        <v>1592058.4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7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7">
        <f>3576523.07+159721.09</f>
        <v>3736244.1599999997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7">
        <f>65181.07+171873.35</f>
        <v>237054.42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7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89"/>
      <c r="D260" s="175">
        <f>SUM(C250:C252)-C253+SUM(C254:C259)</f>
        <v>27954103.049999993</v>
      </c>
      <c r="E260" s="175"/>
    </row>
    <row r="261" spans="1:5" ht="11.25" customHeight="1" x14ac:dyDescent="0.25">
      <c r="A261" s="253" t="s">
        <v>372</v>
      </c>
      <c r="B261" s="253"/>
      <c r="C261" s="253"/>
      <c r="D261" s="253"/>
      <c r="E261" s="253"/>
    </row>
    <row r="262" spans="1:5" ht="12.45" customHeight="1" x14ac:dyDescent="0.25">
      <c r="A262" s="173" t="s">
        <v>362</v>
      </c>
      <c r="B262" s="172" t="s">
        <v>256</v>
      </c>
      <c r="C262" s="187">
        <v>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7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7">
        <v>0</v>
      </c>
      <c r="D264" s="175"/>
      <c r="E264" s="175"/>
    </row>
    <row r="265" spans="1:5" ht="12.45" customHeight="1" x14ac:dyDescent="0.25">
      <c r="A265" s="173" t="s">
        <v>374</v>
      </c>
      <c r="B265" s="175"/>
      <c r="C265" s="189"/>
      <c r="D265" s="175">
        <f>SUM(C262:C264)</f>
        <v>0</v>
      </c>
      <c r="E265" s="175"/>
    </row>
    <row r="266" spans="1:5" ht="11.25" customHeight="1" x14ac:dyDescent="0.25">
      <c r="A266" s="253" t="s">
        <v>375</v>
      </c>
      <c r="B266" s="253"/>
      <c r="C266" s="253"/>
      <c r="D266" s="253"/>
      <c r="E266" s="253"/>
    </row>
    <row r="267" spans="1:5" ht="12.45" customHeight="1" x14ac:dyDescent="0.25">
      <c r="A267" s="173" t="s">
        <v>332</v>
      </c>
      <c r="B267" s="172" t="s">
        <v>256</v>
      </c>
      <c r="C267" s="187">
        <v>3531776.4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7">
        <v>2067269.5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7">
        <v>134516969.13999999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7">
        <f>15645970.76+213892.89</f>
        <v>15859863.65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7">
        <f>967485.48+152688.47</f>
        <v>1120173.95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7">
        <f>70969894.11+7329899.21</f>
        <v>78299793.319999993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7">
        <f>5858285.06+3962834.29</f>
        <v>9821119.3499999996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7">
        <f>6252.86+195402.23+42661.18+16093.53</f>
        <v>260409.8</v>
      </c>
      <c r="D274" s="175"/>
      <c r="E274" s="175"/>
    </row>
    <row r="275" spans="1:5" ht="12.45" customHeight="1" x14ac:dyDescent="0.25">
      <c r="A275" s="173" t="s">
        <v>379</v>
      </c>
      <c r="B275" s="175"/>
      <c r="C275" s="189"/>
      <c r="D275" s="175">
        <f>SUM(C267:C274)</f>
        <v>245477375.10999998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7">
        <f>118953157.41+6981375.33</f>
        <v>125934532.73999999</v>
      </c>
      <c r="D276" s="175"/>
      <c r="E276" s="175"/>
    </row>
    <row r="277" spans="1:5" ht="12.6" customHeight="1" x14ac:dyDescent="0.25">
      <c r="A277" s="173" t="s">
        <v>381</v>
      </c>
      <c r="B277" s="175"/>
      <c r="C277" s="189"/>
      <c r="D277" s="175">
        <f>D275-C276</f>
        <v>119542842.36999999</v>
      </c>
      <c r="E277" s="175"/>
    </row>
    <row r="278" spans="1:5" ht="12.6" customHeight="1" x14ac:dyDescent="0.25">
      <c r="A278" s="253" t="s">
        <v>382</v>
      </c>
      <c r="B278" s="253"/>
      <c r="C278" s="253"/>
      <c r="D278" s="253"/>
      <c r="E278" s="253"/>
    </row>
    <row r="279" spans="1:5" ht="12.6" customHeight="1" x14ac:dyDescent="0.25">
      <c r="A279" s="173" t="s">
        <v>383</v>
      </c>
      <c r="B279" s="172" t="s">
        <v>256</v>
      </c>
      <c r="C279" s="187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7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7">
        <f>821397.93+521022.59</f>
        <v>1342420.52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7">
        <f>0+6176.33</f>
        <v>6176.33</v>
      </c>
      <c r="D282" s="175"/>
      <c r="E282" s="175"/>
    </row>
    <row r="283" spans="1:5" ht="12.6" customHeight="1" x14ac:dyDescent="0.25">
      <c r="A283" s="173" t="s">
        <v>386</v>
      </c>
      <c r="B283" s="175"/>
      <c r="C283" s="189"/>
      <c r="D283" s="175">
        <f>C279-C280+C281+C282</f>
        <v>1348596.85</v>
      </c>
      <c r="E283" s="175"/>
    </row>
    <row r="284" spans="1:5" ht="12.6" customHeight="1" x14ac:dyDescent="0.25">
      <c r="A284" s="173"/>
      <c r="B284" s="175"/>
      <c r="C284" s="189"/>
      <c r="D284" s="175"/>
      <c r="E284" s="175"/>
    </row>
    <row r="285" spans="1:5" ht="12.6" customHeight="1" x14ac:dyDescent="0.25">
      <c r="A285" s="253" t="s">
        <v>387</v>
      </c>
      <c r="B285" s="253"/>
      <c r="C285" s="253"/>
      <c r="D285" s="253"/>
      <c r="E285" s="253"/>
    </row>
    <row r="286" spans="1:5" ht="12.6" customHeight="1" x14ac:dyDescent="0.25">
      <c r="A286" s="173" t="s">
        <v>388</v>
      </c>
      <c r="B286" s="172" t="s">
        <v>256</v>
      </c>
      <c r="C286" s="187">
        <f>0+1049432.38</f>
        <v>1049432.3799999999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7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7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7">
        <f>0+96123.36</f>
        <v>96123.36</v>
      </c>
      <c r="D289" s="175"/>
      <c r="E289" s="175"/>
    </row>
    <row r="290" spans="1:5" ht="12.6" customHeight="1" x14ac:dyDescent="0.25">
      <c r="A290" s="173" t="s">
        <v>392</v>
      </c>
      <c r="B290" s="175"/>
      <c r="C290" s="189"/>
      <c r="D290" s="175">
        <f>SUM(C286:C289)</f>
        <v>1145555.74</v>
      </c>
      <c r="E290" s="175"/>
    </row>
    <row r="291" spans="1:5" ht="12.6" customHeight="1" x14ac:dyDescent="0.25">
      <c r="A291" s="173"/>
      <c r="B291" s="175"/>
      <c r="C291" s="189"/>
      <c r="D291" s="175"/>
      <c r="E291" s="175"/>
    </row>
    <row r="292" spans="1:5" ht="12.6" customHeight="1" x14ac:dyDescent="0.25">
      <c r="A292" s="173" t="s">
        <v>393</v>
      </c>
      <c r="B292" s="175"/>
      <c r="C292" s="189"/>
      <c r="D292" s="175">
        <f>D260+D265+D277+D283+D290</f>
        <v>149991098.00999999</v>
      </c>
      <c r="E292" s="175"/>
    </row>
    <row r="293" spans="1:5" ht="12.6" customHeight="1" x14ac:dyDescent="0.25">
      <c r="A293" s="173"/>
      <c r="B293" s="173"/>
      <c r="C293" s="189"/>
      <c r="D293" s="175"/>
      <c r="E293" s="175"/>
    </row>
    <row r="294" spans="1:5" ht="12.6" customHeight="1" x14ac:dyDescent="0.25">
      <c r="A294" s="173"/>
      <c r="B294" s="173"/>
      <c r="C294" s="189"/>
      <c r="D294" s="175"/>
      <c r="E294" s="175"/>
    </row>
    <row r="295" spans="1:5" ht="12.6" customHeight="1" x14ac:dyDescent="0.25">
      <c r="A295" s="173"/>
      <c r="B295" s="173"/>
      <c r="C295" s="189"/>
      <c r="D295" s="175"/>
      <c r="E295" s="175"/>
    </row>
    <row r="296" spans="1:5" ht="12.6" customHeight="1" x14ac:dyDescent="0.25">
      <c r="A296" s="173"/>
      <c r="B296" s="173"/>
      <c r="C296" s="189"/>
      <c r="D296" s="175"/>
      <c r="E296" s="175"/>
    </row>
    <row r="297" spans="1:5" ht="12.6" customHeight="1" x14ac:dyDescent="0.25">
      <c r="A297" s="173"/>
      <c r="B297" s="173"/>
      <c r="C297" s="189"/>
      <c r="D297" s="175"/>
      <c r="E297" s="175"/>
    </row>
    <row r="298" spans="1:5" ht="12.6" customHeight="1" x14ac:dyDescent="0.25">
      <c r="A298" s="173"/>
      <c r="B298" s="173"/>
      <c r="C298" s="189"/>
      <c r="D298" s="175"/>
      <c r="E298" s="175"/>
    </row>
    <row r="299" spans="1:5" ht="12.6" customHeight="1" x14ac:dyDescent="0.25">
      <c r="A299" s="173"/>
      <c r="B299" s="173"/>
      <c r="C299" s="189"/>
      <c r="D299" s="175"/>
      <c r="E299" s="175"/>
    </row>
    <row r="300" spans="1:5" ht="12.6" customHeight="1" x14ac:dyDescent="0.25">
      <c r="A300" s="173"/>
      <c r="B300" s="173"/>
      <c r="C300" s="189"/>
      <c r="D300" s="175"/>
      <c r="E300" s="175"/>
    </row>
    <row r="301" spans="1:5" ht="20.25" customHeight="1" x14ac:dyDescent="0.25">
      <c r="A301" s="173"/>
      <c r="B301" s="173"/>
      <c r="C301" s="189"/>
      <c r="D301" s="175"/>
      <c r="E301" s="175"/>
    </row>
    <row r="302" spans="1:5" ht="12.6" customHeight="1" x14ac:dyDescent="0.25">
      <c r="A302" s="206" t="s">
        <v>394</v>
      </c>
      <c r="B302" s="206"/>
      <c r="C302" s="206"/>
      <c r="D302" s="206"/>
      <c r="E302" s="206"/>
    </row>
    <row r="303" spans="1:5" ht="14.25" customHeight="1" x14ac:dyDescent="0.25">
      <c r="A303" s="253" t="s">
        <v>395</v>
      </c>
      <c r="B303" s="253"/>
      <c r="C303" s="253"/>
      <c r="D303" s="253"/>
      <c r="E303" s="253"/>
    </row>
    <row r="304" spans="1:5" ht="12.6" customHeight="1" x14ac:dyDescent="0.25">
      <c r="A304" s="173" t="s">
        <v>396</v>
      </c>
      <c r="B304" s="172" t="s">
        <v>256</v>
      </c>
      <c r="C304" s="187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7">
        <f>1399552.95+126244.82</f>
        <v>1525797.77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7">
        <f>4006809.29+1623654.53</f>
        <v>5630463.8200000003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7">
        <f>-24931.16+3681882.25+37790.35+1319606.48+1923034.52</f>
        <v>6937382.4399999995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7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7">
        <v>2550917.9500000002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7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7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7">
        <v>0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7">
        <f>759393.37+206695.75</f>
        <v>966089.12</v>
      </c>
      <c r="D313" s="175"/>
      <c r="E313" s="175"/>
    </row>
    <row r="314" spans="1:5" ht="12.6" customHeight="1" x14ac:dyDescent="0.25">
      <c r="A314" s="173" t="s">
        <v>405</v>
      </c>
      <c r="B314" s="175"/>
      <c r="C314" s="189"/>
      <c r="D314" s="175">
        <f>SUM(C304:C313)</f>
        <v>17610651.100000001</v>
      </c>
      <c r="E314" s="175"/>
    </row>
    <row r="315" spans="1:5" ht="12.6" customHeight="1" x14ac:dyDescent="0.25">
      <c r="A315" s="253" t="s">
        <v>406</v>
      </c>
      <c r="B315" s="253"/>
      <c r="C315" s="253"/>
      <c r="D315" s="253"/>
      <c r="E315" s="253"/>
    </row>
    <row r="316" spans="1:5" ht="12.6" customHeight="1" x14ac:dyDescent="0.25">
      <c r="A316" s="173" t="s">
        <v>407</v>
      </c>
      <c r="B316" s="172" t="s">
        <v>256</v>
      </c>
      <c r="C316" s="187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7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7">
        <f>189222.16+1477898.44</f>
        <v>1667120.5999999999</v>
      </c>
      <c r="D318" s="175"/>
      <c r="E318" s="175"/>
    </row>
    <row r="319" spans="1:5" ht="12.6" customHeight="1" x14ac:dyDescent="0.25">
      <c r="A319" s="173" t="s">
        <v>410</v>
      </c>
      <c r="B319" s="175"/>
      <c r="C319" s="189"/>
      <c r="D319" s="175">
        <f>SUM(C316:C318)</f>
        <v>1667120.5999999999</v>
      </c>
      <c r="E319" s="175"/>
    </row>
    <row r="320" spans="1:5" ht="12.6" customHeight="1" x14ac:dyDescent="0.25">
      <c r="A320" s="253" t="s">
        <v>411</v>
      </c>
      <c r="B320" s="253"/>
      <c r="C320" s="253"/>
      <c r="D320" s="253"/>
      <c r="E320" s="253"/>
    </row>
    <row r="321" spans="1:5" ht="12.6" customHeight="1" x14ac:dyDescent="0.25">
      <c r="A321" s="173" t="s">
        <v>412</v>
      </c>
      <c r="B321" s="172" t="s">
        <v>256</v>
      </c>
      <c r="C321" s="187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7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7">
        <f>118626.19+237252.39</f>
        <v>355878.58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7">
        <f>759393.37+88069.55+109431.18</f>
        <v>956894.10000000009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7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7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7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89"/>
      <c r="D328" s="175">
        <f>SUM(C321:C327)</f>
        <v>1312772.6800000002</v>
      </c>
      <c r="E328" s="175"/>
    </row>
    <row r="329" spans="1:5" ht="12.6" customHeight="1" x14ac:dyDescent="0.25">
      <c r="A329" s="173" t="s">
        <v>419</v>
      </c>
      <c r="B329" s="175"/>
      <c r="C329" s="189"/>
      <c r="D329" s="175">
        <f>C313</f>
        <v>966089.12</v>
      </c>
      <c r="E329" s="175"/>
    </row>
    <row r="330" spans="1:5" ht="12.6" customHeight="1" x14ac:dyDescent="0.25">
      <c r="A330" s="173" t="s">
        <v>420</v>
      </c>
      <c r="B330" s="175"/>
      <c r="C330" s="189"/>
      <c r="D330" s="175">
        <f>D328-D329</f>
        <v>346683.56000000017</v>
      </c>
      <c r="E330" s="175"/>
    </row>
    <row r="331" spans="1:5" ht="12.6" customHeight="1" x14ac:dyDescent="0.25">
      <c r="A331" s="173"/>
      <c r="B331" s="175"/>
      <c r="C331" s="189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9">
        <f>126708886.41+3657756.34</f>
        <v>130366642.75</v>
      </c>
      <c r="D332" s="175"/>
      <c r="E332" s="175"/>
    </row>
    <row r="333" spans="1:5" ht="12.6" customHeight="1" x14ac:dyDescent="0.25">
      <c r="A333" s="173"/>
      <c r="B333" s="172"/>
      <c r="C333" s="228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187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187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187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7">
        <v>0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7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89"/>
      <c r="D339" s="175">
        <f>D314+D319+D330+C332+C336+C337</f>
        <v>149991098.00999999</v>
      </c>
      <c r="E339" s="175"/>
    </row>
    <row r="340" spans="1:5" ht="12.6" customHeight="1" x14ac:dyDescent="0.25">
      <c r="A340" s="173"/>
      <c r="B340" s="175"/>
      <c r="C340" s="189"/>
      <c r="D340" s="175"/>
      <c r="E340" s="175"/>
    </row>
    <row r="341" spans="1:5" ht="12.6" customHeight="1" x14ac:dyDescent="0.25">
      <c r="A341" s="173" t="s">
        <v>425</v>
      </c>
      <c r="B341" s="175"/>
      <c r="C341" s="189"/>
      <c r="D341" s="175">
        <f>D292</f>
        <v>149991098.00999999</v>
      </c>
      <c r="E341" s="175"/>
    </row>
    <row r="342" spans="1:5" ht="12.6" customHeight="1" x14ac:dyDescent="0.25">
      <c r="A342" s="173"/>
      <c r="B342" s="173"/>
      <c r="C342" s="189"/>
      <c r="D342" s="175"/>
      <c r="E342" s="175"/>
    </row>
    <row r="343" spans="1:5" ht="12.6" customHeight="1" x14ac:dyDescent="0.25">
      <c r="A343" s="173"/>
      <c r="B343" s="173"/>
      <c r="C343" s="189"/>
      <c r="D343" s="175"/>
      <c r="E343" s="175"/>
    </row>
    <row r="344" spans="1:5" ht="12.6" customHeight="1" x14ac:dyDescent="0.25">
      <c r="A344" s="173"/>
      <c r="B344" s="173"/>
      <c r="C344" s="189"/>
      <c r="D344" s="175"/>
      <c r="E344" s="175"/>
    </row>
    <row r="345" spans="1:5" ht="12.6" customHeight="1" x14ac:dyDescent="0.25">
      <c r="A345" s="173"/>
      <c r="B345" s="173"/>
      <c r="C345" s="189"/>
      <c r="D345" s="175"/>
      <c r="E345" s="175"/>
    </row>
    <row r="346" spans="1:5" ht="12.6" customHeight="1" x14ac:dyDescent="0.25">
      <c r="A346" s="173"/>
      <c r="B346" s="173"/>
      <c r="C346" s="189"/>
      <c r="D346" s="175"/>
      <c r="E346" s="175"/>
    </row>
    <row r="347" spans="1:5" ht="12.6" customHeight="1" x14ac:dyDescent="0.25">
      <c r="A347" s="173"/>
      <c r="B347" s="173"/>
      <c r="C347" s="189"/>
      <c r="D347" s="175"/>
      <c r="E347" s="175"/>
    </row>
    <row r="348" spans="1:5" ht="12.6" customHeight="1" x14ac:dyDescent="0.25">
      <c r="A348" s="173"/>
      <c r="B348" s="173"/>
      <c r="C348" s="189"/>
      <c r="D348" s="175"/>
      <c r="E348" s="175"/>
    </row>
    <row r="349" spans="1:5" ht="12.6" customHeight="1" x14ac:dyDescent="0.25">
      <c r="A349" s="173"/>
      <c r="B349" s="173"/>
      <c r="C349" s="189"/>
      <c r="D349" s="175"/>
      <c r="E349" s="175"/>
    </row>
    <row r="350" spans="1:5" ht="12.6" customHeight="1" x14ac:dyDescent="0.25">
      <c r="A350" s="173"/>
      <c r="B350" s="173"/>
      <c r="C350" s="189"/>
      <c r="D350" s="175"/>
      <c r="E350" s="175"/>
    </row>
    <row r="351" spans="1:5" ht="12.6" customHeight="1" x14ac:dyDescent="0.25">
      <c r="A351" s="173"/>
      <c r="B351" s="173"/>
      <c r="C351" s="189"/>
      <c r="D351" s="175"/>
      <c r="E351" s="175"/>
    </row>
    <row r="352" spans="1:5" ht="12.6" customHeight="1" x14ac:dyDescent="0.25">
      <c r="A352" s="173"/>
      <c r="B352" s="173"/>
      <c r="C352" s="189"/>
      <c r="D352" s="175"/>
      <c r="E352" s="175"/>
    </row>
    <row r="353" spans="1:5" ht="12.6" customHeight="1" x14ac:dyDescent="0.25">
      <c r="A353" s="173"/>
      <c r="B353" s="173"/>
      <c r="C353" s="189"/>
      <c r="D353" s="175"/>
      <c r="E353" s="175"/>
    </row>
    <row r="354" spans="1:5" ht="12.6" customHeight="1" x14ac:dyDescent="0.25">
      <c r="A354" s="173"/>
      <c r="B354" s="173"/>
      <c r="C354" s="189"/>
      <c r="D354" s="175"/>
      <c r="E354" s="175"/>
    </row>
    <row r="355" spans="1:5" ht="12.6" customHeight="1" x14ac:dyDescent="0.25">
      <c r="A355" s="173"/>
      <c r="B355" s="173"/>
      <c r="C355" s="189"/>
      <c r="D355" s="175"/>
      <c r="E355" s="175"/>
    </row>
    <row r="356" spans="1:5" ht="20.25" customHeight="1" x14ac:dyDescent="0.25">
      <c r="A356" s="173"/>
      <c r="B356" s="173"/>
      <c r="C356" s="189"/>
      <c r="D356" s="175"/>
      <c r="E356" s="175"/>
    </row>
    <row r="357" spans="1:5" ht="12.6" customHeight="1" x14ac:dyDescent="0.25">
      <c r="A357" s="206" t="s">
        <v>426</v>
      </c>
      <c r="B357" s="206"/>
      <c r="C357" s="206"/>
      <c r="D357" s="206"/>
      <c r="E357" s="206"/>
    </row>
    <row r="358" spans="1:5" ht="12.6" customHeight="1" x14ac:dyDescent="0.25">
      <c r="A358" s="253" t="s">
        <v>427</v>
      </c>
      <c r="B358" s="253"/>
      <c r="C358" s="253"/>
      <c r="D358" s="253"/>
      <c r="E358" s="253"/>
    </row>
    <row r="359" spans="1:5" ht="12.6" customHeight="1" x14ac:dyDescent="0.25">
      <c r="A359" s="173" t="s">
        <v>428</v>
      </c>
      <c r="B359" s="172" t="s">
        <v>256</v>
      </c>
      <c r="C359" s="187">
        <v>368866363.00999999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7">
        <f>455192480.13+1698391.97+57797832.81</f>
        <v>514688704.91000003</v>
      </c>
      <c r="D360" s="175"/>
      <c r="E360" s="175"/>
    </row>
    <row r="361" spans="1:5" ht="12.6" customHeight="1" x14ac:dyDescent="0.25">
      <c r="A361" s="173" t="s">
        <v>430</v>
      </c>
      <c r="B361" s="175"/>
      <c r="C361" s="189"/>
      <c r="D361" s="175">
        <f>SUM(C359:C360)</f>
        <v>883555067.92000008</v>
      </c>
      <c r="E361" s="175"/>
    </row>
    <row r="362" spans="1:5" ht="12.6" customHeight="1" x14ac:dyDescent="0.25">
      <c r="A362" s="253" t="s">
        <v>431</v>
      </c>
      <c r="B362" s="253"/>
      <c r="C362" s="253"/>
      <c r="D362" s="253"/>
      <c r="E362" s="253"/>
    </row>
    <row r="363" spans="1:5" ht="12.6" customHeight="1" x14ac:dyDescent="0.25">
      <c r="A363" s="173" t="s">
        <v>1255</v>
      </c>
      <c r="B363" s="253"/>
      <c r="C363" s="187">
        <v>5026728.3</v>
      </c>
      <c r="D363" s="175"/>
      <c r="E363" s="253"/>
    </row>
    <row r="364" spans="1:5" ht="12.6" customHeight="1" x14ac:dyDescent="0.25">
      <c r="A364" s="173" t="s">
        <v>432</v>
      </c>
      <c r="B364" s="172" t="s">
        <v>256</v>
      </c>
      <c r="C364" s="187">
        <f>-2052072.49+290511182.41-5400801.91+366405620.33-244.35-12198.27+928617.56+11885.47-744158.79+33494835.87</f>
        <v>683142665.82999992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7">
        <v>6434697.3399999999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7">
        <f>2052072.49+5400801.91+744158.79-11885.47+244.35+12198.27</f>
        <v>8197590.3399999999</v>
      </c>
      <c r="D366" s="175"/>
      <c r="E366" s="175"/>
    </row>
    <row r="367" spans="1:5" ht="12.6" customHeight="1" x14ac:dyDescent="0.25">
      <c r="A367" s="173" t="s">
        <v>359</v>
      </c>
      <c r="B367" s="175"/>
      <c r="C367" s="189"/>
      <c r="D367" s="175">
        <f>SUM(C363:C366)</f>
        <v>702801681.80999994</v>
      </c>
      <c r="E367" s="175"/>
    </row>
    <row r="368" spans="1:5" ht="12.6" customHeight="1" x14ac:dyDescent="0.25">
      <c r="A368" s="173" t="s">
        <v>435</v>
      </c>
      <c r="B368" s="175"/>
      <c r="C368" s="189"/>
      <c r="D368" s="175">
        <f>D361-D367</f>
        <v>180753386.11000013</v>
      </c>
      <c r="E368" s="175"/>
    </row>
    <row r="369" spans="1:5" ht="12.6" customHeight="1" x14ac:dyDescent="0.25">
      <c r="A369" s="253" t="s">
        <v>436</v>
      </c>
      <c r="B369" s="253"/>
      <c r="C369" s="253"/>
      <c r="D369" s="253"/>
      <c r="E369" s="253"/>
    </row>
    <row r="370" spans="1:5" ht="12.6" customHeight="1" x14ac:dyDescent="0.25">
      <c r="A370" s="173" t="s">
        <v>437</v>
      </c>
      <c r="B370" s="172" t="s">
        <v>256</v>
      </c>
      <c r="C370" s="187">
        <f>8247600.88+5772.8+9550</f>
        <v>8262923.6799999997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7">
        <v>0</v>
      </c>
      <c r="D371" s="175"/>
      <c r="E371" s="175"/>
    </row>
    <row r="372" spans="1:5" ht="12.6" customHeight="1" x14ac:dyDescent="0.25">
      <c r="A372" s="173" t="s">
        <v>439</v>
      </c>
      <c r="B372" s="175"/>
      <c r="C372" s="189"/>
      <c r="D372" s="175">
        <f>SUM(C370:C371)</f>
        <v>8262923.6799999997</v>
      </c>
      <c r="E372" s="175"/>
    </row>
    <row r="373" spans="1:5" ht="12.6" customHeight="1" x14ac:dyDescent="0.25">
      <c r="A373" s="173" t="s">
        <v>440</v>
      </c>
      <c r="B373" s="175"/>
      <c r="C373" s="189"/>
      <c r="D373" s="175">
        <f>D368+D372</f>
        <v>189016309.79000014</v>
      </c>
      <c r="E373" s="175"/>
    </row>
    <row r="374" spans="1:5" ht="12.6" customHeight="1" x14ac:dyDescent="0.25">
      <c r="A374" s="173"/>
      <c r="B374" s="175"/>
      <c r="C374" s="189"/>
      <c r="D374" s="175"/>
      <c r="E374" s="175"/>
    </row>
    <row r="375" spans="1:5" ht="12.6" customHeight="1" x14ac:dyDescent="0.25">
      <c r="A375" s="173"/>
      <c r="B375" s="175"/>
      <c r="C375" s="189"/>
      <c r="D375" s="175"/>
      <c r="E375" s="175"/>
    </row>
    <row r="376" spans="1:5" ht="12.6" customHeight="1" x14ac:dyDescent="0.25">
      <c r="A376" s="173"/>
      <c r="B376" s="175"/>
      <c r="C376" s="189"/>
      <c r="D376" s="175"/>
      <c r="E376" s="175"/>
    </row>
    <row r="377" spans="1:5" ht="12.6" customHeight="1" x14ac:dyDescent="0.25">
      <c r="A377" s="253" t="s">
        <v>441</v>
      </c>
      <c r="B377" s="253"/>
      <c r="C377" s="253"/>
      <c r="D377" s="253"/>
      <c r="E377" s="253"/>
    </row>
    <row r="378" spans="1:5" ht="12.6" customHeight="1" x14ac:dyDescent="0.25">
      <c r="A378" s="173" t="s">
        <v>442</v>
      </c>
      <c r="B378" s="172" t="s">
        <v>256</v>
      </c>
      <c r="C378" s="187">
        <f>67268843.22+2288123.65</f>
        <v>69556966.870000005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7">
        <v>15636202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7">
        <v>6792352.7199999997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7">
        <v>27170157.09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7">
        <v>1304921.55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7">
        <f>22279.37+33487162.53+1249763.21+1568393.86</f>
        <v>36327598.969999999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7">
        <v>12756247.26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7">
        <v>3912005.04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7">
        <v>1730796.8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7">
        <v>4792033.6399999997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7">
        <v>762492.78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7">
        <f>86646.52+129243.46+186896.42+222.23+17944.47+35409.01+3898602.99+999624.04+15809.69+58890.51</f>
        <v>5429289.3400000008</v>
      </c>
      <c r="D389" s="175"/>
      <c r="E389" s="175"/>
    </row>
    <row r="390" spans="1:6" ht="12.6" customHeight="1" x14ac:dyDescent="0.25">
      <c r="A390" s="173" t="s">
        <v>452</v>
      </c>
      <c r="B390" s="175"/>
      <c r="C390" s="189"/>
      <c r="D390" s="175">
        <f>SUM(C378:C389)</f>
        <v>186171064.05999997</v>
      </c>
      <c r="E390" s="175"/>
    </row>
    <row r="391" spans="1:6" ht="12.6" customHeight="1" x14ac:dyDescent="0.25">
      <c r="A391" s="173" t="s">
        <v>453</v>
      </c>
      <c r="B391" s="175"/>
      <c r="C391" s="189"/>
      <c r="D391" s="175">
        <f>D373-D390</f>
        <v>2845245.7300001681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7">
        <v>-87373.09</v>
      </c>
      <c r="D392" s="175"/>
      <c r="E392" s="175"/>
    </row>
    <row r="393" spans="1:6" ht="12.6" customHeight="1" x14ac:dyDescent="0.25">
      <c r="A393" s="173" t="s">
        <v>455</v>
      </c>
      <c r="B393" s="175"/>
      <c r="C393" s="189"/>
      <c r="D393" s="193">
        <f>D391+C392</f>
        <v>2757872.6400001682</v>
      </c>
      <c r="E393" s="175"/>
      <c r="F393" s="195"/>
    </row>
    <row r="394" spans="1:6" ht="12.6" customHeight="1" x14ac:dyDescent="0.25">
      <c r="A394" s="173" t="s">
        <v>456</v>
      </c>
      <c r="B394" s="172" t="s">
        <v>256</v>
      </c>
      <c r="C394" s="187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7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89"/>
      <c r="D396" s="175">
        <f>D393+C394-C395</f>
        <v>2757872.6400001682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St. Anthony Hospital   H-0     FYE 06/30/2019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5254</v>
      </c>
      <c r="C414" s="192">
        <f>E138</f>
        <v>5254</v>
      </c>
      <c r="D414" s="179"/>
    </row>
    <row r="415" spans="1:5" ht="12.6" customHeight="1" x14ac:dyDescent="0.25">
      <c r="A415" s="179" t="s">
        <v>464</v>
      </c>
      <c r="B415" s="179">
        <f>D111</f>
        <v>25207</v>
      </c>
      <c r="C415" s="179">
        <f>E139</f>
        <v>25207</v>
      </c>
      <c r="D415" s="192">
        <f>SUM(C59:H59)+N59</f>
        <v>25207</v>
      </c>
    </row>
    <row r="416" spans="1:5" ht="12.6" customHeight="1" x14ac:dyDescent="0.25">
      <c r="A416" s="179"/>
      <c r="B416" s="179"/>
      <c r="C416" s="192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2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2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4"/>
      <c r="B422" s="204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4"/>
      <c r="B425" s="204"/>
      <c r="C425" s="204"/>
      <c r="D425" s="204"/>
      <c r="F425" s="204"/>
      <c r="G425" s="204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69556966.870000005</v>
      </c>
      <c r="C427" s="179">
        <f t="shared" ref="C427:C434" si="13">CE61</f>
        <v>69556966.86999999</v>
      </c>
      <c r="D427" s="179"/>
    </row>
    <row r="428" spans="1:7" ht="12.6" customHeight="1" x14ac:dyDescent="0.25">
      <c r="A428" s="179" t="s">
        <v>3</v>
      </c>
      <c r="B428" s="179">
        <f t="shared" si="12"/>
        <v>15636202</v>
      </c>
      <c r="C428" s="179">
        <f t="shared" si="13"/>
        <v>15636201</v>
      </c>
      <c r="D428" s="179">
        <f>D173</f>
        <v>15636201.580000004</v>
      </c>
    </row>
    <row r="429" spans="1:7" ht="12.6" customHeight="1" x14ac:dyDescent="0.25">
      <c r="A429" s="179" t="s">
        <v>236</v>
      </c>
      <c r="B429" s="179">
        <f t="shared" si="12"/>
        <v>6792352.7199999997</v>
      </c>
      <c r="C429" s="179">
        <f t="shared" si="13"/>
        <v>6792352.4100000001</v>
      </c>
      <c r="D429" s="179"/>
    </row>
    <row r="430" spans="1:7" ht="12.6" customHeight="1" x14ac:dyDescent="0.25">
      <c r="A430" s="179" t="s">
        <v>237</v>
      </c>
      <c r="B430" s="179">
        <f t="shared" si="12"/>
        <v>27170157.09</v>
      </c>
      <c r="C430" s="179">
        <f t="shared" si="13"/>
        <v>27170157.069999993</v>
      </c>
      <c r="D430" s="179"/>
    </row>
    <row r="431" spans="1:7" ht="12.6" customHeight="1" x14ac:dyDescent="0.25">
      <c r="A431" s="179" t="s">
        <v>444</v>
      </c>
      <c r="B431" s="179">
        <f t="shared" si="12"/>
        <v>1304921.55</v>
      </c>
      <c r="C431" s="179">
        <f t="shared" si="13"/>
        <v>1304921.55</v>
      </c>
      <c r="D431" s="179"/>
    </row>
    <row r="432" spans="1:7" ht="12.6" customHeight="1" x14ac:dyDescent="0.25">
      <c r="A432" s="179" t="s">
        <v>445</v>
      </c>
      <c r="B432" s="179">
        <f t="shared" si="12"/>
        <v>36327598.969999999</v>
      </c>
      <c r="C432" s="179">
        <f t="shared" si="13"/>
        <v>36327598.815589316</v>
      </c>
      <c r="D432" s="179"/>
    </row>
    <row r="433" spans="1:7" ht="12.6" customHeight="1" x14ac:dyDescent="0.25">
      <c r="A433" s="179" t="s">
        <v>6</v>
      </c>
      <c r="B433" s="179">
        <f t="shared" si="12"/>
        <v>12756247.26</v>
      </c>
      <c r="C433" s="179">
        <f t="shared" si="13"/>
        <v>12756247</v>
      </c>
      <c r="D433" s="179">
        <f>C217</f>
        <v>12756246.779999999</v>
      </c>
    </row>
    <row r="434" spans="1:7" ht="12.6" customHeight="1" x14ac:dyDescent="0.25">
      <c r="A434" s="179" t="s">
        <v>474</v>
      </c>
      <c r="B434" s="179">
        <f t="shared" si="12"/>
        <v>3912005.04</v>
      </c>
      <c r="C434" s="179">
        <f t="shared" si="13"/>
        <v>3912005.31</v>
      </c>
      <c r="D434" s="179">
        <f>D177</f>
        <v>3912005.04</v>
      </c>
    </row>
    <row r="435" spans="1:7" ht="12.6" customHeight="1" x14ac:dyDescent="0.25">
      <c r="A435" s="179" t="s">
        <v>447</v>
      </c>
      <c r="B435" s="179">
        <f t="shared" si="12"/>
        <v>1730796.8</v>
      </c>
      <c r="C435" s="179"/>
      <c r="D435" s="179">
        <f>D181</f>
        <v>1730796.8</v>
      </c>
    </row>
    <row r="436" spans="1:7" ht="12.6" customHeight="1" x14ac:dyDescent="0.25">
      <c r="A436" s="179" t="s">
        <v>475</v>
      </c>
      <c r="B436" s="179">
        <f t="shared" si="12"/>
        <v>4792033.6399999997</v>
      </c>
      <c r="C436" s="179"/>
      <c r="D436" s="179">
        <f>D186</f>
        <v>4792033.6399999997</v>
      </c>
    </row>
    <row r="437" spans="1:7" ht="12.6" customHeight="1" x14ac:dyDescent="0.25">
      <c r="A437" s="192" t="s">
        <v>449</v>
      </c>
      <c r="B437" s="192">
        <f t="shared" si="12"/>
        <v>762492.78</v>
      </c>
      <c r="C437" s="192"/>
      <c r="D437" s="192">
        <f>D190</f>
        <v>762492.78</v>
      </c>
    </row>
    <row r="438" spans="1:7" ht="12.6" customHeight="1" x14ac:dyDescent="0.25">
      <c r="A438" s="192" t="s">
        <v>476</v>
      </c>
      <c r="B438" s="192">
        <f>C386+C387+C388</f>
        <v>7285323.2199999997</v>
      </c>
      <c r="C438" s="192">
        <f>CD69</f>
        <v>7285323</v>
      </c>
      <c r="D438" s="192">
        <f>D181+D186+D190</f>
        <v>7285323.2199999997</v>
      </c>
    </row>
    <row r="439" spans="1:7" ht="12.6" customHeight="1" x14ac:dyDescent="0.25">
      <c r="A439" s="179" t="s">
        <v>451</v>
      </c>
      <c r="B439" s="192">
        <f>C389</f>
        <v>5429289.3400000008</v>
      </c>
      <c r="C439" s="192">
        <f>SUM(C69:CC69)</f>
        <v>5429290.2600000016</v>
      </c>
      <c r="D439" s="179"/>
    </row>
    <row r="440" spans="1:7" ht="12.6" customHeight="1" x14ac:dyDescent="0.25">
      <c r="A440" s="179" t="s">
        <v>477</v>
      </c>
      <c r="B440" s="192">
        <f>B438+B439</f>
        <v>12714612.560000001</v>
      </c>
      <c r="C440" s="192">
        <f>CE69</f>
        <v>12714613.260000002</v>
      </c>
      <c r="D440" s="179"/>
    </row>
    <row r="441" spans="1:7" ht="12.6" customHeight="1" x14ac:dyDescent="0.25">
      <c r="A441" s="179" t="s">
        <v>478</v>
      </c>
      <c r="B441" s="179">
        <f>D390</f>
        <v>186171064.05999997</v>
      </c>
      <c r="C441" s="179">
        <f>SUM(C427:C437)+C440</f>
        <v>186171063.28558928</v>
      </c>
      <c r="D441" s="179"/>
    </row>
    <row r="442" spans="1:7" ht="12.6" customHeight="1" x14ac:dyDescent="0.25">
      <c r="A442" s="204"/>
      <c r="B442" s="204"/>
      <c r="C442" s="204"/>
      <c r="D442" s="204"/>
      <c r="F442" s="204"/>
      <c r="G442" s="204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5026728.3</v>
      </c>
      <c r="C444" s="179">
        <f>C363</f>
        <v>5026728.3</v>
      </c>
      <c r="D444" s="179"/>
    </row>
    <row r="445" spans="1:7" ht="12.6" customHeight="1" x14ac:dyDescent="0.25">
      <c r="A445" s="179" t="s">
        <v>343</v>
      </c>
      <c r="B445" s="179">
        <f>D229</f>
        <v>683142665.83000004</v>
      </c>
      <c r="C445" s="179">
        <f>C364</f>
        <v>683142665.82999992</v>
      </c>
      <c r="D445" s="179"/>
    </row>
    <row r="446" spans="1:7" ht="12.6" customHeight="1" x14ac:dyDescent="0.25">
      <c r="A446" s="179" t="s">
        <v>351</v>
      </c>
      <c r="B446" s="179">
        <f>D236</f>
        <v>6434697.3399999999</v>
      </c>
      <c r="C446" s="179">
        <f>C365</f>
        <v>6434697.3399999999</v>
      </c>
      <c r="D446" s="179"/>
    </row>
    <row r="447" spans="1:7" ht="12.6" customHeight="1" x14ac:dyDescent="0.25">
      <c r="A447" s="179" t="s">
        <v>356</v>
      </c>
      <c r="B447" s="179">
        <f>D240</f>
        <v>8197590.3399999999</v>
      </c>
      <c r="C447" s="179">
        <f>C366</f>
        <v>8197590.3399999999</v>
      </c>
      <c r="D447" s="179"/>
    </row>
    <row r="448" spans="1:7" ht="12.6" customHeight="1" x14ac:dyDescent="0.25">
      <c r="A448" s="179" t="s">
        <v>358</v>
      </c>
      <c r="B448" s="179">
        <f>D242</f>
        <v>702801681.81000006</v>
      </c>
      <c r="C448" s="179">
        <f>D367</f>
        <v>702801681.80999994</v>
      </c>
      <c r="D448" s="179"/>
    </row>
    <row r="449" spans="1:7" ht="12.6" customHeight="1" x14ac:dyDescent="0.25">
      <c r="A449" s="204"/>
      <c r="B449" s="204"/>
      <c r="C449" s="204"/>
      <c r="D449" s="204"/>
      <c r="F449" s="204"/>
      <c r="G449" s="204"/>
    </row>
    <row r="450" spans="1:7" ht="12.6" customHeight="1" x14ac:dyDescent="0.25">
      <c r="A450" s="180" t="s">
        <v>481</v>
      </c>
      <c r="B450" s="181" t="s">
        <v>482</v>
      </c>
      <c r="C450" s="204"/>
      <c r="D450" s="204"/>
      <c r="F450" s="204"/>
      <c r="G450" s="204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7" t="s">
        <v>484</v>
      </c>
      <c r="B453" s="180">
        <f>C231</f>
        <v>2875</v>
      </c>
    </row>
    <row r="454" spans="1:7" ht="12.6" customHeight="1" x14ac:dyDescent="0.25">
      <c r="A454" s="179" t="s">
        <v>168</v>
      </c>
      <c r="B454" s="179">
        <f>C233</f>
        <v>2410737.52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4023959.8200000003</v>
      </c>
      <c r="C455" s="179"/>
      <c r="D455" s="179"/>
    </row>
    <row r="456" spans="1:7" ht="12.6" customHeight="1" x14ac:dyDescent="0.25">
      <c r="A456" s="204"/>
      <c r="B456" s="204"/>
      <c r="C456" s="204"/>
      <c r="D456" s="204"/>
      <c r="F456" s="204"/>
      <c r="G456" s="204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2">
        <f>C370</f>
        <v>8262923.6799999997</v>
      </c>
      <c r="C458" s="192">
        <f>CE70</f>
        <v>8262923.6300000008</v>
      </c>
      <c r="D458" s="192"/>
    </row>
    <row r="459" spans="1:7" ht="12.6" customHeight="1" x14ac:dyDescent="0.25">
      <c r="A459" s="179" t="s">
        <v>244</v>
      </c>
      <c r="B459" s="192">
        <f>C371</f>
        <v>0</v>
      </c>
      <c r="C459" s="192">
        <f>CE72</f>
        <v>0</v>
      </c>
      <c r="D459" s="192"/>
    </row>
    <row r="460" spans="1:7" ht="12.6" customHeight="1" x14ac:dyDescent="0.25">
      <c r="A460" s="204"/>
      <c r="B460" s="204"/>
      <c r="C460" s="204"/>
      <c r="D460" s="204"/>
      <c r="F460" s="204"/>
      <c r="G460" s="204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2">
        <f>C359</f>
        <v>368866363.00999999</v>
      </c>
      <c r="C463" s="192">
        <f>CE73</f>
        <v>368866362.50999999</v>
      </c>
      <c r="D463" s="192">
        <f>E141+E147+E153</f>
        <v>368866363.00999999</v>
      </c>
    </row>
    <row r="464" spans="1:7" ht="12.6" customHeight="1" x14ac:dyDescent="0.25">
      <c r="A464" s="179" t="s">
        <v>246</v>
      </c>
      <c r="B464" s="192">
        <f>C360</f>
        <v>514688704.91000003</v>
      </c>
      <c r="C464" s="192">
        <f>CE74</f>
        <v>514688705.34000003</v>
      </c>
      <c r="D464" s="192">
        <f>E142+E148+E154</f>
        <v>514688704.88</v>
      </c>
    </row>
    <row r="465" spans="1:7" ht="12.6" customHeight="1" x14ac:dyDescent="0.25">
      <c r="A465" s="179" t="s">
        <v>247</v>
      </c>
      <c r="B465" s="192">
        <f>D361</f>
        <v>883555067.92000008</v>
      </c>
      <c r="C465" s="192">
        <f>CE75</f>
        <v>883555067.8499999</v>
      </c>
      <c r="D465" s="192">
        <f>D463+D464</f>
        <v>883555067.88999999</v>
      </c>
    </row>
    <row r="466" spans="1:7" ht="12.6" customHeight="1" x14ac:dyDescent="0.25">
      <c r="A466" s="204"/>
      <c r="B466" s="204"/>
      <c r="C466" s="204"/>
      <c r="D466" s="204"/>
      <c r="F466" s="204"/>
      <c r="G466" s="204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3531776.4</v>
      </c>
      <c r="C468" s="179">
        <f>E195</f>
        <v>3531776</v>
      </c>
      <c r="D468" s="179"/>
    </row>
    <row r="469" spans="1:7" ht="12.6" customHeight="1" x14ac:dyDescent="0.25">
      <c r="A469" s="179" t="s">
        <v>333</v>
      </c>
      <c r="B469" s="179">
        <f t="shared" si="14"/>
        <v>2067269.5</v>
      </c>
      <c r="C469" s="179">
        <f>E196</f>
        <v>2067270</v>
      </c>
      <c r="D469" s="179"/>
    </row>
    <row r="470" spans="1:7" ht="12.6" customHeight="1" x14ac:dyDescent="0.25">
      <c r="A470" s="179" t="s">
        <v>334</v>
      </c>
      <c r="B470" s="179">
        <f t="shared" si="14"/>
        <v>134516969.13999999</v>
      </c>
      <c r="C470" s="179">
        <f>E197</f>
        <v>134516969</v>
      </c>
      <c r="D470" s="179"/>
    </row>
    <row r="471" spans="1:7" ht="12.6" customHeight="1" x14ac:dyDescent="0.25">
      <c r="A471" s="179" t="s">
        <v>494</v>
      </c>
      <c r="B471" s="179">
        <f t="shared" si="14"/>
        <v>15859863.65</v>
      </c>
      <c r="C471" s="179">
        <f>E198</f>
        <v>15859863.75</v>
      </c>
      <c r="D471" s="179"/>
    </row>
    <row r="472" spans="1:7" ht="12.6" customHeight="1" x14ac:dyDescent="0.25">
      <c r="A472" s="179" t="s">
        <v>377</v>
      </c>
      <c r="B472" s="179">
        <f t="shared" si="14"/>
        <v>1120173.95</v>
      </c>
      <c r="C472" s="179">
        <f>E199</f>
        <v>1120173.42</v>
      </c>
      <c r="D472" s="179"/>
    </row>
    <row r="473" spans="1:7" ht="12.6" customHeight="1" x14ac:dyDescent="0.25">
      <c r="A473" s="179" t="s">
        <v>495</v>
      </c>
      <c r="B473" s="179">
        <f t="shared" si="14"/>
        <v>78299793.319999993</v>
      </c>
      <c r="C473" s="179">
        <f>SUM(E200:E201)</f>
        <v>78299795.560000002</v>
      </c>
      <c r="D473" s="179"/>
    </row>
    <row r="474" spans="1:7" ht="12.6" customHeight="1" x14ac:dyDescent="0.25">
      <c r="A474" s="179" t="s">
        <v>339</v>
      </c>
      <c r="B474" s="179">
        <f t="shared" si="14"/>
        <v>9821119.3499999996</v>
      </c>
      <c r="C474" s="179">
        <f>E202</f>
        <v>9821119.1699999999</v>
      </c>
      <c r="D474" s="179"/>
    </row>
    <row r="475" spans="1:7" ht="12.6" customHeight="1" x14ac:dyDescent="0.25">
      <c r="A475" s="179" t="s">
        <v>340</v>
      </c>
      <c r="B475" s="179">
        <f t="shared" si="14"/>
        <v>260409.8</v>
      </c>
      <c r="C475" s="179">
        <f>E203</f>
        <v>260409.11999999965</v>
      </c>
      <c r="D475" s="179"/>
    </row>
    <row r="476" spans="1:7" ht="12.6" customHeight="1" x14ac:dyDescent="0.25">
      <c r="A476" s="179" t="s">
        <v>203</v>
      </c>
      <c r="B476" s="179">
        <f>D275</f>
        <v>245477375.10999998</v>
      </c>
      <c r="C476" s="179">
        <f>E204</f>
        <v>245477376.01999998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125934532.73999999</v>
      </c>
      <c r="C478" s="179">
        <f>E217</f>
        <v>125934533.51000001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149991098.00999999</v>
      </c>
    </row>
    <row r="482" spans="1:12" ht="12.6" customHeight="1" x14ac:dyDescent="0.25">
      <c r="A482" s="180" t="s">
        <v>499</v>
      </c>
      <c r="C482" s="180">
        <f>D339</f>
        <v>149991098.00999999</v>
      </c>
    </row>
    <row r="485" spans="1:12" ht="12.6" customHeight="1" x14ac:dyDescent="0.25">
      <c r="A485" s="197" t="s">
        <v>500</v>
      </c>
    </row>
    <row r="486" spans="1:12" ht="12.6" customHeight="1" x14ac:dyDescent="0.25">
      <c r="A486" s="197" t="s">
        <v>501</v>
      </c>
    </row>
    <row r="487" spans="1:12" ht="12.6" customHeight="1" x14ac:dyDescent="0.25">
      <c r="A487" s="197" t="s">
        <v>502</v>
      </c>
    </row>
    <row r="488" spans="1:12" ht="12.6" customHeight="1" x14ac:dyDescent="0.25">
      <c r="A488" s="197"/>
    </row>
    <row r="489" spans="1:12" ht="12.6" customHeight="1" x14ac:dyDescent="0.25">
      <c r="A489" s="196" t="s">
        <v>503</v>
      </c>
    </row>
    <row r="490" spans="1:12" ht="12.6" customHeight="1" x14ac:dyDescent="0.25">
      <c r="A490" s="197" t="s">
        <v>504</v>
      </c>
    </row>
    <row r="491" spans="1:12" ht="12.6" customHeight="1" x14ac:dyDescent="0.25">
      <c r="A491" s="197"/>
    </row>
    <row r="493" spans="1:12" ht="12.6" customHeight="1" x14ac:dyDescent="0.25">
      <c r="A493" s="180" t="str">
        <f>C83</f>
        <v>209</v>
      </c>
      <c r="B493" s="257" t="str">
        <f>RIGHT('Prior Year'!C82,4)</f>
        <v>2018</v>
      </c>
      <c r="C493" s="257" t="str">
        <f>RIGHT(C82,4)</f>
        <v>2019</v>
      </c>
      <c r="D493" s="257" t="str">
        <f>RIGHT('Prior Year'!C82,4)</f>
        <v>2018</v>
      </c>
      <c r="E493" s="257" t="str">
        <f>RIGHT(C82,4)</f>
        <v>2019</v>
      </c>
      <c r="F493" s="257" t="str">
        <f>RIGHT('Prior Year'!C82,4)</f>
        <v>2018</v>
      </c>
      <c r="G493" s="257" t="str">
        <f>RIGHT(C82,4)</f>
        <v>2019</v>
      </c>
      <c r="H493" s="257"/>
      <c r="K493" s="257"/>
      <c r="L493" s="257"/>
    </row>
    <row r="494" spans="1:12" ht="12.6" customHeight="1" x14ac:dyDescent="0.25">
      <c r="A494" s="196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f>'Prior Year'!C71</f>
        <v>6739971.9700000007</v>
      </c>
      <c r="C496" s="236">
        <f>C71</f>
        <v>6675443.0299999993</v>
      </c>
      <c r="D496" s="236">
        <f>'Prior Year'!C59</f>
        <v>4785</v>
      </c>
      <c r="E496" s="180">
        <f>C59</f>
        <v>4655</v>
      </c>
      <c r="F496" s="259">
        <f t="shared" ref="F496:G511" si="15">IF(B496=0,"",IF(D496=0,"",B496/D496))</f>
        <v>1408.5625851619645</v>
      </c>
      <c r="G496" s="260">
        <f t="shared" si="15"/>
        <v>1434.037170784103</v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f>'Prior Year'!D71</f>
        <v>0</v>
      </c>
      <c r="C497" s="236">
        <f>D71</f>
        <v>0</v>
      </c>
      <c r="D497" s="236">
        <f>'Prior Year'!D59</f>
        <v>0</v>
      </c>
      <c r="E497" s="180">
        <f>D59</f>
        <v>0</v>
      </c>
      <c r="F497" s="259" t="str">
        <f t="shared" si="15"/>
        <v/>
      </c>
      <c r="G497" s="259" t="str">
        <f t="shared" si="15"/>
        <v/>
      </c>
      <c r="H497" s="261" t="str">
        <f t="shared" ref="H497:H550" si="16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f>'Prior Year'!E71</f>
        <v>10746701.619999999</v>
      </c>
      <c r="C498" s="236">
        <f>E71</f>
        <v>13295676.354359997</v>
      </c>
      <c r="D498" s="236">
        <f>'Prior Year'!E59</f>
        <v>21515</v>
      </c>
      <c r="E498" s="180">
        <f>E59</f>
        <v>20552</v>
      </c>
      <c r="F498" s="259">
        <f t="shared" si="15"/>
        <v>499.49809993028117</v>
      </c>
      <c r="G498" s="259">
        <f t="shared" si="15"/>
        <v>646.9285886706889</v>
      </c>
      <c r="H498" s="261">
        <f t="shared" si="16"/>
        <v>0.29515725637592172</v>
      </c>
      <c r="I498" s="263" t="s">
        <v>1476</v>
      </c>
      <c r="K498" s="257"/>
      <c r="L498" s="257"/>
    </row>
    <row r="499" spans="1:12" ht="12.6" customHeight="1" x14ac:dyDescent="0.25">
      <c r="A499" s="180" t="s">
        <v>515</v>
      </c>
      <c r="B499" s="236">
        <f>'Prior Year'!F71</f>
        <v>0</v>
      </c>
      <c r="C499" s="236">
        <f>F71</f>
        <v>0</v>
      </c>
      <c r="D499" s="236">
        <f>'Prior Year'!F59</f>
        <v>0</v>
      </c>
      <c r="E499" s="180">
        <f>F59</f>
        <v>0</v>
      </c>
      <c r="F499" s="259" t="str">
        <f t="shared" si="15"/>
        <v/>
      </c>
      <c r="G499" s="259" t="str">
        <f t="shared" si="15"/>
        <v/>
      </c>
      <c r="H499" s="261" t="str">
        <f t="shared" si="16"/>
        <v/>
      </c>
      <c r="I499" s="263"/>
      <c r="K499" s="257"/>
      <c r="L499" s="257"/>
    </row>
    <row r="500" spans="1:12" ht="12.6" customHeight="1" x14ac:dyDescent="0.25">
      <c r="A500" s="180" t="s">
        <v>516</v>
      </c>
      <c r="B500" s="236">
        <f>'Prior Year'!G71</f>
        <v>0</v>
      </c>
      <c r="C500" s="236">
        <f>G71</f>
        <v>36414.53284</v>
      </c>
      <c r="D500" s="236">
        <f>'Prior Year'!G59</f>
        <v>0</v>
      </c>
      <c r="E500" s="180">
        <f>G59</f>
        <v>0</v>
      </c>
      <c r="F500" s="259" t="str">
        <f t="shared" si="15"/>
        <v/>
      </c>
      <c r="G500" s="259" t="str">
        <f t="shared" si="15"/>
        <v/>
      </c>
      <c r="H500" s="261" t="str">
        <f t="shared" si="16"/>
        <v/>
      </c>
      <c r="I500" s="263"/>
      <c r="K500" s="257"/>
      <c r="L500" s="257"/>
    </row>
    <row r="501" spans="1:12" ht="12.6" customHeight="1" x14ac:dyDescent="0.25">
      <c r="A501" s="180" t="s">
        <v>517</v>
      </c>
      <c r="B501" s="236">
        <f>'Prior Year'!H71</f>
        <v>0</v>
      </c>
      <c r="C501" s="236">
        <f>H71</f>
        <v>0</v>
      </c>
      <c r="D501" s="236">
        <f>'Prior Year'!H59</f>
        <v>0</v>
      </c>
      <c r="E501" s="180">
        <f>H59</f>
        <v>0</v>
      </c>
      <c r="F501" s="259" t="str">
        <f t="shared" si="15"/>
        <v/>
      </c>
      <c r="G501" s="259" t="str">
        <f t="shared" si="15"/>
        <v/>
      </c>
      <c r="H501" s="261" t="str">
        <f t="shared" si="16"/>
        <v/>
      </c>
      <c r="I501" s="263"/>
      <c r="K501" s="257"/>
      <c r="L501" s="257"/>
    </row>
    <row r="502" spans="1:12" ht="12.6" customHeight="1" x14ac:dyDescent="0.25">
      <c r="A502" s="180" t="s">
        <v>518</v>
      </c>
      <c r="B502" s="236">
        <f>'Prior Year'!I71</f>
        <v>0</v>
      </c>
      <c r="C502" s="236">
        <f>I71</f>
        <v>0</v>
      </c>
      <c r="D502" s="236">
        <f>'Prior Year'!I59</f>
        <v>0</v>
      </c>
      <c r="E502" s="180">
        <f>I59</f>
        <v>0</v>
      </c>
      <c r="F502" s="259" t="str">
        <f t="shared" si="15"/>
        <v/>
      </c>
      <c r="G502" s="259" t="str">
        <f t="shared" si="15"/>
        <v/>
      </c>
      <c r="H502" s="261" t="str">
        <f t="shared" si="16"/>
        <v/>
      </c>
      <c r="I502" s="263"/>
      <c r="K502" s="257"/>
      <c r="L502" s="257"/>
    </row>
    <row r="503" spans="1:12" ht="12.6" customHeight="1" x14ac:dyDescent="0.25">
      <c r="A503" s="180" t="s">
        <v>519</v>
      </c>
      <c r="B503" s="236">
        <f>'Prior Year'!J71</f>
        <v>0</v>
      </c>
      <c r="C503" s="236">
        <f>J71</f>
        <v>0</v>
      </c>
      <c r="D503" s="236">
        <f>'Prior Year'!J59</f>
        <v>0</v>
      </c>
      <c r="E503" s="180">
        <f>J59</f>
        <v>0</v>
      </c>
      <c r="F503" s="259" t="str">
        <f t="shared" si="15"/>
        <v/>
      </c>
      <c r="G503" s="259" t="str">
        <f t="shared" si="15"/>
        <v/>
      </c>
      <c r="H503" s="261" t="str">
        <f t="shared" si="16"/>
        <v/>
      </c>
      <c r="I503" s="263"/>
      <c r="K503" s="257"/>
      <c r="L503" s="257"/>
    </row>
    <row r="504" spans="1:12" ht="12.6" customHeight="1" x14ac:dyDescent="0.25">
      <c r="A504" s="180" t="s">
        <v>520</v>
      </c>
      <c r="B504" s="236">
        <f>'Prior Year'!K71</f>
        <v>0</v>
      </c>
      <c r="C504" s="236">
        <f>K71</f>
        <v>0</v>
      </c>
      <c r="D504" s="236">
        <f>'Prior Year'!K59</f>
        <v>0</v>
      </c>
      <c r="E504" s="180">
        <f>K59</f>
        <v>0</v>
      </c>
      <c r="F504" s="259" t="str">
        <f t="shared" si="15"/>
        <v/>
      </c>
      <c r="G504" s="259" t="str">
        <f t="shared" si="15"/>
        <v/>
      </c>
      <c r="H504" s="261" t="str">
        <f t="shared" si="16"/>
        <v/>
      </c>
      <c r="I504" s="263"/>
      <c r="K504" s="257"/>
      <c r="L504" s="257"/>
    </row>
    <row r="505" spans="1:12" ht="12.6" customHeight="1" x14ac:dyDescent="0.25">
      <c r="A505" s="180" t="s">
        <v>521</v>
      </c>
      <c r="B505" s="236">
        <f>'Prior Year'!L71</f>
        <v>0</v>
      </c>
      <c r="C505" s="236">
        <f>L71</f>
        <v>0</v>
      </c>
      <c r="D505" s="236">
        <f>'Prior Year'!L59</f>
        <v>0</v>
      </c>
      <c r="E505" s="180">
        <f>L59</f>
        <v>0</v>
      </c>
      <c r="F505" s="259" t="str">
        <f t="shared" si="15"/>
        <v/>
      </c>
      <c r="G505" s="259" t="str">
        <f t="shared" si="15"/>
        <v/>
      </c>
      <c r="H505" s="261" t="str">
        <f t="shared" si="16"/>
        <v/>
      </c>
      <c r="I505" s="263"/>
      <c r="K505" s="257"/>
      <c r="L505" s="257"/>
    </row>
    <row r="506" spans="1:12" ht="12.6" customHeight="1" x14ac:dyDescent="0.25">
      <c r="A506" s="180" t="s">
        <v>522</v>
      </c>
      <c r="B506" s="236">
        <f>'Prior Year'!M71</f>
        <v>0</v>
      </c>
      <c r="C506" s="236">
        <f>M71</f>
        <v>0</v>
      </c>
      <c r="D506" s="236">
        <f>'Prior Year'!M59</f>
        <v>0</v>
      </c>
      <c r="E506" s="180">
        <f>M59</f>
        <v>0</v>
      </c>
      <c r="F506" s="259" t="str">
        <f t="shared" si="15"/>
        <v/>
      </c>
      <c r="G506" s="259" t="str">
        <f t="shared" si="15"/>
        <v/>
      </c>
      <c r="H506" s="261" t="str">
        <f t="shared" si="16"/>
        <v/>
      </c>
      <c r="I506" s="263"/>
      <c r="K506" s="257"/>
      <c r="L506" s="257"/>
    </row>
    <row r="507" spans="1:12" ht="12.6" customHeight="1" x14ac:dyDescent="0.25">
      <c r="A507" s="180" t="s">
        <v>523</v>
      </c>
      <c r="B507" s="236">
        <f>'Prior Year'!N71</f>
        <v>0</v>
      </c>
      <c r="C507" s="236">
        <f>N71</f>
        <v>0</v>
      </c>
      <c r="D507" s="236">
        <f>'Prior Year'!N59</f>
        <v>0</v>
      </c>
      <c r="E507" s="180">
        <f>N59</f>
        <v>0</v>
      </c>
      <c r="F507" s="259" t="str">
        <f t="shared" si="15"/>
        <v/>
      </c>
      <c r="G507" s="259" t="str">
        <f t="shared" si="15"/>
        <v/>
      </c>
      <c r="H507" s="261" t="str">
        <f t="shared" si="16"/>
        <v/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f>'Prior Year'!O71</f>
        <v>0</v>
      </c>
      <c r="C508" s="236">
        <f>O71</f>
        <v>0</v>
      </c>
      <c r="D508" s="236">
        <f>'Prior Year'!O59</f>
        <v>0</v>
      </c>
      <c r="E508" s="180">
        <f>O59</f>
        <v>0</v>
      </c>
      <c r="F508" s="259" t="str">
        <f t="shared" si="15"/>
        <v/>
      </c>
      <c r="G508" s="259" t="str">
        <f t="shared" si="15"/>
        <v/>
      </c>
      <c r="H508" s="261" t="str">
        <f t="shared" si="16"/>
        <v/>
      </c>
      <c r="I508" s="263"/>
      <c r="K508" s="257"/>
      <c r="L508" s="257"/>
    </row>
    <row r="509" spans="1:12" ht="12.6" customHeight="1" x14ac:dyDescent="0.25">
      <c r="A509" s="180" t="s">
        <v>525</v>
      </c>
      <c r="B509" s="236">
        <f>'Prior Year'!P71</f>
        <v>26762420.380002581</v>
      </c>
      <c r="C509" s="236">
        <f>P71</f>
        <v>29759654.784159996</v>
      </c>
      <c r="D509" s="236">
        <f>'Prior Year'!P59</f>
        <v>484912</v>
      </c>
      <c r="E509" s="180">
        <f>P59</f>
        <v>526663</v>
      </c>
      <c r="F509" s="259">
        <f t="shared" si="15"/>
        <v>55.190262109418988</v>
      </c>
      <c r="G509" s="259">
        <f t="shared" si="15"/>
        <v>56.506067037479369</v>
      </c>
      <c r="H509" s="261" t="str">
        <f t="shared" si="16"/>
        <v/>
      </c>
      <c r="I509" s="263"/>
      <c r="K509" s="257"/>
      <c r="L509" s="257"/>
    </row>
    <row r="510" spans="1:12" ht="12.6" customHeight="1" x14ac:dyDescent="0.25">
      <c r="A510" s="180" t="s">
        <v>526</v>
      </c>
      <c r="B510" s="236">
        <f>'Prior Year'!Q71</f>
        <v>3458326.9</v>
      </c>
      <c r="C510" s="236">
        <f>Q71</f>
        <v>3612228.1799999992</v>
      </c>
      <c r="D510" s="236">
        <f>'Prior Year'!Q59</f>
        <v>15723</v>
      </c>
      <c r="E510" s="180">
        <f>Q59</f>
        <v>18301</v>
      </c>
      <c r="F510" s="259">
        <f t="shared" si="15"/>
        <v>219.95337403803345</v>
      </c>
      <c r="G510" s="259">
        <f t="shared" si="15"/>
        <v>197.37873230970982</v>
      </c>
      <c r="H510" s="261" t="str">
        <f t="shared" si="16"/>
        <v/>
      </c>
      <c r="I510" s="263"/>
      <c r="K510" s="257"/>
      <c r="L510" s="257"/>
    </row>
    <row r="511" spans="1:12" ht="12.6" customHeight="1" x14ac:dyDescent="0.25">
      <c r="A511" s="180" t="s">
        <v>527</v>
      </c>
      <c r="B511" s="236">
        <f>'Prior Year'!R71</f>
        <v>0</v>
      </c>
      <c r="C511" s="236">
        <f>R71</f>
        <v>0</v>
      </c>
      <c r="D511" s="236">
        <f>'Prior Year'!R59</f>
        <v>0</v>
      </c>
      <c r="E511" s="180">
        <f>R59</f>
        <v>0</v>
      </c>
      <c r="F511" s="259" t="str">
        <f t="shared" si="15"/>
        <v/>
      </c>
      <c r="G511" s="259" t="str">
        <f t="shared" si="15"/>
        <v/>
      </c>
      <c r="H511" s="261" t="str">
        <f t="shared" si="16"/>
        <v/>
      </c>
      <c r="I511" s="263"/>
      <c r="K511" s="257"/>
      <c r="L511" s="257"/>
    </row>
    <row r="512" spans="1:12" ht="12.6" customHeight="1" x14ac:dyDescent="0.25">
      <c r="A512" s="180" t="s">
        <v>528</v>
      </c>
      <c r="B512" s="236">
        <f>'Prior Year'!S71</f>
        <v>1404845.6532321998</v>
      </c>
      <c r="C512" s="236">
        <f>S71</f>
        <v>1466657.9819135598</v>
      </c>
      <c r="D512" s="181" t="s">
        <v>529</v>
      </c>
      <c r="E512" s="181" t="s">
        <v>529</v>
      </c>
      <c r="F512" s="259" t="str">
        <f t="shared" ref="F512:G527" si="17">IF(B512=0,"",IF(D512=0,"",B512/D512))</f>
        <v/>
      </c>
      <c r="G512" s="259" t="str">
        <f t="shared" si="17"/>
        <v/>
      </c>
      <c r="H512" s="261" t="str">
        <f t="shared" si="16"/>
        <v/>
      </c>
      <c r="I512" s="263"/>
      <c r="K512" s="257"/>
      <c r="L512" s="257"/>
    </row>
    <row r="513" spans="1:12" ht="12.6" customHeight="1" x14ac:dyDescent="0.25">
      <c r="A513" s="180" t="s">
        <v>1246</v>
      </c>
      <c r="B513" s="236">
        <f>'Prior Year'!T71</f>
        <v>709712.57</v>
      </c>
      <c r="C513" s="236">
        <f>T71</f>
        <v>774081.54544000002</v>
      </c>
      <c r="D513" s="181" t="s">
        <v>529</v>
      </c>
      <c r="E513" s="181" t="s">
        <v>529</v>
      </c>
      <c r="F513" s="259" t="str">
        <f t="shared" si="17"/>
        <v/>
      </c>
      <c r="G513" s="259" t="str">
        <f t="shared" si="17"/>
        <v/>
      </c>
      <c r="H513" s="261" t="str">
        <f t="shared" si="16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f>'Prior Year'!U71</f>
        <v>3628721.31</v>
      </c>
      <c r="C514" s="236">
        <f>U71</f>
        <v>4003432.06</v>
      </c>
      <c r="D514" s="236">
        <f>'Prior Year'!U59</f>
        <v>307972</v>
      </c>
      <c r="E514" s="180">
        <f>U59</f>
        <v>340068</v>
      </c>
      <c r="F514" s="259">
        <f t="shared" si="17"/>
        <v>11.782633843336408</v>
      </c>
      <c r="G514" s="259">
        <f t="shared" si="17"/>
        <v>11.772445687333121</v>
      </c>
      <c r="H514" s="261" t="str">
        <f t="shared" si="16"/>
        <v/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f>'Prior Year'!V71</f>
        <v>0</v>
      </c>
      <c r="C515" s="236">
        <f>V71</f>
        <v>0</v>
      </c>
      <c r="D515" s="236">
        <f>'Prior Year'!V59</f>
        <v>0</v>
      </c>
      <c r="E515" s="180">
        <f>V59</f>
        <v>0</v>
      </c>
      <c r="F515" s="259" t="str">
        <f t="shared" si="17"/>
        <v/>
      </c>
      <c r="G515" s="259" t="str">
        <f t="shared" si="17"/>
        <v/>
      </c>
      <c r="H515" s="261" t="str">
        <f t="shared" si="16"/>
        <v/>
      </c>
      <c r="I515" s="263"/>
      <c r="K515" s="257"/>
      <c r="L515" s="257"/>
    </row>
    <row r="516" spans="1:12" ht="12.6" customHeight="1" x14ac:dyDescent="0.25">
      <c r="A516" s="180" t="s">
        <v>532</v>
      </c>
      <c r="B516" s="236">
        <f>'Prior Year'!W71</f>
        <v>531010.44999999995</v>
      </c>
      <c r="C516" s="236">
        <f>W71</f>
        <v>667240.86</v>
      </c>
      <c r="D516" s="236">
        <f>'Prior Year'!W59</f>
        <v>3220</v>
      </c>
      <c r="E516" s="180">
        <f>W59</f>
        <v>3819</v>
      </c>
      <c r="F516" s="259">
        <f t="shared" si="17"/>
        <v>164.91007763975153</v>
      </c>
      <c r="G516" s="259">
        <f t="shared" si="17"/>
        <v>174.71611940298507</v>
      </c>
      <c r="H516" s="261" t="str">
        <f t="shared" si="16"/>
        <v/>
      </c>
      <c r="I516" s="263"/>
      <c r="K516" s="257"/>
      <c r="L516" s="257"/>
    </row>
    <row r="517" spans="1:12" ht="12.6" customHeight="1" x14ac:dyDescent="0.25">
      <c r="A517" s="180" t="s">
        <v>533</v>
      </c>
      <c r="B517" s="236">
        <f>'Prior Year'!X71</f>
        <v>1025321.3099999999</v>
      </c>
      <c r="C517" s="236">
        <f>X71</f>
        <v>1087862.2200000002</v>
      </c>
      <c r="D517" s="236">
        <f>'Prior Year'!X59</f>
        <v>13540</v>
      </c>
      <c r="E517" s="180">
        <f>X59</f>
        <v>15563</v>
      </c>
      <c r="F517" s="259">
        <f t="shared" si="17"/>
        <v>75.725355243722305</v>
      </c>
      <c r="G517" s="259">
        <f t="shared" si="17"/>
        <v>69.900547452290709</v>
      </c>
      <c r="H517" s="261" t="str">
        <f t="shared" si="16"/>
        <v/>
      </c>
      <c r="I517" s="263"/>
      <c r="K517" s="257"/>
      <c r="L517" s="257"/>
    </row>
    <row r="518" spans="1:12" ht="12.6" customHeight="1" x14ac:dyDescent="0.25">
      <c r="A518" s="180" t="s">
        <v>534</v>
      </c>
      <c r="B518" s="236">
        <f>'Prior Year'!Y71</f>
        <v>3737832.3499999996</v>
      </c>
      <c r="C518" s="236">
        <f>Y71</f>
        <v>3911435.67</v>
      </c>
      <c r="D518" s="236">
        <f>'Prior Year'!Y59</f>
        <v>80887</v>
      </c>
      <c r="E518" s="180">
        <f>Y59</f>
        <v>95539</v>
      </c>
      <c r="F518" s="259">
        <f t="shared" si="17"/>
        <v>46.210544957780606</v>
      </c>
      <c r="G518" s="259">
        <f t="shared" si="17"/>
        <v>40.940722322821046</v>
      </c>
      <c r="H518" s="261" t="str">
        <f t="shared" si="16"/>
        <v/>
      </c>
      <c r="I518" s="263"/>
      <c r="K518" s="257"/>
      <c r="L518" s="257"/>
    </row>
    <row r="519" spans="1:12" ht="12.6" customHeight="1" x14ac:dyDescent="0.25">
      <c r="A519" s="180" t="s">
        <v>535</v>
      </c>
      <c r="B519" s="236">
        <f>'Prior Year'!Z71</f>
        <v>0</v>
      </c>
      <c r="C519" s="236">
        <f>Z71</f>
        <v>0</v>
      </c>
      <c r="D519" s="236">
        <f>'Prior Year'!Z59</f>
        <v>0</v>
      </c>
      <c r="E519" s="180">
        <f>Z59</f>
        <v>0</v>
      </c>
      <c r="F519" s="259" t="str">
        <f t="shared" si="17"/>
        <v/>
      </c>
      <c r="G519" s="259" t="str">
        <f t="shared" si="17"/>
        <v/>
      </c>
      <c r="H519" s="261" t="str">
        <f t="shared" si="16"/>
        <v/>
      </c>
      <c r="I519" s="263"/>
      <c r="K519" s="257"/>
      <c r="L519" s="257"/>
    </row>
    <row r="520" spans="1:12" ht="12.6" customHeight="1" x14ac:dyDescent="0.25">
      <c r="A520" s="180" t="s">
        <v>536</v>
      </c>
      <c r="B520" s="236">
        <f>'Prior Year'!AA71</f>
        <v>654432.50000000012</v>
      </c>
      <c r="C520" s="236">
        <f>AA71</f>
        <v>671518.79</v>
      </c>
      <c r="D520" s="236">
        <f>'Prior Year'!AA59</f>
        <v>1391</v>
      </c>
      <c r="E520" s="180">
        <f>AA59</f>
        <v>1601</v>
      </c>
      <c r="F520" s="259">
        <f t="shared" si="17"/>
        <v>470.47627606038827</v>
      </c>
      <c r="G520" s="259">
        <f t="shared" si="17"/>
        <v>419.4370955652717</v>
      </c>
      <c r="H520" s="261" t="str">
        <f t="shared" si="16"/>
        <v/>
      </c>
      <c r="I520" s="263"/>
      <c r="K520" s="257"/>
      <c r="L520" s="257"/>
    </row>
    <row r="521" spans="1:12" ht="12.6" customHeight="1" x14ac:dyDescent="0.25">
      <c r="A521" s="180" t="s">
        <v>537</v>
      </c>
      <c r="B521" s="236">
        <f>'Prior Year'!AB71</f>
        <v>9151921.9600000009</v>
      </c>
      <c r="C521" s="236">
        <f>AB71</f>
        <v>9752825.7799999975</v>
      </c>
      <c r="D521" s="181" t="s">
        <v>529</v>
      </c>
      <c r="E521" s="181" t="s">
        <v>529</v>
      </c>
      <c r="F521" s="259" t="str">
        <f t="shared" si="17"/>
        <v/>
      </c>
      <c r="G521" s="259" t="str">
        <f t="shared" si="17"/>
        <v/>
      </c>
      <c r="H521" s="261" t="str">
        <f t="shared" si="16"/>
        <v/>
      </c>
      <c r="I521" s="263"/>
      <c r="K521" s="257"/>
      <c r="L521" s="257"/>
    </row>
    <row r="522" spans="1:12" ht="12.6" customHeight="1" x14ac:dyDescent="0.25">
      <c r="A522" s="180" t="s">
        <v>538</v>
      </c>
      <c r="B522" s="236">
        <f>'Prior Year'!AC71</f>
        <v>1601399.1199999996</v>
      </c>
      <c r="C522" s="236">
        <f>AC71</f>
        <v>1710971.0000000002</v>
      </c>
      <c r="D522" s="236">
        <f>'Prior Year'!AC59</f>
        <v>22353</v>
      </c>
      <c r="E522" s="180">
        <f>AC59</f>
        <v>22619</v>
      </c>
      <c r="F522" s="259">
        <f t="shared" si="17"/>
        <v>71.641351049076164</v>
      </c>
      <c r="G522" s="259">
        <f t="shared" si="17"/>
        <v>75.643087669658257</v>
      </c>
      <c r="H522" s="261" t="str">
        <f t="shared" si="16"/>
        <v/>
      </c>
      <c r="I522" s="263"/>
      <c r="K522" s="257"/>
      <c r="L522" s="257"/>
    </row>
    <row r="523" spans="1:12" ht="12.6" customHeight="1" x14ac:dyDescent="0.25">
      <c r="A523" s="180" t="s">
        <v>539</v>
      </c>
      <c r="B523" s="236">
        <f>'Prior Year'!AD71</f>
        <v>477740.73000000004</v>
      </c>
      <c r="C523" s="236">
        <f>AD71</f>
        <v>516996.99</v>
      </c>
      <c r="D523" s="236">
        <f>'Prior Year'!AD59</f>
        <v>0</v>
      </c>
      <c r="E523" s="180">
        <f>AD59</f>
        <v>0</v>
      </c>
      <c r="F523" s="259" t="str">
        <f t="shared" si="17"/>
        <v/>
      </c>
      <c r="G523" s="259" t="str">
        <f t="shared" si="17"/>
        <v/>
      </c>
      <c r="H523" s="261" t="str">
        <f t="shared" si="16"/>
        <v/>
      </c>
      <c r="I523" s="263"/>
      <c r="K523" s="257"/>
      <c r="L523" s="257"/>
    </row>
    <row r="524" spans="1:12" ht="12.6" customHeight="1" x14ac:dyDescent="0.25">
      <c r="A524" s="180" t="s">
        <v>540</v>
      </c>
      <c r="B524" s="236">
        <f>'Prior Year'!AE71</f>
        <v>1550840.94</v>
      </c>
      <c r="C524" s="236">
        <f>AE71</f>
        <v>1634138.8799999997</v>
      </c>
      <c r="D524" s="236">
        <f>'Prior Year'!AE59</f>
        <v>42723</v>
      </c>
      <c r="E524" s="180">
        <f>AE59</f>
        <v>47139</v>
      </c>
      <c r="F524" s="259">
        <f t="shared" si="17"/>
        <v>36.29990730987992</v>
      </c>
      <c r="G524" s="259">
        <f t="shared" si="17"/>
        <v>34.666388340864245</v>
      </c>
      <c r="H524" s="261" t="str">
        <f t="shared" si="16"/>
        <v/>
      </c>
      <c r="I524" s="263"/>
      <c r="K524" s="257"/>
      <c r="L524" s="257"/>
    </row>
    <row r="525" spans="1:12" ht="12.6" customHeight="1" x14ac:dyDescent="0.25">
      <c r="A525" s="180" t="s">
        <v>541</v>
      </c>
      <c r="B525" s="236">
        <f>'Prior Year'!AF71</f>
        <v>0</v>
      </c>
      <c r="C525" s="236">
        <f>AF71</f>
        <v>0</v>
      </c>
      <c r="D525" s="236">
        <f>'Prior Year'!AF59</f>
        <v>0</v>
      </c>
      <c r="E525" s="180">
        <f>AF59</f>
        <v>0</v>
      </c>
      <c r="F525" s="259" t="str">
        <f t="shared" si="17"/>
        <v/>
      </c>
      <c r="G525" s="259" t="str">
        <f t="shared" si="17"/>
        <v/>
      </c>
      <c r="H525" s="261" t="str">
        <f t="shared" si="16"/>
        <v/>
      </c>
      <c r="I525" s="263"/>
      <c r="K525" s="257"/>
      <c r="L525" s="257"/>
    </row>
    <row r="526" spans="1:12" ht="12.6" customHeight="1" x14ac:dyDescent="0.25">
      <c r="A526" s="180" t="s">
        <v>542</v>
      </c>
      <c r="B526" s="236">
        <f>'Prior Year'!AG71</f>
        <v>7821817.8899999987</v>
      </c>
      <c r="C526" s="236">
        <f>AG71</f>
        <v>8602418.3790000007</v>
      </c>
      <c r="D526" s="236">
        <f>'Prior Year'!AG59</f>
        <v>25335</v>
      </c>
      <c r="E526" s="180">
        <f>AG59</f>
        <v>29605</v>
      </c>
      <c r="F526" s="259">
        <f t="shared" si="17"/>
        <v>308.73565778567195</v>
      </c>
      <c r="G526" s="259">
        <f t="shared" si="17"/>
        <v>290.57315922985987</v>
      </c>
      <c r="H526" s="261" t="str">
        <f t="shared" si="16"/>
        <v/>
      </c>
      <c r="I526" s="263"/>
      <c r="K526" s="257"/>
      <c r="L526" s="257"/>
    </row>
    <row r="527" spans="1:12" ht="12.6" customHeight="1" x14ac:dyDescent="0.25">
      <c r="A527" s="180" t="s">
        <v>543</v>
      </c>
      <c r="B527" s="236">
        <f>'Prior Year'!AH71</f>
        <v>0</v>
      </c>
      <c r="C527" s="236">
        <f>AH71</f>
        <v>0</v>
      </c>
      <c r="D527" s="236">
        <f>'Prior Year'!AH59</f>
        <v>0</v>
      </c>
      <c r="E527" s="180">
        <f>AH59</f>
        <v>0</v>
      </c>
      <c r="F527" s="259" t="str">
        <f t="shared" si="17"/>
        <v/>
      </c>
      <c r="G527" s="259" t="str">
        <f t="shared" si="17"/>
        <v/>
      </c>
      <c r="H527" s="261" t="str">
        <f t="shared" si="16"/>
        <v/>
      </c>
      <c r="I527" s="263"/>
      <c r="K527" s="257"/>
      <c r="L527" s="257"/>
    </row>
    <row r="528" spans="1:12" ht="12.6" customHeight="1" x14ac:dyDescent="0.25">
      <c r="A528" s="180" t="s">
        <v>544</v>
      </c>
      <c r="B528" s="236">
        <f>'Prior Year'!AI71</f>
        <v>0</v>
      </c>
      <c r="C528" s="236">
        <f>AI71</f>
        <v>0</v>
      </c>
      <c r="D528" s="236">
        <f>'Prior Year'!AI59</f>
        <v>0</v>
      </c>
      <c r="E528" s="180">
        <f>AI59</f>
        <v>0</v>
      </c>
      <c r="F528" s="259" t="str">
        <f t="shared" ref="F528:G540" si="18">IF(B528=0,"",IF(D528=0,"",B528/D528))</f>
        <v/>
      </c>
      <c r="G528" s="259" t="str">
        <f t="shared" si="18"/>
        <v/>
      </c>
      <c r="H528" s="261" t="str">
        <f t="shared" si="16"/>
        <v/>
      </c>
      <c r="I528" s="263"/>
      <c r="K528" s="257"/>
      <c r="L528" s="257"/>
    </row>
    <row r="529" spans="1:12" ht="12.6" customHeight="1" x14ac:dyDescent="0.25">
      <c r="A529" s="180" t="s">
        <v>545</v>
      </c>
      <c r="B529" s="236">
        <f>'Prior Year'!AJ71</f>
        <v>1469175.06</v>
      </c>
      <c r="C529" s="236">
        <f>AJ71</f>
        <v>38063310.550000004</v>
      </c>
      <c r="D529" s="236">
        <f>'Prior Year'!AJ59</f>
        <v>5263</v>
      </c>
      <c r="E529" s="180">
        <f>AJ59</f>
        <v>166205.5</v>
      </c>
      <c r="F529" s="259">
        <f t="shared" si="18"/>
        <v>279.15163594907847</v>
      </c>
      <c r="G529" s="259">
        <f t="shared" si="18"/>
        <v>229.0135437756272</v>
      </c>
      <c r="H529" s="261" t="str">
        <f t="shared" si="16"/>
        <v/>
      </c>
      <c r="I529" s="263"/>
      <c r="K529" s="257"/>
      <c r="L529" s="257"/>
    </row>
    <row r="530" spans="1:12" ht="12.6" customHeight="1" x14ac:dyDescent="0.25">
      <c r="A530" s="180" t="s">
        <v>546</v>
      </c>
      <c r="B530" s="236">
        <f>'Prior Year'!AK71</f>
        <v>420932.84</v>
      </c>
      <c r="C530" s="236">
        <f>AK71</f>
        <v>438501.06000000006</v>
      </c>
      <c r="D530" s="236">
        <f>'Prior Year'!AK59</f>
        <v>9996</v>
      </c>
      <c r="E530" s="180">
        <f>AK59</f>
        <v>12578</v>
      </c>
      <c r="F530" s="259">
        <f t="shared" si="18"/>
        <v>42.110128051220492</v>
      </c>
      <c r="G530" s="259">
        <f t="shared" si="18"/>
        <v>34.8625425345842</v>
      </c>
      <c r="H530" s="261" t="str">
        <f t="shared" si="16"/>
        <v/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f>'Prior Year'!AL71</f>
        <v>96779.680000000008</v>
      </c>
      <c r="C531" s="236">
        <f>AL71</f>
        <v>114172.61</v>
      </c>
      <c r="D531" s="236">
        <f>'Prior Year'!AL59</f>
        <v>1500</v>
      </c>
      <c r="E531" s="180">
        <f>AL59</f>
        <v>1798</v>
      </c>
      <c r="F531" s="259">
        <f t="shared" si="18"/>
        <v>64.519786666666676</v>
      </c>
      <c r="G531" s="259">
        <f t="shared" si="18"/>
        <v>63.499783092324805</v>
      </c>
      <c r="H531" s="261" t="str">
        <f t="shared" si="16"/>
        <v/>
      </c>
      <c r="I531" s="263"/>
      <c r="K531" s="257"/>
      <c r="L531" s="257"/>
    </row>
    <row r="532" spans="1:12" ht="12.6" customHeight="1" x14ac:dyDescent="0.25">
      <c r="A532" s="180" t="s">
        <v>548</v>
      </c>
      <c r="B532" s="236">
        <f>'Prior Year'!AM71</f>
        <v>0</v>
      </c>
      <c r="C532" s="236">
        <f>AM71</f>
        <v>0</v>
      </c>
      <c r="D532" s="236">
        <f>'Prior Year'!AM59</f>
        <v>0</v>
      </c>
      <c r="E532" s="180">
        <f>AM59</f>
        <v>0</v>
      </c>
      <c r="F532" s="259" t="str">
        <f t="shared" si="18"/>
        <v/>
      </c>
      <c r="G532" s="259" t="str">
        <f t="shared" si="18"/>
        <v/>
      </c>
      <c r="H532" s="261" t="str">
        <f t="shared" si="16"/>
        <v/>
      </c>
      <c r="I532" s="263"/>
      <c r="K532" s="257"/>
      <c r="L532" s="257"/>
    </row>
    <row r="533" spans="1:12" ht="12.6" customHeight="1" x14ac:dyDescent="0.25">
      <c r="A533" s="180" t="s">
        <v>1247</v>
      </c>
      <c r="B533" s="236">
        <f>'Prior Year'!AN71</f>
        <v>0</v>
      </c>
      <c r="C533" s="236">
        <f>AN71</f>
        <v>0</v>
      </c>
      <c r="D533" s="236">
        <f>'Prior Year'!AN59</f>
        <v>0</v>
      </c>
      <c r="E533" s="180">
        <f>AN59</f>
        <v>0</v>
      </c>
      <c r="F533" s="259" t="str">
        <f t="shared" si="18"/>
        <v/>
      </c>
      <c r="G533" s="259" t="str">
        <f t="shared" si="18"/>
        <v/>
      </c>
      <c r="H533" s="261" t="str">
        <f t="shared" si="16"/>
        <v/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f>'Prior Year'!AO71</f>
        <v>0</v>
      </c>
      <c r="C534" s="236">
        <f>AO71</f>
        <v>0</v>
      </c>
      <c r="D534" s="236">
        <f>'Prior Year'!AO59</f>
        <v>0</v>
      </c>
      <c r="E534" s="180">
        <f>AO59</f>
        <v>0</v>
      </c>
      <c r="F534" s="259" t="str">
        <f t="shared" si="18"/>
        <v/>
      </c>
      <c r="G534" s="259" t="str">
        <f t="shared" si="18"/>
        <v/>
      </c>
      <c r="H534" s="261" t="str">
        <f t="shared" si="16"/>
        <v/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f>'Prior Year'!AP71</f>
        <v>0</v>
      </c>
      <c r="C535" s="236">
        <f>AP71</f>
        <v>0</v>
      </c>
      <c r="D535" s="236">
        <f>'Prior Year'!AP59</f>
        <v>0</v>
      </c>
      <c r="E535" s="180">
        <f>AP59</f>
        <v>0</v>
      </c>
      <c r="F535" s="259" t="str">
        <f t="shared" si="18"/>
        <v/>
      </c>
      <c r="G535" s="259" t="str">
        <f t="shared" si="18"/>
        <v/>
      </c>
      <c r="H535" s="261" t="str">
        <f t="shared" si="16"/>
        <v/>
      </c>
      <c r="I535" s="263"/>
      <c r="K535" s="257"/>
      <c r="L535" s="257"/>
    </row>
    <row r="536" spans="1:12" ht="12.6" customHeight="1" x14ac:dyDescent="0.25">
      <c r="A536" s="180" t="s">
        <v>551</v>
      </c>
      <c r="B536" s="236">
        <f>'Prior Year'!AQ71</f>
        <v>0</v>
      </c>
      <c r="C536" s="236">
        <f>AQ71</f>
        <v>0</v>
      </c>
      <c r="D536" s="236">
        <f>'Prior Year'!AQ59</f>
        <v>0</v>
      </c>
      <c r="E536" s="180">
        <f>AQ59</f>
        <v>0</v>
      </c>
      <c r="F536" s="259" t="str">
        <f t="shared" si="18"/>
        <v/>
      </c>
      <c r="G536" s="259" t="str">
        <f t="shared" si="18"/>
        <v/>
      </c>
      <c r="H536" s="261" t="str">
        <f t="shared" si="16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f>'Prior Year'!AR71</f>
        <v>0</v>
      </c>
      <c r="C537" s="236">
        <f>AR71</f>
        <v>0</v>
      </c>
      <c r="D537" s="236">
        <f>'Prior Year'!AR59</f>
        <v>0</v>
      </c>
      <c r="E537" s="180">
        <f>AR59</f>
        <v>0</v>
      </c>
      <c r="F537" s="259" t="str">
        <f t="shared" si="18"/>
        <v/>
      </c>
      <c r="G537" s="259" t="str">
        <f t="shared" si="18"/>
        <v/>
      </c>
      <c r="H537" s="261" t="str">
        <f t="shared" si="16"/>
        <v/>
      </c>
      <c r="I537" s="263"/>
      <c r="K537" s="257"/>
      <c r="L537" s="257"/>
    </row>
    <row r="538" spans="1:12" ht="12.6" customHeight="1" x14ac:dyDescent="0.25">
      <c r="A538" s="180" t="s">
        <v>553</v>
      </c>
      <c r="B538" s="236">
        <f>'Prior Year'!AS71</f>
        <v>0</v>
      </c>
      <c r="C538" s="236">
        <f>AS71</f>
        <v>0</v>
      </c>
      <c r="D538" s="236">
        <f>'Prior Year'!AS59</f>
        <v>0</v>
      </c>
      <c r="E538" s="180">
        <f>AS59</f>
        <v>0</v>
      </c>
      <c r="F538" s="259" t="str">
        <f t="shared" si="18"/>
        <v/>
      </c>
      <c r="G538" s="259" t="str">
        <f t="shared" si="18"/>
        <v/>
      </c>
      <c r="H538" s="261" t="str">
        <f t="shared" si="16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f>'Prior Year'!AT71</f>
        <v>0</v>
      </c>
      <c r="C539" s="236">
        <f>AT71</f>
        <v>0</v>
      </c>
      <c r="D539" s="236">
        <f>'Prior Year'!AT59</f>
        <v>0</v>
      </c>
      <c r="E539" s="180">
        <f>AT59</f>
        <v>0</v>
      </c>
      <c r="F539" s="259" t="str">
        <f t="shared" si="18"/>
        <v/>
      </c>
      <c r="G539" s="259" t="str">
        <f t="shared" si="18"/>
        <v/>
      </c>
      <c r="H539" s="261" t="str">
        <f t="shared" si="16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f>'Prior Year'!AU71</f>
        <v>0</v>
      </c>
      <c r="C540" s="236">
        <f>AU71</f>
        <v>0</v>
      </c>
      <c r="D540" s="236">
        <f>'Prior Year'!AU59</f>
        <v>0</v>
      </c>
      <c r="E540" s="180">
        <f>AU59</f>
        <v>0</v>
      </c>
      <c r="F540" s="259" t="str">
        <f t="shared" si="18"/>
        <v/>
      </c>
      <c r="G540" s="259" t="str">
        <f t="shared" si="18"/>
        <v/>
      </c>
      <c r="H540" s="261" t="str">
        <f t="shared" si="16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f>'Prior Year'!AV71</f>
        <v>3592062.0153999999</v>
      </c>
      <c r="C541" s="236">
        <f>AV71</f>
        <v>4231293.3046400007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1248</v>
      </c>
      <c r="B542" s="236">
        <f>'Prior Year'!AW71</f>
        <v>0</v>
      </c>
      <c r="C542" s="236">
        <f>AW71</f>
        <v>0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f>'Prior Year'!AX71</f>
        <v>432.41590000000002</v>
      </c>
      <c r="C543" s="236">
        <f>AX71</f>
        <v>59244.906239999989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25">
      <c r="A544" s="180" t="s">
        <v>558</v>
      </c>
      <c r="B544" s="236">
        <f>'Prior Year'!AY71</f>
        <v>13599</v>
      </c>
      <c r="C544" s="236">
        <f>AY71</f>
        <v>15205</v>
      </c>
      <c r="D544" s="236">
        <f>'Prior Year'!AY59</f>
        <v>124575</v>
      </c>
      <c r="E544" s="180">
        <f>AY59</f>
        <v>110236</v>
      </c>
      <c r="F544" s="259">
        <f t="shared" ref="F544:G550" si="19">IF(B544=0,"",IF(D544=0,"",B544/D544))</f>
        <v>0.10916315472606863</v>
      </c>
      <c r="G544" s="259">
        <f t="shared" si="19"/>
        <v>0.13793134729126602</v>
      </c>
      <c r="H544" s="261">
        <f t="shared" si="16"/>
        <v>0.26353390608202543</v>
      </c>
      <c r="I544" s="263" t="s">
        <v>1477</v>
      </c>
      <c r="K544" s="257"/>
      <c r="L544" s="257"/>
    </row>
    <row r="545" spans="1:13" ht="12.6" customHeight="1" x14ac:dyDescent="0.25">
      <c r="A545" s="180" t="s">
        <v>559</v>
      </c>
      <c r="B545" s="236">
        <f>'Prior Year'!AZ71</f>
        <v>2284199.2600000002</v>
      </c>
      <c r="C545" s="236">
        <f>AZ71</f>
        <v>2436105.4299999992</v>
      </c>
      <c r="D545" s="236">
        <f>'Prior Year'!AZ59</f>
        <v>351722</v>
      </c>
      <c r="E545" s="180">
        <f>AZ59</f>
        <v>237068</v>
      </c>
      <c r="F545" s="259">
        <f t="shared" si="19"/>
        <v>6.4943314890737582</v>
      </c>
      <c r="G545" s="259">
        <f t="shared" si="19"/>
        <v>10.275977483253747</v>
      </c>
      <c r="H545" s="261">
        <f t="shared" si="16"/>
        <v>0.58229950234944639</v>
      </c>
      <c r="I545" s="263" t="s">
        <v>1477</v>
      </c>
      <c r="K545" s="257"/>
      <c r="L545" s="257"/>
    </row>
    <row r="546" spans="1:13" ht="12.6" customHeight="1" x14ac:dyDescent="0.25">
      <c r="A546" s="180" t="s">
        <v>560</v>
      </c>
      <c r="B546" s="236">
        <f>'Prior Year'!BA71</f>
        <v>167993.14</v>
      </c>
      <c r="C546" s="236">
        <f>BA71</f>
        <v>116905.98999999999</v>
      </c>
      <c r="D546" s="236">
        <f>'Prior Year'!BA59</f>
        <v>0</v>
      </c>
      <c r="E546" s="180">
        <f>BA59</f>
        <v>0</v>
      </c>
      <c r="F546" s="259" t="str">
        <f t="shared" si="19"/>
        <v/>
      </c>
      <c r="G546" s="259" t="str">
        <f t="shared" si="19"/>
        <v/>
      </c>
      <c r="H546" s="261" t="str">
        <f t="shared" si="16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f>'Prior Year'!BB71</f>
        <v>0</v>
      </c>
      <c r="C547" s="236">
        <f>BB71</f>
        <v>0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f>'Prior Year'!BC71</f>
        <v>314980.85964115127</v>
      </c>
      <c r="C548" s="236">
        <f>BC71</f>
        <v>225857.51999999996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f>'Prior Year'!BD71</f>
        <v>0</v>
      </c>
      <c r="C549" s="236">
        <f>BD71</f>
        <v>0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f>'Prior Year'!BE71</f>
        <v>5770554.2041999996</v>
      </c>
      <c r="C550" s="236">
        <f>BE71</f>
        <v>6438850.8168799998</v>
      </c>
      <c r="D550" s="236">
        <f>'Prior Year'!BE59</f>
        <v>285855</v>
      </c>
      <c r="E550" s="180">
        <f>BE59</f>
        <v>284983</v>
      </c>
      <c r="F550" s="259">
        <f t="shared" si="19"/>
        <v>20.186997618372949</v>
      </c>
      <c r="G550" s="259">
        <f t="shared" si="19"/>
        <v>22.593806707347454</v>
      </c>
      <c r="H550" s="261" t="str">
        <f t="shared" si="16"/>
        <v/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f>'Prior Year'!BF71</f>
        <v>1690849.53</v>
      </c>
      <c r="C551" s="236">
        <f>BF71</f>
        <v>1927100.56</v>
      </c>
      <c r="D551" s="181" t="s">
        <v>529</v>
      </c>
      <c r="E551" s="181" t="s">
        <v>529</v>
      </c>
      <c r="F551" s="259"/>
      <c r="G551" s="259"/>
      <c r="H551" s="261"/>
      <c r="I551" s="263"/>
      <c r="J551" s="197"/>
      <c r="M551" s="261"/>
    </row>
    <row r="552" spans="1:13" ht="12.6" customHeight="1" x14ac:dyDescent="0.25">
      <c r="A552" s="180" t="s">
        <v>566</v>
      </c>
      <c r="B552" s="236">
        <f>'Prior Year'!BG71</f>
        <v>20898.564400000003</v>
      </c>
      <c r="C552" s="236">
        <f>BG71</f>
        <v>255043.22668000002</v>
      </c>
      <c r="D552" s="181" t="s">
        <v>529</v>
      </c>
      <c r="E552" s="181" t="s">
        <v>529</v>
      </c>
      <c r="F552" s="259"/>
      <c r="G552" s="259"/>
      <c r="H552" s="261"/>
      <c r="J552" s="197"/>
      <c r="M552" s="261"/>
    </row>
    <row r="553" spans="1:13" ht="12.6" customHeight="1" x14ac:dyDescent="0.25">
      <c r="A553" s="180" t="s">
        <v>567</v>
      </c>
      <c r="B553" s="236">
        <f>'Prior Year'!BH71</f>
        <v>40377.332100000007</v>
      </c>
      <c r="C553" s="236">
        <f>BH71</f>
        <v>1111095.9992</v>
      </c>
      <c r="D553" s="181" t="s">
        <v>529</v>
      </c>
      <c r="E553" s="181" t="s">
        <v>529</v>
      </c>
      <c r="F553" s="259"/>
      <c r="G553" s="259"/>
      <c r="H553" s="261"/>
      <c r="J553" s="197"/>
      <c r="M553" s="261"/>
    </row>
    <row r="554" spans="1:13" ht="12.6" customHeight="1" x14ac:dyDescent="0.25">
      <c r="A554" s="180" t="s">
        <v>568</v>
      </c>
      <c r="B554" s="236">
        <f>'Prior Year'!BI71</f>
        <v>-15227.509999999995</v>
      </c>
      <c r="C554" s="236">
        <f>BI71</f>
        <v>-20342.560000000027</v>
      </c>
      <c r="D554" s="181" t="s">
        <v>529</v>
      </c>
      <c r="E554" s="181" t="s">
        <v>529</v>
      </c>
      <c r="F554" s="259"/>
      <c r="G554" s="259"/>
      <c r="H554" s="261"/>
      <c r="J554" s="197"/>
      <c r="M554" s="261"/>
    </row>
    <row r="555" spans="1:13" ht="12.6" customHeight="1" x14ac:dyDescent="0.25">
      <c r="A555" s="180" t="s">
        <v>569</v>
      </c>
      <c r="B555" s="236">
        <f>'Prior Year'!BJ71</f>
        <v>366648.74795366998</v>
      </c>
      <c r="C555" s="236">
        <f>BJ71</f>
        <v>265283.34811999992</v>
      </c>
      <c r="D555" s="181" t="s">
        <v>529</v>
      </c>
      <c r="E555" s="181" t="s">
        <v>529</v>
      </c>
      <c r="F555" s="259"/>
      <c r="G555" s="259"/>
      <c r="H555" s="261"/>
      <c r="J555" s="197"/>
      <c r="M555" s="261"/>
    </row>
    <row r="556" spans="1:13" ht="12.6" customHeight="1" x14ac:dyDescent="0.25">
      <c r="A556" s="180" t="s">
        <v>570</v>
      </c>
      <c r="B556" s="236">
        <f>'Prior Year'!BK71</f>
        <v>1564029.202882919</v>
      </c>
      <c r="C556" s="236">
        <f>BK71</f>
        <v>1737873.9040149639</v>
      </c>
      <c r="D556" s="181" t="s">
        <v>529</v>
      </c>
      <c r="E556" s="181" t="s">
        <v>529</v>
      </c>
      <c r="F556" s="259"/>
      <c r="G556" s="259"/>
      <c r="H556" s="261"/>
      <c r="J556" s="197"/>
      <c r="M556" s="261"/>
    </row>
    <row r="557" spans="1:13" ht="12.6" customHeight="1" x14ac:dyDescent="0.25">
      <c r="A557" s="180" t="s">
        <v>571</v>
      </c>
      <c r="B557" s="236">
        <f>'Prior Year'!BL71</f>
        <v>1854723.5899532808</v>
      </c>
      <c r="C557" s="236">
        <f>BL71</f>
        <v>1893979.6281200002</v>
      </c>
      <c r="D557" s="181" t="s">
        <v>529</v>
      </c>
      <c r="E557" s="181" t="s">
        <v>529</v>
      </c>
      <c r="F557" s="259"/>
      <c r="G557" s="259"/>
      <c r="H557" s="261"/>
      <c r="J557" s="197"/>
      <c r="M557" s="261"/>
    </row>
    <row r="558" spans="1:13" ht="12.6" customHeight="1" x14ac:dyDescent="0.25">
      <c r="A558" s="180" t="s">
        <v>572</v>
      </c>
      <c r="B558" s="236">
        <f>'Prior Year'!BM71</f>
        <v>0</v>
      </c>
      <c r="C558" s="236">
        <f>BM71</f>
        <v>0</v>
      </c>
      <c r="D558" s="181" t="s">
        <v>529</v>
      </c>
      <c r="E558" s="181" t="s">
        <v>529</v>
      </c>
      <c r="F558" s="259"/>
      <c r="G558" s="259"/>
      <c r="H558" s="261"/>
      <c r="J558" s="197"/>
      <c r="M558" s="261"/>
    </row>
    <row r="559" spans="1:13" ht="12.6" customHeight="1" x14ac:dyDescent="0.25">
      <c r="A559" s="180" t="s">
        <v>573</v>
      </c>
      <c r="B559" s="236">
        <f>'Prior Year'!BN71</f>
        <v>6189824.4024667097</v>
      </c>
      <c r="C559" s="236">
        <f>BN71</f>
        <v>6078131.6203294201</v>
      </c>
      <c r="D559" s="181" t="s">
        <v>529</v>
      </c>
      <c r="E559" s="181" t="s">
        <v>529</v>
      </c>
      <c r="F559" s="259"/>
      <c r="G559" s="259"/>
      <c r="H559" s="261"/>
      <c r="J559" s="197"/>
      <c r="M559" s="261"/>
    </row>
    <row r="560" spans="1:13" ht="12.6" customHeight="1" x14ac:dyDescent="0.25">
      <c r="A560" s="180" t="s">
        <v>574</v>
      </c>
      <c r="B560" s="236">
        <f>'Prior Year'!BO71</f>
        <v>201916.9852</v>
      </c>
      <c r="C560" s="236">
        <f>BO71</f>
        <v>193367.18455999999</v>
      </c>
      <c r="D560" s="181" t="s">
        <v>529</v>
      </c>
      <c r="E560" s="181" t="s">
        <v>529</v>
      </c>
      <c r="F560" s="259"/>
      <c r="G560" s="259"/>
      <c r="H560" s="261"/>
      <c r="J560" s="197"/>
      <c r="M560" s="261"/>
    </row>
    <row r="561" spans="1:13" ht="12.6" customHeight="1" x14ac:dyDescent="0.25">
      <c r="A561" s="180" t="s">
        <v>575</v>
      </c>
      <c r="B561" s="236">
        <f>'Prior Year'!BP71</f>
        <v>264696.23180000001</v>
      </c>
      <c r="C561" s="236">
        <f>BP71</f>
        <v>1019033.2456799999</v>
      </c>
      <c r="D561" s="181" t="s">
        <v>529</v>
      </c>
      <c r="E561" s="181" t="s">
        <v>529</v>
      </c>
      <c r="F561" s="259"/>
      <c r="G561" s="259"/>
      <c r="H561" s="261"/>
      <c r="J561" s="197"/>
      <c r="M561" s="261"/>
    </row>
    <row r="562" spans="1:13" ht="12.6" customHeight="1" x14ac:dyDescent="0.25">
      <c r="A562" s="180" t="s">
        <v>576</v>
      </c>
      <c r="B562" s="236">
        <f>'Prior Year'!BQ71</f>
        <v>0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7"/>
      <c r="M562" s="261"/>
    </row>
    <row r="563" spans="1:13" ht="12.6" customHeight="1" x14ac:dyDescent="0.25">
      <c r="A563" s="180" t="s">
        <v>577</v>
      </c>
      <c r="B563" s="236">
        <f>'Prior Year'!BR71</f>
        <v>804833.58850000007</v>
      </c>
      <c r="C563" s="236">
        <f>BR71</f>
        <v>650624.20675999997</v>
      </c>
      <c r="D563" s="181" t="s">
        <v>529</v>
      </c>
      <c r="E563" s="181" t="s">
        <v>529</v>
      </c>
      <c r="F563" s="259"/>
      <c r="G563" s="259"/>
      <c r="H563" s="261"/>
      <c r="J563" s="197"/>
      <c r="M563" s="261"/>
    </row>
    <row r="564" spans="1:13" ht="12.6" customHeight="1" x14ac:dyDescent="0.25">
      <c r="A564" s="180" t="s">
        <v>1249</v>
      </c>
      <c r="B564" s="236">
        <f>'Prior Year'!BS71</f>
        <v>9.8672000000000022</v>
      </c>
      <c r="C564" s="236">
        <f>BS71</f>
        <v>53429.914439999986</v>
      </c>
      <c r="D564" s="181" t="s">
        <v>529</v>
      </c>
      <c r="E564" s="181" t="s">
        <v>529</v>
      </c>
      <c r="F564" s="259"/>
      <c r="G564" s="259"/>
      <c r="H564" s="261"/>
      <c r="J564" s="197"/>
      <c r="M564" s="261"/>
    </row>
    <row r="565" spans="1:13" ht="12.6" customHeight="1" x14ac:dyDescent="0.25">
      <c r="A565" s="180" t="s">
        <v>578</v>
      </c>
      <c r="B565" s="236">
        <f>'Prior Year'!BT71</f>
        <v>14623.380100000002</v>
      </c>
      <c r="C565" s="236">
        <f>BT71</f>
        <v>91478.531639999987</v>
      </c>
      <c r="D565" s="181" t="s">
        <v>529</v>
      </c>
      <c r="E565" s="181" t="s">
        <v>529</v>
      </c>
      <c r="F565" s="259"/>
      <c r="G565" s="259"/>
      <c r="H565" s="261"/>
      <c r="J565" s="197"/>
      <c r="M565" s="261"/>
    </row>
    <row r="566" spans="1:13" ht="12.6" customHeight="1" x14ac:dyDescent="0.25">
      <c r="A566" s="180" t="s">
        <v>579</v>
      </c>
      <c r="B566" s="236">
        <f>'Prior Year'!BU71</f>
        <v>23719.724700000002</v>
      </c>
      <c r="C566" s="236">
        <f>BU71</f>
        <v>31867.568360000008</v>
      </c>
      <c r="D566" s="181" t="s">
        <v>529</v>
      </c>
      <c r="E566" s="181" t="s">
        <v>529</v>
      </c>
      <c r="F566" s="259"/>
      <c r="G566" s="259"/>
      <c r="H566" s="261"/>
      <c r="J566" s="197"/>
      <c r="M566" s="261"/>
    </row>
    <row r="567" spans="1:13" ht="12.6" customHeight="1" x14ac:dyDescent="0.25">
      <c r="A567" s="180" t="s">
        <v>580</v>
      </c>
      <c r="B567" s="236">
        <f>'Prior Year'!BV71</f>
        <v>2264329.1232410455</v>
      </c>
      <c r="C567" s="236">
        <f>BV71</f>
        <v>2406552.8505677478</v>
      </c>
      <c r="D567" s="181" t="s">
        <v>529</v>
      </c>
      <c r="E567" s="181" t="s">
        <v>529</v>
      </c>
      <c r="F567" s="259"/>
      <c r="G567" s="259"/>
      <c r="H567" s="261"/>
      <c r="J567" s="197"/>
      <c r="M567" s="261"/>
    </row>
    <row r="568" spans="1:13" ht="12.6" customHeight="1" x14ac:dyDescent="0.25">
      <c r="A568" s="180" t="s">
        <v>581</v>
      </c>
      <c r="B568" s="236">
        <f>'Prior Year'!BW71</f>
        <v>246110.86666600005</v>
      </c>
      <c r="C568" s="236">
        <f>BW71</f>
        <v>469536.11818737997</v>
      </c>
      <c r="D568" s="181" t="s">
        <v>529</v>
      </c>
      <c r="E568" s="181" t="s">
        <v>529</v>
      </c>
      <c r="F568" s="259"/>
      <c r="G568" s="259"/>
      <c r="H568" s="261"/>
      <c r="J568" s="197"/>
      <c r="M568" s="261"/>
    </row>
    <row r="569" spans="1:13" ht="12.6" customHeight="1" x14ac:dyDescent="0.25">
      <c r="A569" s="180" t="s">
        <v>582</v>
      </c>
      <c r="B569" s="236">
        <f>'Prior Year'!BX71</f>
        <v>1014488.24896874</v>
      </c>
      <c r="C569" s="236">
        <f>BX71</f>
        <v>2872459.7217133441</v>
      </c>
      <c r="D569" s="181" t="s">
        <v>529</v>
      </c>
      <c r="E569" s="181" t="s">
        <v>529</v>
      </c>
      <c r="F569" s="259"/>
      <c r="G569" s="259"/>
      <c r="H569" s="261"/>
      <c r="J569" s="197"/>
      <c r="M569" s="261"/>
    </row>
    <row r="570" spans="1:13" ht="12.6" customHeight="1" x14ac:dyDescent="0.25">
      <c r="A570" s="180" t="s">
        <v>583</v>
      </c>
      <c r="B570" s="236">
        <f>'Prior Year'!BY71</f>
        <v>1429206.8063999999</v>
      </c>
      <c r="C570" s="236">
        <f>BY71</f>
        <v>1579410.9217999994</v>
      </c>
      <c r="D570" s="181" t="s">
        <v>529</v>
      </c>
      <c r="E570" s="181" t="s">
        <v>529</v>
      </c>
      <c r="F570" s="259"/>
      <c r="G570" s="259"/>
      <c r="H570" s="261"/>
      <c r="J570" s="197"/>
      <c r="M570" s="261"/>
    </row>
    <row r="571" spans="1:13" ht="12.6" customHeight="1" x14ac:dyDescent="0.25">
      <c r="A571" s="180" t="s">
        <v>584</v>
      </c>
      <c r="B571" s="236">
        <f>'Prior Year'!BZ71</f>
        <v>0</v>
      </c>
      <c r="C571" s="236">
        <f>BZ71</f>
        <v>0</v>
      </c>
      <c r="D571" s="181" t="s">
        <v>529</v>
      </c>
      <c r="E571" s="181" t="s">
        <v>529</v>
      </c>
      <c r="F571" s="259"/>
      <c r="G571" s="259"/>
      <c r="H571" s="261"/>
      <c r="J571" s="197"/>
      <c r="M571" s="261"/>
    </row>
    <row r="572" spans="1:13" ht="12.6" customHeight="1" x14ac:dyDescent="0.25">
      <c r="A572" s="180" t="s">
        <v>585</v>
      </c>
      <c r="B572" s="236">
        <f>'Prior Year'!CA71</f>
        <v>467306.25950000004</v>
      </c>
      <c r="C572" s="236">
        <f>CA71</f>
        <v>507489.80928000004</v>
      </c>
      <c r="D572" s="181" t="s">
        <v>529</v>
      </c>
      <c r="E572" s="181" t="s">
        <v>529</v>
      </c>
      <c r="F572" s="259"/>
      <c r="G572" s="259"/>
      <c r="H572" s="261"/>
      <c r="J572" s="197"/>
      <c r="M572" s="261"/>
    </row>
    <row r="573" spans="1:13" ht="12.6" customHeight="1" x14ac:dyDescent="0.25">
      <c r="A573" s="180" t="s">
        <v>586</v>
      </c>
      <c r="B573" s="236">
        <f>'Prior Year'!CB71</f>
        <v>29311.808400000005</v>
      </c>
      <c r="C573" s="236">
        <f>CB71</f>
        <v>34213.396519999995</v>
      </c>
      <c r="D573" s="181" t="s">
        <v>529</v>
      </c>
      <c r="E573" s="181" t="s">
        <v>529</v>
      </c>
      <c r="F573" s="259"/>
      <c r="G573" s="259"/>
      <c r="H573" s="261"/>
      <c r="J573" s="197"/>
      <c r="M573" s="261"/>
    </row>
    <row r="574" spans="1:13" ht="12.6" customHeight="1" x14ac:dyDescent="0.25">
      <c r="A574" s="180" t="s">
        <v>587</v>
      </c>
      <c r="B574" s="236">
        <f>'Prior Year'!CC71</f>
        <v>8938344.1174665801</v>
      </c>
      <c r="C574" s="236">
        <f>CC71</f>
        <v>7185751.2341428967</v>
      </c>
      <c r="D574" s="181" t="s">
        <v>529</v>
      </c>
      <c r="E574" s="181" t="s">
        <v>529</v>
      </c>
      <c r="F574" s="259"/>
      <c r="G574" s="259"/>
      <c r="H574" s="261"/>
      <c r="J574" s="197"/>
      <c r="M574" s="261"/>
    </row>
    <row r="575" spans="1:13" ht="12.6" customHeight="1" x14ac:dyDescent="0.25">
      <c r="A575" s="180" t="s">
        <v>588</v>
      </c>
      <c r="B575" s="236">
        <f>'Prior Year'!CD71</f>
        <v>8072043.1800000006</v>
      </c>
      <c r="C575" s="236">
        <f>CD71</f>
        <v>7246315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4"/>
      <c r="C612" s="181" t="s">
        <v>589</v>
      </c>
      <c r="D612" s="180">
        <f>CE76-(BE76+CD76)</f>
        <v>265955</v>
      </c>
      <c r="E612" s="180">
        <f>SUM(C624:D647)+SUM(C668:D713)</f>
        <v>159436330.29252911</v>
      </c>
      <c r="F612" s="180">
        <f>CE64-(AX64+BD64+BE64+BG64+BJ64+BN64+BP64+BQ64+CB64+CC64+CD64)</f>
        <v>26979336.929999992</v>
      </c>
      <c r="G612" s="180">
        <f>CE77-(AX77+AY77+BD77+BE77+BG77+BJ77+BN77+BP77+BQ77+CB77+CC77+CD77)</f>
        <v>110236</v>
      </c>
      <c r="H612" s="195">
        <f>CE60-(AX60+AY60+AZ60+BD60+BE60+BG60+BJ60+BN60+BO60+BP60+BQ60+BR60+CB60+CC60+CD60)</f>
        <v>703.42756250000036</v>
      </c>
      <c r="I612" s="180">
        <f>CE78-(AX78+AY78+AZ78+BD78+BE78+BF78+BG78+BJ78+BN78+BO78+BP78+BQ78+BR78+CB78+CC78+CD78)</f>
        <v>56449.13</v>
      </c>
      <c r="J612" s="180">
        <f>CE79-(AX79+AY79+AZ79+BA79+BD79+BE79+BF79+BG79+BJ79+BN79+BO79+BP79+BQ79+BR79+CB79+CC79+CD79)</f>
        <v>773356</v>
      </c>
      <c r="K612" s="180">
        <f>CE75-(AW75+AX75+AY75+AZ75+BA75+BB75+BC75+BD75+BE75+BF75+BG75+BH75+BI75+BJ75+BK75+BL75+BM75+BN75+BO75+BP75+BQ75+BR75+BS75+BT75+BU75+BV75+BW75+BX75+CB75+CC75+CD75)</f>
        <v>883555067.8499999</v>
      </c>
      <c r="L612" s="195">
        <f>CE80-(AW80+AX80+AY80+AZ80+BA80+BB80+BC80+BD80+BE80+BF80+BG80+BH80+BI80+BJ80+BK80+BL80+BM80+BN80+BO80+BP80+BQ80+BR80+BS80+BT80+BU80+BV80+BW80+BX80+BY80+BZ80+CA80+CB80+CC80+CD80)</f>
        <v>206.41299999999995</v>
      </c>
    </row>
    <row r="613" spans="1:14" ht="12.6" customHeight="1" x14ac:dyDescent="0.25">
      <c r="A613" s="194"/>
      <c r="C613" s="181" t="s">
        <v>590</v>
      </c>
      <c r="D613" s="181" t="s">
        <v>591</v>
      </c>
      <c r="E613" s="196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6" t="s">
        <v>599</v>
      </c>
    </row>
    <row r="614" spans="1:14" ht="12.6" customHeight="1" x14ac:dyDescent="0.25">
      <c r="A614" s="194">
        <v>8430</v>
      </c>
      <c r="B614" s="196" t="s">
        <v>140</v>
      </c>
      <c r="C614" s="180">
        <f>BE71</f>
        <v>6438850.8168799998</v>
      </c>
      <c r="N614" s="197" t="s">
        <v>600</v>
      </c>
    </row>
    <row r="615" spans="1:14" ht="12.6" customHeight="1" x14ac:dyDescent="0.25">
      <c r="A615" s="194"/>
      <c r="B615" s="196" t="s">
        <v>601</v>
      </c>
      <c r="C615" s="269">
        <f>CD69-CD70</f>
        <v>7246315</v>
      </c>
      <c r="D615" s="262">
        <f>SUM(C614:C615)</f>
        <v>13685165.816879999</v>
      </c>
      <c r="N615" s="197" t="s">
        <v>602</v>
      </c>
    </row>
    <row r="616" spans="1:14" ht="12.6" customHeight="1" x14ac:dyDescent="0.25">
      <c r="A616" s="194">
        <v>8310</v>
      </c>
      <c r="B616" s="198" t="s">
        <v>603</v>
      </c>
      <c r="C616" s="180">
        <f>AX71</f>
        <v>59244.906239999989</v>
      </c>
      <c r="D616" s="180">
        <f>(D615/D612)*AX76</f>
        <v>0</v>
      </c>
      <c r="N616" s="197" t="s">
        <v>604</v>
      </c>
    </row>
    <row r="617" spans="1:14" ht="12.6" customHeight="1" x14ac:dyDescent="0.25">
      <c r="A617" s="194">
        <v>8510</v>
      </c>
      <c r="B617" s="198" t="s">
        <v>145</v>
      </c>
      <c r="C617" s="180">
        <f>BJ71</f>
        <v>265283.34811999992</v>
      </c>
      <c r="D617" s="180">
        <f>(D615/D612)*BJ76</f>
        <v>0</v>
      </c>
      <c r="N617" s="197" t="s">
        <v>605</v>
      </c>
    </row>
    <row r="618" spans="1:14" ht="12.6" customHeight="1" x14ac:dyDescent="0.25">
      <c r="A618" s="194">
        <v>8470</v>
      </c>
      <c r="B618" s="198" t="s">
        <v>606</v>
      </c>
      <c r="C618" s="180">
        <f>BG71</f>
        <v>255043.22668000002</v>
      </c>
      <c r="D618" s="180">
        <f>(D615/D612)*BG76</f>
        <v>0</v>
      </c>
      <c r="N618" s="197" t="s">
        <v>607</v>
      </c>
    </row>
    <row r="619" spans="1:14" ht="12.6" customHeight="1" x14ac:dyDescent="0.25">
      <c r="A619" s="194">
        <v>8610</v>
      </c>
      <c r="B619" s="198" t="s">
        <v>608</v>
      </c>
      <c r="C619" s="180">
        <f>BN71</f>
        <v>6078131.6203294201</v>
      </c>
      <c r="D619" s="180">
        <f>(D615/D612)*BN76</f>
        <v>3575108.3853478539</v>
      </c>
      <c r="N619" s="197" t="s">
        <v>609</v>
      </c>
    </row>
    <row r="620" spans="1:14" ht="12.6" customHeight="1" x14ac:dyDescent="0.25">
      <c r="A620" s="194">
        <v>8790</v>
      </c>
      <c r="B620" s="198" t="s">
        <v>610</v>
      </c>
      <c r="C620" s="180">
        <f>CC71</f>
        <v>7185751.2341428967</v>
      </c>
      <c r="D620" s="180">
        <f>(D615/D612)*CC76</f>
        <v>0</v>
      </c>
      <c r="N620" s="197" t="s">
        <v>611</v>
      </c>
    </row>
    <row r="621" spans="1:14" ht="12.6" customHeight="1" x14ac:dyDescent="0.25">
      <c r="A621" s="194">
        <v>8630</v>
      </c>
      <c r="B621" s="198" t="s">
        <v>612</v>
      </c>
      <c r="C621" s="180">
        <f>BP71</f>
        <v>1019033.2456799999</v>
      </c>
      <c r="D621" s="180">
        <f>(D615/D612)*BP76</f>
        <v>0</v>
      </c>
      <c r="N621" s="197" t="s">
        <v>613</v>
      </c>
    </row>
    <row r="622" spans="1:14" ht="12.6" customHeight="1" x14ac:dyDescent="0.25">
      <c r="A622" s="194">
        <v>8770</v>
      </c>
      <c r="B622" s="196" t="s">
        <v>614</v>
      </c>
      <c r="C622" s="180">
        <f>CB71</f>
        <v>34213.396519999995</v>
      </c>
      <c r="D622" s="180">
        <f>(D615/D612)*CB76</f>
        <v>0</v>
      </c>
      <c r="N622" s="197" t="s">
        <v>615</v>
      </c>
    </row>
    <row r="623" spans="1:14" ht="12.6" customHeight="1" x14ac:dyDescent="0.25">
      <c r="A623" s="194">
        <v>8640</v>
      </c>
      <c r="B623" s="198" t="s">
        <v>616</v>
      </c>
      <c r="C623" s="180">
        <f>BQ71</f>
        <v>0</v>
      </c>
      <c r="D623" s="180">
        <f>(D615/D612)*BQ76</f>
        <v>0</v>
      </c>
      <c r="E623" s="180">
        <f>SUM(C616:D623)</f>
        <v>18471809.363060173</v>
      </c>
      <c r="N623" s="197" t="s">
        <v>617</v>
      </c>
    </row>
    <row r="624" spans="1:14" ht="12.6" customHeight="1" x14ac:dyDescent="0.25">
      <c r="A624" s="194">
        <v>8420</v>
      </c>
      <c r="B624" s="198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7" t="s">
        <v>618</v>
      </c>
    </row>
    <row r="625" spans="1:14" ht="12.6" customHeight="1" x14ac:dyDescent="0.25">
      <c r="A625" s="194">
        <v>8320</v>
      </c>
      <c r="B625" s="198" t="s">
        <v>135</v>
      </c>
      <c r="C625" s="180">
        <f>AY71</f>
        <v>15205</v>
      </c>
      <c r="D625" s="180">
        <f>(D615/D612)*AY76</f>
        <v>64166.501000730794</v>
      </c>
      <c r="E625" s="180">
        <f>(E623/E612)*SUM(C625:D625)</f>
        <v>9195.7412257006708</v>
      </c>
      <c r="F625" s="180">
        <f>(F624/F612)*AY64</f>
        <v>0</v>
      </c>
      <c r="G625" s="180">
        <f>SUM(C625:F625)</f>
        <v>88567.242226431452</v>
      </c>
      <c r="N625" s="197" t="s">
        <v>619</v>
      </c>
    </row>
    <row r="626" spans="1:14" ht="12.6" customHeight="1" x14ac:dyDescent="0.25">
      <c r="A626" s="194">
        <v>8650</v>
      </c>
      <c r="B626" s="198" t="s">
        <v>152</v>
      </c>
      <c r="C626" s="180">
        <f>BR71</f>
        <v>650624.20675999997</v>
      </c>
      <c r="D626" s="180">
        <f>(D615/D612)*BR76</f>
        <v>0</v>
      </c>
      <c r="E626" s="180">
        <f>(E623/E612)*SUM(C626:D626)</f>
        <v>75379.346051256391</v>
      </c>
      <c r="F626" s="180">
        <f>(F624/F612)*BR64</f>
        <v>0</v>
      </c>
      <c r="G626" s="180">
        <f>(G625/G612)*BR77</f>
        <v>0</v>
      </c>
      <c r="N626" s="197" t="s">
        <v>620</v>
      </c>
    </row>
    <row r="627" spans="1:14" ht="12.6" customHeight="1" x14ac:dyDescent="0.25">
      <c r="A627" s="194">
        <v>8620</v>
      </c>
      <c r="B627" s="196" t="s">
        <v>621</v>
      </c>
      <c r="C627" s="180">
        <f>BO71</f>
        <v>193367.18455999999</v>
      </c>
      <c r="D627" s="180">
        <f>(D615/D612)*BO76</f>
        <v>0</v>
      </c>
      <c r="E627" s="180">
        <f>(E623/E612)*SUM(C627:D627)</f>
        <v>22402.935163588383</v>
      </c>
      <c r="F627" s="180">
        <f>(F624/F612)*BO64</f>
        <v>0</v>
      </c>
      <c r="G627" s="180">
        <f>(G625/G612)*BO77</f>
        <v>0</v>
      </c>
      <c r="N627" s="197" t="s">
        <v>622</v>
      </c>
    </row>
    <row r="628" spans="1:14" ht="12.6" customHeight="1" x14ac:dyDescent="0.25">
      <c r="A628" s="194">
        <v>8330</v>
      </c>
      <c r="B628" s="198" t="s">
        <v>136</v>
      </c>
      <c r="C628" s="180">
        <f>AZ71</f>
        <v>2436105.4299999992</v>
      </c>
      <c r="D628" s="180">
        <f>(D615/D612)*AZ76</f>
        <v>312650.89020083426</v>
      </c>
      <c r="E628" s="180">
        <f>(E623/E612)*SUM(C628:D628)</f>
        <v>318462.5652076726</v>
      </c>
      <c r="F628" s="180">
        <f>(F624/F612)*AZ64</f>
        <v>0</v>
      </c>
      <c r="G628" s="180">
        <f>(G625/G612)*AZ77</f>
        <v>0</v>
      </c>
      <c r="H628" s="180">
        <f>SUM(C626:G628)</f>
        <v>4008992.5579433511</v>
      </c>
      <c r="N628" s="197" t="s">
        <v>623</v>
      </c>
    </row>
    <row r="629" spans="1:14" ht="12.6" customHeight="1" x14ac:dyDescent="0.25">
      <c r="A629" s="194">
        <v>8460</v>
      </c>
      <c r="B629" s="198" t="s">
        <v>141</v>
      </c>
      <c r="C629" s="180">
        <f>BF71</f>
        <v>1927100.56</v>
      </c>
      <c r="D629" s="180">
        <f>(D615/D612)*BF76</f>
        <v>37563.388717348418</v>
      </c>
      <c r="E629" s="180">
        <f>(E623/E612)*SUM(C629:D629)</f>
        <v>227620.00264681462</v>
      </c>
      <c r="F629" s="180">
        <f>(F624/F612)*BF64</f>
        <v>0</v>
      </c>
      <c r="G629" s="180">
        <f>(G625/G612)*BF77</f>
        <v>0</v>
      </c>
      <c r="H629" s="180">
        <f>(H628/H612)*BF60</f>
        <v>154671.31813451968</v>
      </c>
      <c r="I629" s="180">
        <f>SUM(C629:H629)</f>
        <v>2346955.269498683</v>
      </c>
      <c r="N629" s="197" t="s">
        <v>624</v>
      </c>
    </row>
    <row r="630" spans="1:14" ht="12.6" customHeight="1" x14ac:dyDescent="0.25">
      <c r="A630" s="194">
        <v>8350</v>
      </c>
      <c r="B630" s="198" t="s">
        <v>625</v>
      </c>
      <c r="C630" s="180">
        <f>BA71</f>
        <v>116905.98999999999</v>
      </c>
      <c r="D630" s="180">
        <f>(D615/D612)*BA76</f>
        <v>45950.830307660464</v>
      </c>
      <c r="E630" s="180">
        <f>(E623/E612)*SUM(C630:D630)</f>
        <v>18868.096955554498</v>
      </c>
      <c r="F630" s="180">
        <f>(F624/F612)*BA64</f>
        <v>0</v>
      </c>
      <c r="G630" s="180">
        <f>(G625/G612)*BA77</f>
        <v>0</v>
      </c>
      <c r="H630" s="180">
        <f>(H628/H612)*BA60</f>
        <v>7666.4999923652204</v>
      </c>
      <c r="I630" s="180">
        <f>(I629/I612)*BA78</f>
        <v>11122.951724102684</v>
      </c>
      <c r="J630" s="180">
        <f>SUM(C630:I630)</f>
        <v>200514.36897968285</v>
      </c>
      <c r="N630" s="197" t="s">
        <v>626</v>
      </c>
    </row>
    <row r="631" spans="1:14" ht="12.6" customHeight="1" x14ac:dyDescent="0.25">
      <c r="A631" s="194">
        <v>8200</v>
      </c>
      <c r="B631" s="198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7" t="s">
        <v>628</v>
      </c>
    </row>
    <row r="632" spans="1:14" ht="12.6" customHeight="1" x14ac:dyDescent="0.25">
      <c r="A632" s="194">
        <v>8360</v>
      </c>
      <c r="B632" s="198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7" t="s">
        <v>630</v>
      </c>
    </row>
    <row r="633" spans="1:14" ht="12.6" customHeight="1" x14ac:dyDescent="0.25">
      <c r="A633" s="194">
        <v>8370</v>
      </c>
      <c r="B633" s="198" t="s">
        <v>631</v>
      </c>
      <c r="C633" s="180">
        <f>BC71</f>
        <v>225857.51999999996</v>
      </c>
      <c r="D633" s="180">
        <f>(D615/D612)*BC76</f>
        <v>0</v>
      </c>
      <c r="E633" s="180">
        <f>(E623/E612)*SUM(C633:D633)</f>
        <v>26167.166824517921</v>
      </c>
      <c r="F633" s="180">
        <f>(F624/F612)*BC64</f>
        <v>0</v>
      </c>
      <c r="G633" s="180">
        <f>(G625/G612)*BC77</f>
        <v>0</v>
      </c>
      <c r="H633" s="180">
        <f>(H628/H612)*BC60</f>
        <v>21070.257221742035</v>
      </c>
      <c r="I633" s="180">
        <f>(I629/I612)*BC78</f>
        <v>0</v>
      </c>
      <c r="J633" s="180">
        <f>(J630/J612)*BC79</f>
        <v>0</v>
      </c>
      <c r="N633" s="197" t="s">
        <v>632</v>
      </c>
    </row>
    <row r="634" spans="1:14" ht="12.6" customHeight="1" x14ac:dyDescent="0.25">
      <c r="A634" s="194">
        <v>8490</v>
      </c>
      <c r="B634" s="198" t="s">
        <v>633</v>
      </c>
      <c r="C634" s="180">
        <f>BI71</f>
        <v>-20342.560000000027</v>
      </c>
      <c r="D634" s="180">
        <f>(D615/D612)*BI76</f>
        <v>34681.813692455937</v>
      </c>
      <c r="E634" s="180">
        <f>(E623/E612)*SUM(C634:D634)</f>
        <v>1661.3024153881547</v>
      </c>
      <c r="F634" s="180">
        <f>(F624/F612)*BI64</f>
        <v>0</v>
      </c>
      <c r="G634" s="180">
        <f>(G625/G612)*BI77</f>
        <v>0</v>
      </c>
      <c r="H634" s="180">
        <f>(H628/H612)*BI60</f>
        <v>1127.5151169266001</v>
      </c>
      <c r="I634" s="180">
        <f>(I629/I612)*BI78</f>
        <v>8395.1505733988906</v>
      </c>
      <c r="J634" s="180">
        <f>(J630/J612)*BI79</f>
        <v>0</v>
      </c>
      <c r="N634" s="197" t="s">
        <v>634</v>
      </c>
    </row>
    <row r="635" spans="1:14" ht="12.6" customHeight="1" x14ac:dyDescent="0.25">
      <c r="A635" s="194">
        <v>8530</v>
      </c>
      <c r="B635" s="198" t="s">
        <v>635</v>
      </c>
      <c r="C635" s="180">
        <f>BK71</f>
        <v>1737873.9040149639</v>
      </c>
      <c r="D635" s="180">
        <f>(D615/D612)*BK76</f>
        <v>0</v>
      </c>
      <c r="E635" s="180">
        <f>(E623/E612)*SUM(C635:D635)</f>
        <v>201344.79634034683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7" t="s">
        <v>636</v>
      </c>
    </row>
    <row r="636" spans="1:14" ht="12.6" customHeight="1" x14ac:dyDescent="0.25">
      <c r="A636" s="194">
        <v>8480</v>
      </c>
      <c r="B636" s="198" t="s">
        <v>637</v>
      </c>
      <c r="C636" s="180">
        <f>BH71</f>
        <v>1111095.9992</v>
      </c>
      <c r="D636" s="180">
        <f>(D615/D612)*BH76</f>
        <v>0</v>
      </c>
      <c r="E636" s="180">
        <f>(E623/E612)*SUM(C636:D636)</f>
        <v>128728.21046259976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7" t="s">
        <v>638</v>
      </c>
    </row>
    <row r="637" spans="1:14" ht="12.6" customHeight="1" x14ac:dyDescent="0.25">
      <c r="A637" s="194">
        <v>8560</v>
      </c>
      <c r="B637" s="198" t="s">
        <v>147</v>
      </c>
      <c r="C637" s="180">
        <f>BL71</f>
        <v>1893979.6281200002</v>
      </c>
      <c r="D637" s="180">
        <f>(D615/D612)*BL76</f>
        <v>0</v>
      </c>
      <c r="E637" s="180">
        <f>(E623/E612)*SUM(C637:D637)</f>
        <v>219430.73177839935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7" t="s">
        <v>639</v>
      </c>
    </row>
    <row r="638" spans="1:14" ht="12.6" customHeight="1" x14ac:dyDescent="0.25">
      <c r="A638" s="194">
        <v>8590</v>
      </c>
      <c r="B638" s="198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7" t="s">
        <v>641</v>
      </c>
    </row>
    <row r="639" spans="1:14" ht="12.6" customHeight="1" x14ac:dyDescent="0.25">
      <c r="A639" s="194">
        <v>8660</v>
      </c>
      <c r="B639" s="198" t="s">
        <v>642</v>
      </c>
      <c r="C639" s="180">
        <f>BS71</f>
        <v>53429.914439999986</v>
      </c>
      <c r="D639" s="180">
        <f>(D615/D612)*BS76</f>
        <v>0</v>
      </c>
      <c r="E639" s="180">
        <f>(E623/E612)*SUM(C639:D639)</f>
        <v>6190.2277354820817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7" t="s">
        <v>643</v>
      </c>
    </row>
    <row r="640" spans="1:14" ht="12.6" customHeight="1" x14ac:dyDescent="0.25">
      <c r="A640" s="194">
        <v>8670</v>
      </c>
      <c r="B640" s="198" t="s">
        <v>644</v>
      </c>
      <c r="C640" s="180">
        <f>BT71</f>
        <v>91478.531639999987</v>
      </c>
      <c r="D640" s="180">
        <f>(D615/D612)*BT76</f>
        <v>0</v>
      </c>
      <c r="E640" s="180">
        <f>(E623/E612)*SUM(C640:D640)</f>
        <v>10598.425052598741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7" t="s">
        <v>645</v>
      </c>
    </row>
    <row r="641" spans="1:14" ht="12.6" customHeight="1" x14ac:dyDescent="0.25">
      <c r="A641" s="194">
        <v>8680</v>
      </c>
      <c r="B641" s="198" t="s">
        <v>646</v>
      </c>
      <c r="C641" s="180">
        <f>BU71</f>
        <v>31867.568360000008</v>
      </c>
      <c r="D641" s="180">
        <f>(D615/D612)*BU76</f>
        <v>0</v>
      </c>
      <c r="E641" s="180">
        <f>(E623/E612)*SUM(C641:D641)</f>
        <v>3692.079757042623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7" t="s">
        <v>647</v>
      </c>
    </row>
    <row r="642" spans="1:14" ht="12.6" customHeight="1" x14ac:dyDescent="0.25">
      <c r="A642" s="194">
        <v>8690</v>
      </c>
      <c r="B642" s="198" t="s">
        <v>648</v>
      </c>
      <c r="C642" s="180">
        <f>BV71</f>
        <v>2406552.8505677478</v>
      </c>
      <c r="D642" s="180">
        <f>(D615/D612)*BV76</f>
        <v>47854.728091964425</v>
      </c>
      <c r="E642" s="180">
        <f>(E623/E612)*SUM(C642:D642)</f>
        <v>284360.21331567707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11583.813105728439</v>
      </c>
      <c r="J642" s="180">
        <f>(J630/J612)*BV79</f>
        <v>0</v>
      </c>
      <c r="N642" s="197" t="s">
        <v>649</v>
      </c>
    </row>
    <row r="643" spans="1:14" ht="12.6" customHeight="1" x14ac:dyDescent="0.25">
      <c r="A643" s="194">
        <v>8700</v>
      </c>
      <c r="B643" s="198" t="s">
        <v>650</v>
      </c>
      <c r="C643" s="180">
        <f>BW71</f>
        <v>469536.11818737997</v>
      </c>
      <c r="D643" s="180">
        <f>(D615/D612)*BW76</f>
        <v>0</v>
      </c>
      <c r="E643" s="180">
        <f>(E623/E612)*SUM(C643:D643)</f>
        <v>54399.029683606444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7" t="s">
        <v>651</v>
      </c>
    </row>
    <row r="644" spans="1:14" ht="12.6" customHeight="1" x14ac:dyDescent="0.25">
      <c r="A644" s="194">
        <v>8710</v>
      </c>
      <c r="B644" s="198" t="s">
        <v>652</v>
      </c>
      <c r="C644" s="180">
        <f>BX71</f>
        <v>2872459.7217133441</v>
      </c>
      <c r="D644" s="180">
        <f>(D615/D612)*BX76</f>
        <v>0</v>
      </c>
      <c r="E644" s="180">
        <f>(E623/E612)*SUM(C644:D644)</f>
        <v>332794.46588619857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12267869.123297509</v>
      </c>
      <c r="N644" s="197" t="s">
        <v>653</v>
      </c>
    </row>
    <row r="645" spans="1:14" ht="12.6" customHeight="1" x14ac:dyDescent="0.25">
      <c r="A645" s="194">
        <v>8720</v>
      </c>
      <c r="B645" s="198" t="s">
        <v>654</v>
      </c>
      <c r="C645" s="180">
        <f>BY71</f>
        <v>1579410.9217999994</v>
      </c>
      <c r="D645" s="180">
        <f>(D615/D612)*BY76</f>
        <v>7203.9375622312036</v>
      </c>
      <c r="E645" s="180">
        <f>(E623/E612)*SUM(C645:D645)</f>
        <v>183820.38247471474</v>
      </c>
      <c r="F645" s="180">
        <f>(F624/F612)*BY64</f>
        <v>0</v>
      </c>
      <c r="G645" s="180">
        <f>(G625/G612)*BY77</f>
        <v>0</v>
      </c>
      <c r="H645" s="180">
        <f>(H628/H612)*BY60</f>
        <v>74359.937062739278</v>
      </c>
      <c r="I645" s="180">
        <f>(I629/I612)*BY78</f>
        <v>1743.7998223677218</v>
      </c>
      <c r="J645" s="180">
        <f>(J630/J612)*BY79</f>
        <v>0</v>
      </c>
      <c r="K645" s="180">
        <v>0</v>
      </c>
      <c r="N645" s="197" t="s">
        <v>655</v>
      </c>
    </row>
    <row r="646" spans="1:14" ht="12.6" customHeight="1" x14ac:dyDescent="0.25">
      <c r="A646" s="194">
        <v>8730</v>
      </c>
      <c r="B646" s="198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7" t="s">
        <v>657</v>
      </c>
    </row>
    <row r="647" spans="1:14" ht="12.6" customHeight="1" x14ac:dyDescent="0.25">
      <c r="A647" s="194">
        <v>8740</v>
      </c>
      <c r="B647" s="198" t="s">
        <v>658</v>
      </c>
      <c r="C647" s="180">
        <f>CA71</f>
        <v>507489.80928000004</v>
      </c>
      <c r="D647" s="180">
        <f>(D615/D612)*CA76</f>
        <v>0</v>
      </c>
      <c r="E647" s="180">
        <f>(E623/E612)*SUM(C647:D647)</f>
        <v>58796.229150008141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2412825.0171520603</v>
      </c>
      <c r="N647" s="197" t="s">
        <v>659</v>
      </c>
    </row>
    <row r="648" spans="1:14" ht="12.6" customHeight="1" x14ac:dyDescent="0.25">
      <c r="A648" s="194"/>
      <c r="B648" s="194"/>
      <c r="C648" s="180">
        <f>SUM(C614:C647)</f>
        <v>46881865.093235761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6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6" t="s">
        <v>599</v>
      </c>
      <c r="M667" s="181" t="s">
        <v>662</v>
      </c>
    </row>
    <row r="668" spans="1:14" ht="12.6" customHeight="1" x14ac:dyDescent="0.25">
      <c r="A668" s="194">
        <v>6010</v>
      </c>
      <c r="B668" s="196" t="s">
        <v>283</v>
      </c>
      <c r="C668" s="180">
        <f>C71</f>
        <v>6675443.0299999993</v>
      </c>
      <c r="D668" s="180">
        <f>(D615/D612)*C76</f>
        <v>715968.4802920355</v>
      </c>
      <c r="E668" s="180">
        <f>(E623/E612)*SUM(C668:D668)</f>
        <v>856346.50579034816</v>
      </c>
      <c r="F668" s="180">
        <f>(F624/F612)*C64</f>
        <v>0</v>
      </c>
      <c r="G668" s="180">
        <f>(G625/G612)*C77</f>
        <v>8808.8396147410494</v>
      </c>
      <c r="H668" s="180">
        <f>(H628/H612)*C60</f>
        <v>242331.08375498324</v>
      </c>
      <c r="I668" s="180">
        <f>(I629/I612)*C78</f>
        <v>173308.79091731776</v>
      </c>
      <c r="J668" s="180">
        <f>(J630/J612)*C79</f>
        <v>24012.274734981547</v>
      </c>
      <c r="K668" s="180">
        <f>(K644/K612)*C75</f>
        <v>361486.88756087056</v>
      </c>
      <c r="L668" s="180">
        <f>(L647/L612)*C80</f>
        <v>322880.08322908252</v>
      </c>
      <c r="M668" s="180">
        <f t="shared" ref="M668:M713" si="20">ROUND(SUM(D668:L668),0)</f>
        <v>2705143</v>
      </c>
      <c r="N668" s="196" t="s">
        <v>663</v>
      </c>
    </row>
    <row r="669" spans="1:14" ht="12.6" customHeight="1" x14ac:dyDescent="0.25">
      <c r="A669" s="194">
        <v>6030</v>
      </c>
      <c r="B669" s="196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6" t="s">
        <v>664</v>
      </c>
    </row>
    <row r="670" spans="1:14" ht="12.6" customHeight="1" x14ac:dyDescent="0.25">
      <c r="A670" s="194">
        <v>6070</v>
      </c>
      <c r="B670" s="196" t="s">
        <v>665</v>
      </c>
      <c r="C670" s="180">
        <f>E71</f>
        <v>13295676.354359997</v>
      </c>
      <c r="D670" s="180">
        <f>(D615/D612)*E76</f>
        <v>4292672.0232429551</v>
      </c>
      <c r="E670" s="180">
        <f>(E623/E612)*SUM(C670:D670)</f>
        <v>2037732.6651088514</v>
      </c>
      <c r="F670" s="180">
        <f>(F624/F612)*E64</f>
        <v>0</v>
      </c>
      <c r="G670" s="180">
        <f>(G625/G612)*E77</f>
        <v>78575.749208470879</v>
      </c>
      <c r="H670" s="180">
        <f>(H628/H612)*E60</f>
        <v>881049.9298100915</v>
      </c>
      <c r="I670" s="180">
        <f>(I629/I612)*E78</f>
        <v>1039092.9470098746</v>
      </c>
      <c r="J670" s="180">
        <f>(J630/J612)*E79</f>
        <v>89689.004143905186</v>
      </c>
      <c r="K670" s="180">
        <f>(K644/K612)*E75</f>
        <v>961891.45662102255</v>
      </c>
      <c r="L670" s="180">
        <f>(L647/L612)*E80</f>
        <v>1027176.4236569032</v>
      </c>
      <c r="M670" s="180">
        <f t="shared" si="20"/>
        <v>10407880</v>
      </c>
      <c r="N670" s="196" t="s">
        <v>666</v>
      </c>
    </row>
    <row r="671" spans="1:14" ht="12.6" customHeight="1" x14ac:dyDescent="0.25">
      <c r="A671" s="194">
        <v>6100</v>
      </c>
      <c r="B671" s="196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6" t="s">
        <v>668</v>
      </c>
    </row>
    <row r="672" spans="1:14" ht="12.6" customHeight="1" x14ac:dyDescent="0.25">
      <c r="A672" s="194">
        <v>6120</v>
      </c>
      <c r="B672" s="196" t="s">
        <v>669</v>
      </c>
      <c r="C672" s="180">
        <f>G71</f>
        <v>36414.53284</v>
      </c>
      <c r="D672" s="180">
        <f>(D615/D612)*G76</f>
        <v>0</v>
      </c>
      <c r="E672" s="180">
        <f>(E623/E612)*SUM(C672:D672)</f>
        <v>4218.8772623606537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4219</v>
      </c>
      <c r="N672" s="196" t="s">
        <v>670</v>
      </c>
    </row>
    <row r="673" spans="1:14" ht="12.6" customHeight="1" x14ac:dyDescent="0.25">
      <c r="A673" s="194">
        <v>6140</v>
      </c>
      <c r="B673" s="196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6" t="s">
        <v>672</v>
      </c>
    </row>
    <row r="674" spans="1:14" ht="12.6" customHeight="1" x14ac:dyDescent="0.25">
      <c r="A674" s="194">
        <v>6150</v>
      </c>
      <c r="B674" s="196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6" t="s">
        <v>674</v>
      </c>
    </row>
    <row r="675" spans="1:14" ht="12.6" customHeight="1" x14ac:dyDescent="0.25">
      <c r="A675" s="194">
        <v>6170</v>
      </c>
      <c r="B675" s="196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6" t="s">
        <v>675</v>
      </c>
    </row>
    <row r="676" spans="1:14" ht="12.6" customHeight="1" x14ac:dyDescent="0.25">
      <c r="A676" s="194">
        <v>6200</v>
      </c>
      <c r="B676" s="196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6" t="s">
        <v>676</v>
      </c>
    </row>
    <row r="677" spans="1:14" ht="12.6" customHeight="1" x14ac:dyDescent="0.25">
      <c r="A677" s="194">
        <v>6210</v>
      </c>
      <c r="B677" s="196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6" t="s">
        <v>677</v>
      </c>
    </row>
    <row r="678" spans="1:14" ht="12.6" customHeight="1" x14ac:dyDescent="0.25">
      <c r="A678" s="194">
        <v>6330</v>
      </c>
      <c r="B678" s="196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6" t="s">
        <v>679</v>
      </c>
    </row>
    <row r="679" spans="1:14" ht="12.6" customHeight="1" x14ac:dyDescent="0.25">
      <c r="A679" s="194">
        <v>6400</v>
      </c>
      <c r="B679" s="196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6" t="s">
        <v>681</v>
      </c>
    </row>
    <row r="680" spans="1:14" ht="12.6" customHeight="1" x14ac:dyDescent="0.25">
      <c r="A680" s="194">
        <v>7010</v>
      </c>
      <c r="B680" s="196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6" t="s">
        <v>683</v>
      </c>
    </row>
    <row r="681" spans="1:14" ht="12.6" customHeight="1" x14ac:dyDescent="0.25">
      <c r="A681" s="194">
        <v>7020</v>
      </c>
      <c r="B681" s="196" t="s">
        <v>684</v>
      </c>
      <c r="C681" s="180">
        <f>P71</f>
        <v>29759654.784159996</v>
      </c>
      <c r="D681" s="180">
        <f>(D615/D612)*P76</f>
        <v>1445109.8749835794</v>
      </c>
      <c r="E681" s="180">
        <f>(E623/E612)*SUM(C681:D681)</f>
        <v>3615289.3317682366</v>
      </c>
      <c r="F681" s="180">
        <f>(F624/F612)*P64</f>
        <v>0</v>
      </c>
      <c r="G681" s="180">
        <f>(G625/G612)*P77</f>
        <v>0</v>
      </c>
      <c r="H681" s="180">
        <f>(H628/H612)*P60</f>
        <v>204690.29993232634</v>
      </c>
      <c r="I681" s="180">
        <f>(I629/I612)*P78</f>
        <v>349806.24436696502</v>
      </c>
      <c r="J681" s="180">
        <f>(J630/J612)*P79</f>
        <v>26487.085368003172</v>
      </c>
      <c r="K681" s="180">
        <f>(K644/K612)*P75</f>
        <v>3438908.7824254488</v>
      </c>
      <c r="L681" s="180">
        <f>(L647/L612)*P80</f>
        <v>151164.15689709867</v>
      </c>
      <c r="M681" s="180">
        <f t="shared" si="20"/>
        <v>9231456</v>
      </c>
      <c r="N681" s="196" t="s">
        <v>685</v>
      </c>
    </row>
    <row r="682" spans="1:14" ht="12.6" customHeight="1" x14ac:dyDescent="0.25">
      <c r="A682" s="194">
        <v>7030</v>
      </c>
      <c r="B682" s="196" t="s">
        <v>686</v>
      </c>
      <c r="C682" s="180">
        <f>Q71</f>
        <v>3612228.1799999992</v>
      </c>
      <c r="D682" s="180">
        <f>(D615/D612)*Q76</f>
        <v>186324.69937742277</v>
      </c>
      <c r="E682" s="180">
        <f>(E623/E612)*SUM(C682:D682)</f>
        <v>440088.80858349067</v>
      </c>
      <c r="F682" s="180">
        <f>(F624/F612)*Q64</f>
        <v>0</v>
      </c>
      <c r="G682" s="180">
        <f>(G625/G612)*Q77</f>
        <v>0</v>
      </c>
      <c r="H682" s="180">
        <f>(H628/H612)*Q60</f>
        <v>140910.37288414029</v>
      </c>
      <c r="I682" s="180">
        <f>(I629/I612)*Q78</f>
        <v>45102.136834239434</v>
      </c>
      <c r="J682" s="180">
        <f>(J630/J612)*Q79</f>
        <v>0</v>
      </c>
      <c r="K682" s="180">
        <f>(K644/K612)*Q75</f>
        <v>336358.45399837592</v>
      </c>
      <c r="L682" s="180">
        <f>(L647/L612)*Q80</f>
        <v>202948.96903833689</v>
      </c>
      <c r="M682" s="180">
        <f t="shared" si="20"/>
        <v>1351733</v>
      </c>
      <c r="N682" s="196" t="s">
        <v>687</v>
      </c>
    </row>
    <row r="683" spans="1:14" ht="12.6" customHeight="1" x14ac:dyDescent="0.25">
      <c r="A683" s="194">
        <v>7040</v>
      </c>
      <c r="B683" s="196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6" t="s">
        <v>688</v>
      </c>
    </row>
    <row r="684" spans="1:14" ht="12.6" customHeight="1" x14ac:dyDescent="0.25">
      <c r="A684" s="194">
        <v>7050</v>
      </c>
      <c r="B684" s="196" t="s">
        <v>689</v>
      </c>
      <c r="C684" s="180">
        <f>S71</f>
        <v>1466657.9819135598</v>
      </c>
      <c r="D684" s="180">
        <f>(D615/D612)*S76</f>
        <v>390144.67569169274</v>
      </c>
      <c r="E684" s="180">
        <f>(E623/E612)*SUM(C684:D684)</f>
        <v>215123.52080092303</v>
      </c>
      <c r="F684" s="180">
        <f>(F624/F612)*S64</f>
        <v>0</v>
      </c>
      <c r="G684" s="180">
        <f>(G625/G612)*S77</f>
        <v>0</v>
      </c>
      <c r="H684" s="180">
        <f>(H628/H612)*S60</f>
        <v>88926.939171192673</v>
      </c>
      <c r="I684" s="180">
        <f>(I629/I612)*S78</f>
        <v>94439.21609422905</v>
      </c>
      <c r="J684" s="180">
        <f>(J630/J612)*S79</f>
        <v>1041.0020630258596</v>
      </c>
      <c r="K684" s="180">
        <f>(K644/K612)*S75</f>
        <v>0</v>
      </c>
      <c r="L684" s="180">
        <f>(L647/L612)*S80</f>
        <v>70.248241842625731</v>
      </c>
      <c r="M684" s="180">
        <f t="shared" si="20"/>
        <v>789746</v>
      </c>
      <c r="N684" s="196" t="s">
        <v>690</v>
      </c>
    </row>
    <row r="685" spans="1:14" ht="12.6" customHeight="1" x14ac:dyDescent="0.25">
      <c r="A685" s="194">
        <v>7060</v>
      </c>
      <c r="B685" s="196" t="s">
        <v>691</v>
      </c>
      <c r="C685" s="180">
        <f>T71</f>
        <v>774081.54544000002</v>
      </c>
      <c r="D685" s="180">
        <f>(D615/D612)*T76</f>
        <v>0</v>
      </c>
      <c r="E685" s="180">
        <f>(E623/E612)*SUM(C685:D685)</f>
        <v>89682.738636770358</v>
      </c>
      <c r="F685" s="180">
        <f>(F624/F612)*T64</f>
        <v>0</v>
      </c>
      <c r="G685" s="180">
        <f>(G625/G612)*T77</f>
        <v>0</v>
      </c>
      <c r="H685" s="180">
        <f>(H628/H612)*T60</f>
        <v>31767.758969500221</v>
      </c>
      <c r="I685" s="180">
        <f>(I629/I612)*T78</f>
        <v>0</v>
      </c>
      <c r="J685" s="180">
        <f>(J630/J612)*T79</f>
        <v>0</v>
      </c>
      <c r="K685" s="180">
        <f>(K644/K612)*T75</f>
        <v>64885.840105592062</v>
      </c>
      <c r="L685" s="180">
        <f>(L647/L612)*T80</f>
        <v>59099.452472046702</v>
      </c>
      <c r="M685" s="180">
        <f t="shared" si="20"/>
        <v>245436</v>
      </c>
      <c r="N685" s="196" t="s">
        <v>692</v>
      </c>
    </row>
    <row r="686" spans="1:14" ht="12.6" customHeight="1" x14ac:dyDescent="0.25">
      <c r="A686" s="194">
        <v>7070</v>
      </c>
      <c r="B686" s="196" t="s">
        <v>109</v>
      </c>
      <c r="C686" s="180">
        <f>U71</f>
        <v>4003432.06</v>
      </c>
      <c r="D686" s="180">
        <f>(D615/D612)*U76</f>
        <v>375376.60368911881</v>
      </c>
      <c r="E686" s="180">
        <f>(E623/E612)*SUM(C686:D686)</f>
        <v>507315.48276717809</v>
      </c>
      <c r="F686" s="180">
        <f>(F624/F612)*U64</f>
        <v>0</v>
      </c>
      <c r="G686" s="180">
        <f>(G625/G612)*U77</f>
        <v>0</v>
      </c>
      <c r="H686" s="180">
        <f>(H628/H612)*U60</f>
        <v>107509.4295028683</v>
      </c>
      <c r="I686" s="180">
        <f>(I629/I612)*U78</f>
        <v>90864.426458375208</v>
      </c>
      <c r="J686" s="180">
        <f>(J630/J612)*U79</f>
        <v>0</v>
      </c>
      <c r="K686" s="180">
        <f>(K644/K612)*U75</f>
        <v>597594.19971176737</v>
      </c>
      <c r="L686" s="180">
        <f>(L647/L612)*U80</f>
        <v>0</v>
      </c>
      <c r="M686" s="180">
        <f t="shared" si="20"/>
        <v>1678660</v>
      </c>
      <c r="N686" s="196" t="s">
        <v>693</v>
      </c>
    </row>
    <row r="687" spans="1:14" ht="12.6" customHeight="1" x14ac:dyDescent="0.25">
      <c r="A687" s="194">
        <v>7110</v>
      </c>
      <c r="B687" s="196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6" t="s">
        <v>695</v>
      </c>
    </row>
    <row r="688" spans="1:14" ht="12.6" customHeight="1" x14ac:dyDescent="0.25">
      <c r="A688" s="194">
        <v>7120</v>
      </c>
      <c r="B688" s="196" t="s">
        <v>696</v>
      </c>
      <c r="C688" s="180">
        <f>W71</f>
        <v>667240.86</v>
      </c>
      <c r="D688" s="180">
        <f>(D615/D612)*W76</f>
        <v>56602.366560388029</v>
      </c>
      <c r="E688" s="180">
        <f>(E623/E612)*SUM(C688:D688)</f>
        <v>83862.279476915341</v>
      </c>
      <c r="F688" s="180">
        <f>(F624/F612)*W64</f>
        <v>0</v>
      </c>
      <c r="G688" s="180">
        <f>(G625/G612)*W77</f>
        <v>0</v>
      </c>
      <c r="H688" s="180">
        <f>(H628/H612)*W60</f>
        <v>21151.087588569091</v>
      </c>
      <c r="I688" s="180">
        <f>(I629/I612)*W78</f>
        <v>13701.28431860353</v>
      </c>
      <c r="J688" s="180">
        <f>(J630/J612)*W79</f>
        <v>0</v>
      </c>
      <c r="K688" s="180">
        <f>(K644/K612)*W75</f>
        <v>244757.92833368201</v>
      </c>
      <c r="L688" s="180">
        <f>(L647/L612)*W80</f>
        <v>0</v>
      </c>
      <c r="M688" s="180">
        <f t="shared" si="20"/>
        <v>420075</v>
      </c>
      <c r="N688" s="196" t="s">
        <v>697</v>
      </c>
    </row>
    <row r="689" spans="1:14" ht="12.6" customHeight="1" x14ac:dyDescent="0.25">
      <c r="A689" s="194">
        <v>7130</v>
      </c>
      <c r="B689" s="196" t="s">
        <v>698</v>
      </c>
      <c r="C689" s="180">
        <f>X71</f>
        <v>1087862.2200000002</v>
      </c>
      <c r="D689" s="180">
        <f>(D615/D612)*X76</f>
        <v>50221.736148126103</v>
      </c>
      <c r="E689" s="180">
        <f>(E623/E612)*SUM(C689:D689)</f>
        <v>131854.95325032953</v>
      </c>
      <c r="F689" s="180">
        <f>(F624/F612)*X64</f>
        <v>0</v>
      </c>
      <c r="G689" s="180">
        <f>(G625/G612)*X77</f>
        <v>0</v>
      </c>
      <c r="H689" s="180">
        <f>(H628/H612)*X60</f>
        <v>35798.399461486937</v>
      </c>
      <c r="I689" s="180">
        <f>(I629/I612)*X78</f>
        <v>12156.775904506405</v>
      </c>
      <c r="J689" s="180">
        <f>(J630/J612)*X79</f>
        <v>0</v>
      </c>
      <c r="K689" s="180">
        <f>(K644/K612)*X75</f>
        <v>1116179.5133849729</v>
      </c>
      <c r="L689" s="180">
        <f>(L647/L612)*X80</f>
        <v>0</v>
      </c>
      <c r="M689" s="180">
        <f t="shared" si="20"/>
        <v>1346211</v>
      </c>
      <c r="N689" s="196" t="s">
        <v>699</v>
      </c>
    </row>
    <row r="690" spans="1:14" ht="12.6" customHeight="1" x14ac:dyDescent="0.25">
      <c r="A690" s="194">
        <v>7140</v>
      </c>
      <c r="B690" s="196" t="s">
        <v>1250</v>
      </c>
      <c r="C690" s="180">
        <f>Y71</f>
        <v>3911435.67</v>
      </c>
      <c r="D690" s="180">
        <f>(D615/D612)*Y76</f>
        <v>771490.25621808879</v>
      </c>
      <c r="E690" s="180">
        <f>(E623/E612)*SUM(C690:D690)</f>
        <v>542549.58585487364</v>
      </c>
      <c r="F690" s="180">
        <f>(F624/F612)*Y64</f>
        <v>0</v>
      </c>
      <c r="G690" s="180">
        <f>(G625/G612)*Y77</f>
        <v>0</v>
      </c>
      <c r="H690" s="180">
        <f>(H628/H612)*Y60</f>
        <v>115453.76675612382</v>
      </c>
      <c r="I690" s="180">
        <f>(I629/I612)*Y78</f>
        <v>186748.50526256609</v>
      </c>
      <c r="J690" s="180">
        <f>(J630/J612)*Y79</f>
        <v>16349.5661495105</v>
      </c>
      <c r="K690" s="180">
        <f>(K644/K612)*Y75</f>
        <v>491454.68010459945</v>
      </c>
      <c r="L690" s="180">
        <f>(L647/L612)*Y80</f>
        <v>5.619859347410058</v>
      </c>
      <c r="M690" s="180">
        <f t="shared" si="20"/>
        <v>2124052</v>
      </c>
      <c r="N690" s="196" t="s">
        <v>700</v>
      </c>
    </row>
    <row r="691" spans="1:14" ht="12.6" customHeight="1" x14ac:dyDescent="0.25">
      <c r="A691" s="194">
        <v>7150</v>
      </c>
      <c r="B691" s="196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6" t="s">
        <v>702</v>
      </c>
    </row>
    <row r="692" spans="1:14" ht="12.6" customHeight="1" x14ac:dyDescent="0.25">
      <c r="A692" s="194">
        <v>7160</v>
      </c>
      <c r="B692" s="196" t="s">
        <v>703</v>
      </c>
      <c r="C692" s="180">
        <f>AA71</f>
        <v>671518.79</v>
      </c>
      <c r="D692" s="180">
        <f>(D615/D612)*AA76</f>
        <v>0</v>
      </c>
      <c r="E692" s="180">
        <f>(E623/E612)*SUM(C692:D692)</f>
        <v>77800.129053610523</v>
      </c>
      <c r="F692" s="180">
        <f>(F624/F612)*AA64</f>
        <v>0</v>
      </c>
      <c r="G692" s="180">
        <f>(G625/G612)*AA77</f>
        <v>0</v>
      </c>
      <c r="H692" s="180">
        <f>(H628/H612)*AA60</f>
        <v>14222.938747013617</v>
      </c>
      <c r="I692" s="180">
        <f>(I629/I612)*AA78</f>
        <v>0</v>
      </c>
      <c r="J692" s="180">
        <f>(J630/J612)*AA79</f>
        <v>0</v>
      </c>
      <c r="K692" s="180">
        <f>(K644/K612)*AA75</f>
        <v>130188.48143356094</v>
      </c>
      <c r="L692" s="180">
        <f>(L647/L612)*AA80</f>
        <v>0</v>
      </c>
      <c r="M692" s="180">
        <f t="shared" si="20"/>
        <v>222212</v>
      </c>
      <c r="N692" s="196" t="s">
        <v>704</v>
      </c>
    </row>
    <row r="693" spans="1:14" ht="12.6" customHeight="1" x14ac:dyDescent="0.25">
      <c r="A693" s="194">
        <v>7170</v>
      </c>
      <c r="B693" s="196" t="s">
        <v>115</v>
      </c>
      <c r="C693" s="180">
        <f>AB71</f>
        <v>9752825.7799999975</v>
      </c>
      <c r="D693" s="180">
        <f>(D615/D612)*AB76</f>
        <v>145879.73563518189</v>
      </c>
      <c r="E693" s="180">
        <f>(E623/E612)*SUM(C693:D693)</f>
        <v>1146833.9799994328</v>
      </c>
      <c r="F693" s="180">
        <f>(F624/F612)*AB64</f>
        <v>0</v>
      </c>
      <c r="G693" s="180">
        <f>(G625/G612)*AB77</f>
        <v>0</v>
      </c>
      <c r="H693" s="180">
        <f>(H628/H612)*AB60</f>
        <v>153458.8078318651</v>
      </c>
      <c r="I693" s="180">
        <f>(I629/I612)*AB78</f>
        <v>35311.946402946363</v>
      </c>
      <c r="J693" s="180">
        <f>(J630/J612)*AB79</f>
        <v>0</v>
      </c>
      <c r="K693" s="180">
        <f>(K644/K612)*AB75</f>
        <v>1604265.2158847419</v>
      </c>
      <c r="L693" s="180">
        <f>(L647/L612)*AB80</f>
        <v>0</v>
      </c>
      <c r="M693" s="180">
        <f t="shared" si="20"/>
        <v>3085750</v>
      </c>
      <c r="N693" s="196" t="s">
        <v>705</v>
      </c>
    </row>
    <row r="694" spans="1:14" ht="12.6" customHeight="1" x14ac:dyDescent="0.25">
      <c r="A694" s="194">
        <v>7180</v>
      </c>
      <c r="B694" s="196" t="s">
        <v>706</v>
      </c>
      <c r="C694" s="180">
        <f>AC71</f>
        <v>1710971.0000000002</v>
      </c>
      <c r="D694" s="180">
        <f>(D615/D612)*AC76</f>
        <v>33807.049845613576</v>
      </c>
      <c r="E694" s="180">
        <f>(E623/E612)*SUM(C694:D694)</f>
        <v>202144.6897232699</v>
      </c>
      <c r="F694" s="180">
        <f>(F624/F612)*AC64</f>
        <v>0</v>
      </c>
      <c r="G694" s="180">
        <f>(G625/G612)*AC77</f>
        <v>0</v>
      </c>
      <c r="H694" s="180">
        <f>(H628/H612)*AC60</f>
        <v>73870.899643373385</v>
      </c>
      <c r="I694" s="180">
        <f>(I629/I612)*AC78</f>
        <v>8183.4034521113799</v>
      </c>
      <c r="J694" s="180">
        <f>(J630/J612)*AC79</f>
        <v>0</v>
      </c>
      <c r="K694" s="180">
        <f>(K644/K612)*AC75</f>
        <v>276296.86303033103</v>
      </c>
      <c r="L694" s="180">
        <f>(L647/L612)*AC80</f>
        <v>0</v>
      </c>
      <c r="M694" s="180">
        <f t="shared" si="20"/>
        <v>594303</v>
      </c>
      <c r="N694" s="196" t="s">
        <v>707</v>
      </c>
    </row>
    <row r="695" spans="1:14" ht="12.6" customHeight="1" x14ac:dyDescent="0.25">
      <c r="A695" s="194">
        <v>7190</v>
      </c>
      <c r="B695" s="196" t="s">
        <v>117</v>
      </c>
      <c r="C695" s="180">
        <f>AD71</f>
        <v>516996.99</v>
      </c>
      <c r="D695" s="180">
        <f>(D615/D612)*AD76</f>
        <v>0</v>
      </c>
      <c r="E695" s="180">
        <f>(E623/E612)*SUM(C695:D695)</f>
        <v>59897.702255402546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23834.617952322598</v>
      </c>
      <c r="L695" s="180">
        <f>(L647/L612)*AD80</f>
        <v>0</v>
      </c>
      <c r="M695" s="180">
        <f t="shared" si="20"/>
        <v>83732</v>
      </c>
      <c r="N695" s="196" t="s">
        <v>708</v>
      </c>
    </row>
    <row r="696" spans="1:14" ht="12.6" customHeight="1" x14ac:dyDescent="0.25">
      <c r="A696" s="194">
        <v>7200</v>
      </c>
      <c r="B696" s="196" t="s">
        <v>709</v>
      </c>
      <c r="C696" s="180">
        <f>AE71</f>
        <v>1634138.8799999997</v>
      </c>
      <c r="D696" s="180">
        <f>(D615/D612)*AE76</f>
        <v>298551.75525761029</v>
      </c>
      <c r="E696" s="180">
        <f>(E623/E612)*SUM(C696:D696)</f>
        <v>223915.67158343634</v>
      </c>
      <c r="F696" s="180">
        <f>(F624/F612)*AE64</f>
        <v>0</v>
      </c>
      <c r="G696" s="180">
        <f>(G625/G612)*AE77</f>
        <v>0</v>
      </c>
      <c r="H696" s="180">
        <f>(H628/H612)*AE60</f>
        <v>61747.276223542423</v>
      </c>
      <c r="I696" s="180">
        <f>(I629/I612)*AE78</f>
        <v>72268.04692412517</v>
      </c>
      <c r="J696" s="180">
        <f>(J630/J612)*AE79</f>
        <v>1840.0975445316378</v>
      </c>
      <c r="K696" s="180">
        <f>(K644/K612)*AE75</f>
        <v>110409.57081433707</v>
      </c>
      <c r="L696" s="180">
        <f>(L647/L612)*AE80</f>
        <v>0</v>
      </c>
      <c r="M696" s="180">
        <f t="shared" si="20"/>
        <v>768732</v>
      </c>
      <c r="N696" s="196" t="s">
        <v>710</v>
      </c>
    </row>
    <row r="697" spans="1:14" ht="12.6" customHeight="1" x14ac:dyDescent="0.25">
      <c r="A697" s="194">
        <v>7220</v>
      </c>
      <c r="B697" s="196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6" t="s">
        <v>712</v>
      </c>
    </row>
    <row r="698" spans="1:14" ht="12.6" customHeight="1" x14ac:dyDescent="0.25">
      <c r="A698" s="194">
        <v>7230</v>
      </c>
      <c r="B698" s="196" t="s">
        <v>713</v>
      </c>
      <c r="C698" s="180">
        <f>AG71</f>
        <v>8602418.3790000007</v>
      </c>
      <c r="D698" s="180">
        <f>(D615/D612)*AG76</f>
        <v>797836.0850171058</v>
      </c>
      <c r="E698" s="180">
        <f>(E623/E612)*SUM(C698:D698)</f>
        <v>1089084.9538809021</v>
      </c>
      <c r="F698" s="180">
        <f>(F624/F612)*AG64</f>
        <v>0</v>
      </c>
      <c r="G698" s="180">
        <f>(G625/G612)*AG77</f>
        <v>1182.6534032195207</v>
      </c>
      <c r="H698" s="180">
        <f>(H628/H612)*AG60</f>
        <v>233220.15880748062</v>
      </c>
      <c r="I698" s="180">
        <f>(I629/I612)*AG78</f>
        <v>193125.83032722521</v>
      </c>
      <c r="J698" s="180">
        <f>(J630/J612)*AG79</f>
        <v>41084.190012160798</v>
      </c>
      <c r="K698" s="180">
        <f>(K644/K612)*AG75</f>
        <v>1518720.7520091352</v>
      </c>
      <c r="L698" s="180">
        <f>(L647/L612)*AG80</f>
        <v>261946.92685056938</v>
      </c>
      <c r="M698" s="180">
        <f t="shared" si="20"/>
        <v>4136202</v>
      </c>
      <c r="N698" s="196" t="s">
        <v>714</v>
      </c>
    </row>
    <row r="699" spans="1:14" ht="12.6" customHeight="1" x14ac:dyDescent="0.25">
      <c r="A699" s="194">
        <v>7240</v>
      </c>
      <c r="B699" s="196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6" t="s">
        <v>715</v>
      </c>
    </row>
    <row r="700" spans="1:14" ht="12.6" customHeight="1" x14ac:dyDescent="0.25">
      <c r="A700" s="194">
        <v>7250</v>
      </c>
      <c r="B700" s="196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6" t="s">
        <v>717</v>
      </c>
    </row>
    <row r="701" spans="1:14" ht="12.6" customHeight="1" x14ac:dyDescent="0.25">
      <c r="A701" s="194">
        <v>7260</v>
      </c>
      <c r="B701" s="196" t="s">
        <v>121</v>
      </c>
      <c r="C701" s="180">
        <f>AJ71</f>
        <v>38063310.550000004</v>
      </c>
      <c r="D701" s="180">
        <f>(D615/D612)*AJ76</f>
        <v>0</v>
      </c>
      <c r="E701" s="180">
        <f>(E623/E612)*SUM(C701:D701)</f>
        <v>4409899.6440556124</v>
      </c>
      <c r="F701" s="180">
        <f>(F624/F612)*AJ64</f>
        <v>0</v>
      </c>
      <c r="G701" s="180">
        <f>(G625/G612)*AJ77</f>
        <v>0</v>
      </c>
      <c r="H701" s="180">
        <f>(H628/H612)*AJ60</f>
        <v>1302525.8487661234</v>
      </c>
      <c r="I701" s="180">
        <f>(I629/I612)*AJ78</f>
        <v>0</v>
      </c>
      <c r="J701" s="180">
        <f>(J630/J612)*AJ79</f>
        <v>0</v>
      </c>
      <c r="K701" s="180">
        <f>(K644/K612)*AJ75</f>
        <v>898749.23637166724</v>
      </c>
      <c r="L701" s="180">
        <f>(L647/L612)*AJ80</f>
        <v>385962.33002063871</v>
      </c>
      <c r="M701" s="180">
        <f t="shared" si="20"/>
        <v>6997137</v>
      </c>
      <c r="N701" s="196" t="s">
        <v>718</v>
      </c>
    </row>
    <row r="702" spans="1:14" ht="12.6" customHeight="1" x14ac:dyDescent="0.25">
      <c r="A702" s="194">
        <v>7310</v>
      </c>
      <c r="B702" s="196" t="s">
        <v>719</v>
      </c>
      <c r="C702" s="180">
        <f>AK71</f>
        <v>438501.06000000006</v>
      </c>
      <c r="D702" s="180">
        <f>(D615/D612)*AK76</f>
        <v>0</v>
      </c>
      <c r="E702" s="180">
        <f>(E623/E612)*SUM(C702:D702)</f>
        <v>50803.402028623823</v>
      </c>
      <c r="F702" s="180">
        <f>(F624/F612)*AK64</f>
        <v>0</v>
      </c>
      <c r="G702" s="180">
        <f>(G625/G612)*AK77</f>
        <v>0</v>
      </c>
      <c r="H702" s="180">
        <f>(H628/H612)*AK60</f>
        <v>16011.591464336863</v>
      </c>
      <c r="I702" s="180">
        <f>(I629/I612)*AK78</f>
        <v>0</v>
      </c>
      <c r="J702" s="180">
        <f>(J630/J612)*AK79</f>
        <v>0</v>
      </c>
      <c r="K702" s="180">
        <f>(K644/K612)*AK75</f>
        <v>32898.392714731992</v>
      </c>
      <c r="L702" s="180">
        <f>(L647/L612)*AK80</f>
        <v>0</v>
      </c>
      <c r="M702" s="180">
        <f t="shared" si="20"/>
        <v>99713</v>
      </c>
      <c r="N702" s="196" t="s">
        <v>720</v>
      </c>
    </row>
    <row r="703" spans="1:14" ht="12.6" customHeight="1" x14ac:dyDescent="0.25">
      <c r="A703" s="194">
        <v>7320</v>
      </c>
      <c r="B703" s="196" t="s">
        <v>721</v>
      </c>
      <c r="C703" s="180">
        <f>AL71</f>
        <v>114172.61</v>
      </c>
      <c r="D703" s="180">
        <f>(D615/D612)*AL76</f>
        <v>0</v>
      </c>
      <c r="E703" s="180">
        <f>(E623/E612)*SUM(C703:D703)</f>
        <v>13227.692098366366</v>
      </c>
      <c r="F703" s="180">
        <f>(F624/F612)*AL64</f>
        <v>0</v>
      </c>
      <c r="G703" s="180">
        <f>(G625/G612)*AL77</f>
        <v>0</v>
      </c>
      <c r="H703" s="180">
        <f>(H628/H612)*AL60</f>
        <v>5177.9110985683428</v>
      </c>
      <c r="I703" s="180">
        <f>(I629/I612)*AL78</f>
        <v>0</v>
      </c>
      <c r="J703" s="180">
        <f>(J630/J612)*AL79</f>
        <v>0</v>
      </c>
      <c r="K703" s="180">
        <f>(K644/K612)*AL75</f>
        <v>9736.7333988728406</v>
      </c>
      <c r="L703" s="180">
        <f>(L647/L612)*AL80</f>
        <v>0</v>
      </c>
      <c r="M703" s="180">
        <f t="shared" si="20"/>
        <v>28142</v>
      </c>
      <c r="N703" s="196" t="s">
        <v>722</v>
      </c>
    </row>
    <row r="704" spans="1:14" ht="12.6" customHeight="1" x14ac:dyDescent="0.25">
      <c r="A704" s="194">
        <v>7330</v>
      </c>
      <c r="B704" s="196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6" t="s">
        <v>724</v>
      </c>
    </row>
    <row r="705" spans="1:15" ht="12.6" customHeight="1" x14ac:dyDescent="0.25">
      <c r="A705" s="194">
        <v>7340</v>
      </c>
      <c r="B705" s="196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6" t="s">
        <v>726</v>
      </c>
    </row>
    <row r="706" spans="1:15" ht="12.6" customHeight="1" x14ac:dyDescent="0.25">
      <c r="A706" s="194">
        <v>7350</v>
      </c>
      <c r="B706" s="196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6" t="s">
        <v>728</v>
      </c>
    </row>
    <row r="707" spans="1:15" ht="12.6" customHeight="1" x14ac:dyDescent="0.25">
      <c r="A707" s="194">
        <v>7380</v>
      </c>
      <c r="B707" s="196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6" t="s">
        <v>730</v>
      </c>
    </row>
    <row r="708" spans="1:15" ht="12.6" customHeight="1" x14ac:dyDescent="0.25">
      <c r="A708" s="194">
        <v>7390</v>
      </c>
      <c r="B708" s="196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6" t="s">
        <v>732</v>
      </c>
    </row>
    <row r="709" spans="1:15" ht="12.6" customHeight="1" x14ac:dyDescent="0.25">
      <c r="A709" s="194">
        <v>7400</v>
      </c>
      <c r="B709" s="196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6" t="s">
        <v>734</v>
      </c>
    </row>
    <row r="710" spans="1:15" ht="12.6" customHeight="1" x14ac:dyDescent="0.25">
      <c r="A710" s="194">
        <v>7410</v>
      </c>
      <c r="B710" s="196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6" t="s">
        <v>735</v>
      </c>
    </row>
    <row r="711" spans="1:15" ht="12.6" customHeight="1" x14ac:dyDescent="0.25">
      <c r="A711" s="194">
        <v>7420</v>
      </c>
      <c r="B711" s="196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6" t="s">
        <v>737</v>
      </c>
    </row>
    <row r="712" spans="1:15" ht="12.6" customHeight="1" x14ac:dyDescent="0.25">
      <c r="A712" s="194">
        <v>7430</v>
      </c>
      <c r="B712" s="196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6" t="s">
        <v>739</v>
      </c>
    </row>
    <row r="713" spans="1:15" ht="12.6" customHeight="1" x14ac:dyDescent="0.25">
      <c r="A713" s="194">
        <v>7490</v>
      </c>
      <c r="B713" s="196" t="s">
        <v>740</v>
      </c>
      <c r="C713" s="180">
        <f>AV71</f>
        <v>4231293.3046400007</v>
      </c>
      <c r="D713" s="180">
        <f>(D615/D612)*AV76</f>
        <v>0</v>
      </c>
      <c r="E713" s="180">
        <f>(E623/E612)*SUM(C713:D713)</f>
        <v>490224.80095407338</v>
      </c>
      <c r="F713" s="180">
        <f>(F624/F612)*AV64</f>
        <v>0</v>
      </c>
      <c r="G713" s="180">
        <f>(G625/G612)*AV77</f>
        <v>0</v>
      </c>
      <c r="H713" s="180">
        <f>(H628/H612)*AV60</f>
        <v>20272.530001469833</v>
      </c>
      <c r="I713" s="180">
        <f>(I629/I612)*AV78</f>
        <v>0</v>
      </c>
      <c r="J713" s="180">
        <f>(J630/J612)*AV79</f>
        <v>11.148963564162381</v>
      </c>
      <c r="K713" s="180">
        <f>(K644/K612)*AV75</f>
        <v>49251.517441478951</v>
      </c>
      <c r="L713" s="180">
        <f>(L647/L612)*AV80</f>
        <v>1570.8068861945853</v>
      </c>
      <c r="M713" s="180">
        <f t="shared" si="20"/>
        <v>561331</v>
      </c>
      <c r="N713" s="197" t="s">
        <v>741</v>
      </c>
    </row>
    <row r="715" spans="1:15" ht="12.6" customHeight="1" x14ac:dyDescent="0.25">
      <c r="C715" s="180">
        <f>SUM(C614:C647)+SUM(C668:C713)</f>
        <v>177908139.65558928</v>
      </c>
      <c r="D715" s="180">
        <f>SUM(D616:D647)+SUM(D668:D713)</f>
        <v>13685165.816879999</v>
      </c>
      <c r="E715" s="180">
        <f>SUM(E624:E647)+SUM(E668:E713)</f>
        <v>18471809.363060176</v>
      </c>
      <c r="F715" s="180">
        <f>SUM(F625:F648)+SUM(F668:F713)</f>
        <v>0</v>
      </c>
      <c r="G715" s="180">
        <f>SUM(G626:G647)+SUM(G668:G713)</f>
        <v>88567.242226431452</v>
      </c>
      <c r="H715" s="180">
        <f>SUM(H629:H647)+SUM(H668:H713)</f>
        <v>4008992.5579433492</v>
      </c>
      <c r="I715" s="180">
        <f>SUM(I630:I647)+SUM(I668:I713)</f>
        <v>2346955.269498683</v>
      </c>
      <c r="J715" s="180">
        <f>SUM(J631:J647)+SUM(J668:J713)</f>
        <v>200514.36897968285</v>
      </c>
      <c r="K715" s="180">
        <f>SUM(K668:K713)</f>
        <v>12267869.123297513</v>
      </c>
      <c r="L715" s="180">
        <f>SUM(L668:L713)</f>
        <v>2412825.0171520612</v>
      </c>
      <c r="M715" s="180">
        <f>SUM(M668:M713)</f>
        <v>46881865</v>
      </c>
      <c r="N715" s="196" t="s">
        <v>742</v>
      </c>
    </row>
    <row r="716" spans="1:15" ht="12.6" customHeight="1" x14ac:dyDescent="0.25">
      <c r="C716" s="180">
        <f>CE71</f>
        <v>177908139.65558928</v>
      </c>
      <c r="D716" s="180">
        <f>D615</f>
        <v>13685165.816879999</v>
      </c>
      <c r="E716" s="180">
        <f>E623</f>
        <v>18471809.363060173</v>
      </c>
      <c r="F716" s="180">
        <f>F624</f>
        <v>0</v>
      </c>
      <c r="G716" s="180">
        <f>G625</f>
        <v>88567.242226431452</v>
      </c>
      <c r="H716" s="180">
        <f>H628</f>
        <v>4008992.5579433511</v>
      </c>
      <c r="I716" s="180">
        <f>I629</f>
        <v>2346955.269498683</v>
      </c>
      <c r="J716" s="180">
        <f>J630</f>
        <v>200514.36897968285</v>
      </c>
      <c r="K716" s="180">
        <f>K644</f>
        <v>12267869.123297509</v>
      </c>
      <c r="L716" s="180">
        <f>L647</f>
        <v>2412825.0171520603</v>
      </c>
      <c r="M716" s="180">
        <f>C648</f>
        <v>46881865.093235761</v>
      </c>
      <c r="N716" s="196" t="s">
        <v>743</v>
      </c>
    </row>
    <row r="717" spans="1:15" ht="12.6" customHeight="1" x14ac:dyDescent="0.25">
      <c r="O717" s="196"/>
    </row>
    <row r="718" spans="1:15" ht="12.6" customHeight="1" x14ac:dyDescent="0.25">
      <c r="O718" s="196"/>
    </row>
    <row r="719" spans="1:15" ht="12.6" customHeight="1" x14ac:dyDescent="0.25">
      <c r="O719" s="196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36"/>
  <sheetViews>
    <sheetView workbookViewId="0">
      <pane ySplit="2" topLeftCell="A58" activePane="bottomLeft" state="frozen"/>
      <selection pane="bottomLeft" activeCell="D71" sqref="D71"/>
    </sheetView>
  </sheetViews>
  <sheetFormatPr defaultRowHeight="15" x14ac:dyDescent="0.25"/>
  <cols>
    <col min="1" max="1" width="21.6640625" customWidth="1"/>
    <col min="3" max="4" width="21.6640625" customWidth="1"/>
    <col min="5" max="5" width="36.75" bestFit="1" customWidth="1"/>
    <col min="6" max="6" width="31.6640625" customWidth="1"/>
    <col min="7" max="7" width="34.58203125" bestFit="1" customWidth="1"/>
    <col min="8" max="8" width="28.6640625" bestFit="1" customWidth="1"/>
    <col min="9" max="9" width="25.9140625" bestFit="1" customWidth="1"/>
    <col min="10" max="10" width="23.9140625" bestFit="1" customWidth="1"/>
    <col min="11" max="11" width="23.25" bestFit="1" customWidth="1"/>
    <col min="12" max="12" width="27.9140625" bestFit="1" customWidth="1"/>
    <col min="13" max="13" width="17.25" bestFit="1" customWidth="1"/>
    <col min="14" max="14" width="22.6640625" bestFit="1" customWidth="1"/>
    <col min="15" max="15" width="21.9140625" bestFit="1" customWidth="1"/>
    <col min="16" max="16" width="24.6640625" bestFit="1" customWidth="1"/>
    <col min="17" max="18" width="24.6640625" customWidth="1"/>
    <col min="19" max="19" width="21.58203125" bestFit="1" customWidth="1"/>
    <col min="20" max="20" width="27" bestFit="1" customWidth="1"/>
    <col min="21" max="21" width="31.4140625" bestFit="1" customWidth="1"/>
    <col min="22" max="22" width="26.6640625" bestFit="1" customWidth="1"/>
    <col min="23" max="23" width="18.4140625" bestFit="1" customWidth="1"/>
  </cols>
  <sheetData>
    <row r="1" spans="1:24" x14ac:dyDescent="0.25">
      <c r="E1" s="291">
        <v>3</v>
      </c>
      <c r="F1" s="291">
        <v>4</v>
      </c>
      <c r="G1" s="291">
        <v>5</v>
      </c>
      <c r="H1" s="291">
        <v>6</v>
      </c>
      <c r="I1" s="293">
        <v>7</v>
      </c>
      <c r="J1" s="291">
        <v>8</v>
      </c>
      <c r="K1" s="291">
        <v>9</v>
      </c>
      <c r="L1" s="291">
        <v>10</v>
      </c>
      <c r="M1" s="293">
        <v>11</v>
      </c>
      <c r="N1" s="291">
        <v>12</v>
      </c>
      <c r="O1" s="291">
        <v>13</v>
      </c>
      <c r="P1" s="291">
        <v>14</v>
      </c>
      <c r="Q1" s="291">
        <v>15</v>
      </c>
      <c r="R1" s="291">
        <v>16</v>
      </c>
      <c r="S1" s="293">
        <v>17</v>
      </c>
      <c r="T1" s="293">
        <v>18</v>
      </c>
      <c r="U1" s="291">
        <v>19</v>
      </c>
      <c r="V1" s="293">
        <v>20</v>
      </c>
      <c r="W1" s="293">
        <v>21</v>
      </c>
    </row>
    <row r="2" spans="1:24" ht="45" customHeight="1" x14ac:dyDescent="0.25">
      <c r="A2" s="285"/>
      <c r="C2" s="285" t="s">
        <v>1365</v>
      </c>
      <c r="D2" s="286" t="s">
        <v>212</v>
      </c>
      <c r="E2" s="292" t="s">
        <v>1366</v>
      </c>
      <c r="F2" s="292" t="s">
        <v>1367</v>
      </c>
      <c r="G2" s="292" t="s">
        <v>1368</v>
      </c>
      <c r="H2" s="292" t="s">
        <v>1369</v>
      </c>
      <c r="I2" s="292" t="s">
        <v>1370</v>
      </c>
      <c r="J2" s="292" t="s">
        <v>1371</v>
      </c>
      <c r="K2" s="292" t="s">
        <v>1372</v>
      </c>
      <c r="L2" s="292" t="s">
        <v>1373</v>
      </c>
      <c r="M2" s="292" t="s">
        <v>1297</v>
      </c>
      <c r="N2" s="292" t="s">
        <v>1374</v>
      </c>
      <c r="O2" s="292" t="s">
        <v>1375</v>
      </c>
      <c r="P2" s="292" t="s">
        <v>1376</v>
      </c>
      <c r="Q2" s="292" t="s">
        <v>1377</v>
      </c>
      <c r="R2" s="292" t="s">
        <v>1378</v>
      </c>
      <c r="S2" s="292" t="s">
        <v>1379</v>
      </c>
      <c r="T2" s="292" t="s">
        <v>1380</v>
      </c>
      <c r="U2" s="292" t="s">
        <v>1381</v>
      </c>
      <c r="V2" s="292" t="s">
        <v>1382</v>
      </c>
      <c r="W2" s="292" t="s">
        <v>1305</v>
      </c>
    </row>
    <row r="3" spans="1:24" x14ac:dyDescent="0.25">
      <c r="A3" s="290" t="s">
        <v>1306</v>
      </c>
      <c r="C3" s="290">
        <v>6010</v>
      </c>
      <c r="D3" s="7" t="s">
        <v>1340</v>
      </c>
      <c r="E3" s="287">
        <v>25778779.219999999</v>
      </c>
      <c r="F3" s="287">
        <v>256188.07999999996</v>
      </c>
      <c r="G3" s="287">
        <v>26034967.299999997</v>
      </c>
      <c r="H3" s="287">
        <v>0</v>
      </c>
      <c r="I3" s="287">
        <v>26034967.299999997</v>
      </c>
      <c r="J3" s="287">
        <v>3906231.44</v>
      </c>
      <c r="K3" s="287">
        <v>933912.89000000013</v>
      </c>
      <c r="L3" s="287">
        <v>829273.22999999986</v>
      </c>
      <c r="M3" s="287">
        <v>56410.879999999997</v>
      </c>
      <c r="N3" s="287">
        <v>422802.39</v>
      </c>
      <c r="O3" s="287">
        <v>366.42</v>
      </c>
      <c r="P3" s="287">
        <v>10120.19</v>
      </c>
      <c r="Q3" s="287"/>
      <c r="R3" s="287"/>
      <c r="S3" s="287">
        <v>14172.48</v>
      </c>
      <c r="T3" s="287">
        <v>6505782.8600000003</v>
      </c>
      <c r="U3" s="287">
        <v>332492.94000000006</v>
      </c>
      <c r="V3" s="287">
        <v>0</v>
      </c>
      <c r="W3" s="287">
        <v>19529184.439999994</v>
      </c>
      <c r="X3" s="7"/>
    </row>
    <row r="4" spans="1:24" x14ac:dyDescent="0.25">
      <c r="A4" s="290" t="s">
        <v>514</v>
      </c>
      <c r="C4" s="290">
        <v>6070</v>
      </c>
      <c r="D4" s="7" t="s">
        <v>665</v>
      </c>
      <c r="E4" s="287">
        <v>58131915.720000006</v>
      </c>
      <c r="F4" s="287">
        <v>11145320.83</v>
      </c>
      <c r="G4" s="287">
        <v>69277236.549999997</v>
      </c>
      <c r="H4" s="287">
        <v>75</v>
      </c>
      <c r="I4" s="287">
        <v>69277311.549999997</v>
      </c>
      <c r="J4" s="287">
        <v>8899970.879999999</v>
      </c>
      <c r="K4" s="287">
        <v>2181899.7599999998</v>
      </c>
      <c r="L4" s="287">
        <v>46500</v>
      </c>
      <c r="M4" s="287">
        <v>391064.94435999996</v>
      </c>
      <c r="N4" s="287">
        <v>617428.3899999999</v>
      </c>
      <c r="O4" s="287">
        <v>1542.03</v>
      </c>
      <c r="P4" s="287">
        <v>2269.6799999999994</v>
      </c>
      <c r="Q4" s="287"/>
      <c r="R4" s="287"/>
      <c r="S4" s="287">
        <v>21145.43</v>
      </c>
      <c r="T4" s="287">
        <v>11987357.194080001</v>
      </c>
      <c r="U4" s="287">
        <v>116713.78</v>
      </c>
      <c r="V4" s="287">
        <v>0</v>
      </c>
      <c r="W4" s="287">
        <v>57289954.355919994</v>
      </c>
      <c r="X4" s="7"/>
    </row>
    <row r="5" spans="1:24" x14ac:dyDescent="0.25">
      <c r="A5" s="290" t="s">
        <v>1307</v>
      </c>
      <c r="C5" s="290">
        <v>6120</v>
      </c>
      <c r="D5" s="288" t="s">
        <v>1341</v>
      </c>
      <c r="E5" s="287"/>
      <c r="F5" s="287">
        <v>0</v>
      </c>
      <c r="G5" s="287"/>
      <c r="H5" s="287"/>
      <c r="I5" s="287"/>
      <c r="J5" s="287"/>
      <c r="K5" s="287"/>
      <c r="L5" s="287"/>
      <c r="M5" s="287">
        <v>36414.53284</v>
      </c>
      <c r="N5" s="287"/>
      <c r="O5" s="287"/>
      <c r="P5" s="287"/>
      <c r="Q5" s="287"/>
      <c r="R5" s="287"/>
      <c r="S5" s="287">
        <v>0</v>
      </c>
      <c r="T5" s="287">
        <v>36414.53284</v>
      </c>
      <c r="U5" s="287"/>
      <c r="V5" s="287"/>
      <c r="W5" s="287">
        <v>-36414.53284</v>
      </c>
      <c r="X5" s="7"/>
    </row>
    <row r="6" spans="1:24" x14ac:dyDescent="0.25">
      <c r="A6" s="290" t="s">
        <v>1308</v>
      </c>
      <c r="C6" s="290">
        <v>7020</v>
      </c>
      <c r="D6" s="288" t="s">
        <v>1342</v>
      </c>
      <c r="E6" s="287">
        <v>101668853.34999999</v>
      </c>
      <c r="F6" s="287">
        <v>146007841.93000001</v>
      </c>
      <c r="G6" s="287">
        <v>247676695.27999997</v>
      </c>
      <c r="H6" s="287">
        <v>3382.3500000000004</v>
      </c>
      <c r="I6" s="287">
        <v>247680077.63</v>
      </c>
      <c r="J6" s="287">
        <v>7564080.6999999993</v>
      </c>
      <c r="K6" s="287">
        <v>1842400.94</v>
      </c>
      <c r="L6" s="287">
        <v>1337596.1300000001</v>
      </c>
      <c r="M6" s="287">
        <v>1270538.9141599999</v>
      </c>
      <c r="N6" s="287">
        <v>12839275.740000002</v>
      </c>
      <c r="O6" s="287">
        <v>2976.09</v>
      </c>
      <c r="P6" s="287">
        <v>271736.24</v>
      </c>
      <c r="Q6" s="287"/>
      <c r="R6" s="287"/>
      <c r="S6" s="287">
        <v>31110.320000000003</v>
      </c>
      <c r="T6" s="287">
        <v>29436108.473159999</v>
      </c>
      <c r="U6" s="287">
        <v>4260880.6199999992</v>
      </c>
      <c r="V6" s="287">
        <v>0</v>
      </c>
      <c r="W6" s="287">
        <v>218243969.15683997</v>
      </c>
      <c r="X6" s="7"/>
    </row>
    <row r="7" spans="1:24" x14ac:dyDescent="0.25">
      <c r="A7" s="290" t="s">
        <v>1309</v>
      </c>
      <c r="C7" s="290">
        <v>7030</v>
      </c>
      <c r="D7" s="288" t="s">
        <v>106</v>
      </c>
      <c r="E7" s="287">
        <v>4907091.3099999996</v>
      </c>
      <c r="F7" s="287">
        <v>19318078.82</v>
      </c>
      <c r="G7" s="287">
        <v>24225170.130000003</v>
      </c>
      <c r="H7" s="287">
        <v>0</v>
      </c>
      <c r="I7" s="287">
        <v>24225170.130000003</v>
      </c>
      <c r="J7" s="287">
        <v>2685241.8699999996</v>
      </c>
      <c r="K7" s="287">
        <v>604691.06999999995</v>
      </c>
      <c r="L7" s="287">
        <v>0</v>
      </c>
      <c r="M7" s="287">
        <v>9158.59</v>
      </c>
      <c r="N7" s="287">
        <v>212004.52999999997</v>
      </c>
      <c r="O7" s="287">
        <v>878.76</v>
      </c>
      <c r="P7" s="287">
        <v>596.96</v>
      </c>
      <c r="Q7" s="287"/>
      <c r="R7" s="287"/>
      <c r="S7" s="287">
        <v>9684.4699999999993</v>
      </c>
      <c r="T7" s="287">
        <v>3568075.1199999996</v>
      </c>
      <c r="U7" s="287">
        <v>45818.869999999988</v>
      </c>
      <c r="V7" s="287">
        <v>0</v>
      </c>
      <c r="W7" s="287">
        <v>20657095.009999998</v>
      </c>
      <c r="X7" s="7"/>
    </row>
    <row r="8" spans="1:24" x14ac:dyDescent="0.25">
      <c r="A8" s="290" t="s">
        <v>1310</v>
      </c>
      <c r="C8" s="290">
        <v>7050</v>
      </c>
      <c r="D8" s="288" t="s">
        <v>1343</v>
      </c>
      <c r="E8" s="287">
        <v>0</v>
      </c>
      <c r="F8" s="287">
        <v>0</v>
      </c>
      <c r="G8" s="287">
        <v>0</v>
      </c>
      <c r="H8" s="287">
        <v>-166.95</v>
      </c>
      <c r="I8" s="287">
        <v>-166.95</v>
      </c>
      <c r="J8" s="287">
        <v>757895.45</v>
      </c>
      <c r="K8" s="287">
        <v>266276.32</v>
      </c>
      <c r="L8" s="287">
        <v>0</v>
      </c>
      <c r="M8" s="287">
        <v>184478.04191355998</v>
      </c>
      <c r="N8" s="287">
        <v>-118314.37000000017</v>
      </c>
      <c r="O8" s="287">
        <v>0</v>
      </c>
      <c r="P8" s="287">
        <v>5142.32</v>
      </c>
      <c r="Q8" s="287"/>
      <c r="R8" s="287"/>
      <c r="S8" s="287">
        <v>63486.590000000004</v>
      </c>
      <c r="T8" s="287">
        <v>1229403.9705535599</v>
      </c>
      <c r="U8" s="287">
        <v>215075.74</v>
      </c>
      <c r="V8" s="287">
        <v>0</v>
      </c>
      <c r="W8" s="287">
        <v>-1229570.9205535599</v>
      </c>
      <c r="X8" s="7"/>
    </row>
    <row r="9" spans="1:24" x14ac:dyDescent="0.25">
      <c r="A9" s="290" t="s">
        <v>1311</v>
      </c>
      <c r="C9" s="290">
        <v>7060</v>
      </c>
      <c r="D9" s="288" t="s">
        <v>1344</v>
      </c>
      <c r="E9" s="287">
        <v>4243670.37</v>
      </c>
      <c r="F9" s="287">
        <v>429530.19</v>
      </c>
      <c r="G9" s="287">
        <v>4673200.5599999996</v>
      </c>
      <c r="H9" s="287">
        <v>0</v>
      </c>
      <c r="I9" s="287">
        <v>4673200.5599999996</v>
      </c>
      <c r="J9" s="287">
        <v>403961.02000000008</v>
      </c>
      <c r="K9" s="287">
        <v>91343.489999999991</v>
      </c>
      <c r="L9" s="287">
        <v>0</v>
      </c>
      <c r="M9" s="287">
        <v>65548.475439999995</v>
      </c>
      <c r="N9" s="287">
        <v>191285.38999999998</v>
      </c>
      <c r="O9" s="287">
        <v>97.38</v>
      </c>
      <c r="P9" s="287">
        <v>0</v>
      </c>
      <c r="Q9" s="287"/>
      <c r="R9" s="287"/>
      <c r="S9" s="287">
        <v>6907.28</v>
      </c>
      <c r="T9" s="287">
        <v>708533.97</v>
      </c>
      <c r="U9" s="287">
        <v>14939.41</v>
      </c>
      <c r="V9" s="287">
        <v>0</v>
      </c>
      <c r="W9" s="287">
        <v>3964666.5900000003</v>
      </c>
      <c r="X9" s="7"/>
    </row>
    <row r="10" spans="1:24" x14ac:dyDescent="0.25">
      <c r="A10" s="290" t="s">
        <v>1312</v>
      </c>
      <c r="C10" s="290">
        <v>7070</v>
      </c>
      <c r="D10" s="288" t="s">
        <v>1345</v>
      </c>
      <c r="E10" s="287">
        <v>26186106.489999998</v>
      </c>
      <c r="F10" s="287">
        <v>16853754.66</v>
      </c>
      <c r="G10" s="287">
        <v>43039861.150000006</v>
      </c>
      <c r="H10" s="287">
        <v>86188.63</v>
      </c>
      <c r="I10" s="287">
        <v>43126049.780000001</v>
      </c>
      <c r="J10" s="287">
        <v>1319694.6599999999</v>
      </c>
      <c r="K10" s="287">
        <v>367586.00999999995</v>
      </c>
      <c r="L10" s="287">
        <v>15948.03</v>
      </c>
      <c r="M10" s="287">
        <v>675989.64</v>
      </c>
      <c r="N10" s="287">
        <v>1278542.0899999999</v>
      </c>
      <c r="O10" s="287">
        <v>97.38</v>
      </c>
      <c r="P10" s="287">
        <v>75491.98000000001</v>
      </c>
      <c r="Q10" s="287"/>
      <c r="R10" s="287"/>
      <c r="S10" s="287">
        <v>76504.91</v>
      </c>
      <c r="T10" s="287">
        <v>4187752.7552399994</v>
      </c>
      <c r="U10" s="287">
        <v>190815.43</v>
      </c>
      <c r="V10" s="287">
        <v>0</v>
      </c>
      <c r="W10" s="287">
        <v>38938297.024759993</v>
      </c>
      <c r="X10" s="7"/>
    </row>
    <row r="11" spans="1:24" x14ac:dyDescent="0.25">
      <c r="A11" s="290" t="s">
        <v>1313</v>
      </c>
      <c r="C11" s="290">
        <v>7120</v>
      </c>
      <c r="D11" s="288" t="s">
        <v>1346</v>
      </c>
      <c r="E11" s="287">
        <v>3778688.01</v>
      </c>
      <c r="F11" s="287">
        <v>13849239.529999997</v>
      </c>
      <c r="G11" s="287">
        <v>17627927.539999999</v>
      </c>
      <c r="H11" s="287">
        <v>0</v>
      </c>
      <c r="I11" s="287">
        <v>17627927.539999999</v>
      </c>
      <c r="J11" s="287">
        <v>373806.95</v>
      </c>
      <c r="K11" s="287">
        <v>86734.010000000009</v>
      </c>
      <c r="L11" s="287">
        <v>0</v>
      </c>
      <c r="M11" s="287">
        <v>140589.96</v>
      </c>
      <c r="N11" s="287">
        <v>45364.99</v>
      </c>
      <c r="O11" s="287">
        <v>0</v>
      </c>
      <c r="P11" s="287">
        <v>452.13</v>
      </c>
      <c r="Q11" s="287"/>
      <c r="R11" s="287"/>
      <c r="S11" s="287">
        <v>171.83</v>
      </c>
      <c r="T11" s="287">
        <v>653827.49000000011</v>
      </c>
      <c r="U11" s="287">
        <v>6707.62</v>
      </c>
      <c r="V11" s="287">
        <v>0</v>
      </c>
      <c r="W11" s="287">
        <v>16974100.050000001</v>
      </c>
      <c r="X11" s="7"/>
    </row>
    <row r="12" spans="1:24" x14ac:dyDescent="0.25">
      <c r="A12" s="290" t="s">
        <v>1314</v>
      </c>
      <c r="C12" s="290">
        <v>7130</v>
      </c>
      <c r="D12" s="288" t="s">
        <v>1347</v>
      </c>
      <c r="E12" s="287">
        <v>21868049.75</v>
      </c>
      <c r="F12" s="287">
        <v>58521303.590000004</v>
      </c>
      <c r="G12" s="287">
        <v>80389353.340000004</v>
      </c>
      <c r="H12" s="287">
        <v>0</v>
      </c>
      <c r="I12" s="287">
        <v>80389353.340000004</v>
      </c>
      <c r="J12" s="287">
        <v>640833.12000000011</v>
      </c>
      <c r="K12" s="287">
        <v>142606.75</v>
      </c>
      <c r="L12" s="287">
        <v>0</v>
      </c>
      <c r="M12" s="287">
        <v>212217.84</v>
      </c>
      <c r="N12" s="287">
        <v>75783.48000000001</v>
      </c>
      <c r="O12" s="287">
        <v>0</v>
      </c>
      <c r="P12" s="287">
        <v>0</v>
      </c>
      <c r="Q12" s="287"/>
      <c r="R12" s="287"/>
      <c r="S12" s="287">
        <v>214.78</v>
      </c>
      <c r="T12" s="287">
        <v>1075961.42</v>
      </c>
      <c r="U12" s="287">
        <v>4305.45</v>
      </c>
      <c r="V12" s="287">
        <v>0</v>
      </c>
      <c r="W12" s="287">
        <v>79313391.920000002</v>
      </c>
      <c r="X12" s="7"/>
    </row>
    <row r="13" spans="1:24" x14ac:dyDescent="0.25">
      <c r="A13" s="290" t="s">
        <v>1315</v>
      </c>
      <c r="C13" s="290">
        <v>7140</v>
      </c>
      <c r="D13" s="288" t="s">
        <v>1348</v>
      </c>
      <c r="E13" s="287">
        <v>12314249.23</v>
      </c>
      <c r="F13" s="287">
        <v>23081243.570000004</v>
      </c>
      <c r="G13" s="287">
        <v>35395492.799999997</v>
      </c>
      <c r="H13" s="287">
        <v>0</v>
      </c>
      <c r="I13" s="287">
        <v>35395492.799999997</v>
      </c>
      <c r="J13" s="287">
        <v>1830277.5000000002</v>
      </c>
      <c r="K13" s="287">
        <v>440648.99000000005</v>
      </c>
      <c r="L13" s="287">
        <v>31323.599999999999</v>
      </c>
      <c r="M13" s="287">
        <v>614403.27</v>
      </c>
      <c r="N13" s="287">
        <v>205491.38</v>
      </c>
      <c r="O13" s="287">
        <v>292.14</v>
      </c>
      <c r="P13" s="287">
        <v>58933</v>
      </c>
      <c r="Q13" s="287"/>
      <c r="R13" s="287"/>
      <c r="S13" s="287">
        <v>8923.7799999999988</v>
      </c>
      <c r="T13" s="287">
        <v>3728618.8600000003</v>
      </c>
      <c r="U13" s="287">
        <v>538325.19999999995</v>
      </c>
      <c r="V13" s="287">
        <v>0</v>
      </c>
      <c r="W13" s="287">
        <v>31666873.940000005</v>
      </c>
      <c r="X13" s="7"/>
    </row>
    <row r="14" spans="1:24" x14ac:dyDescent="0.25">
      <c r="A14" s="290" t="s">
        <v>1316</v>
      </c>
      <c r="C14" s="290">
        <v>7160</v>
      </c>
      <c r="D14" s="288" t="s">
        <v>1349</v>
      </c>
      <c r="E14" s="287">
        <v>1499339.1400000001</v>
      </c>
      <c r="F14" s="287">
        <v>7877080.7899999991</v>
      </c>
      <c r="G14" s="287">
        <v>9376419.9299999997</v>
      </c>
      <c r="H14" s="287">
        <v>0</v>
      </c>
      <c r="I14" s="287">
        <v>9376419.9299999997</v>
      </c>
      <c r="J14" s="287">
        <v>262789.24</v>
      </c>
      <c r="K14" s="287">
        <v>60398.909999999996</v>
      </c>
      <c r="L14" s="287">
        <v>0</v>
      </c>
      <c r="M14" s="287">
        <v>42767.459999999992</v>
      </c>
      <c r="N14" s="287">
        <v>297671.37000000005</v>
      </c>
      <c r="O14" s="287">
        <v>0</v>
      </c>
      <c r="P14" s="287">
        <v>505.02</v>
      </c>
      <c r="Q14" s="287"/>
      <c r="R14" s="287"/>
      <c r="S14" s="287">
        <v>431.7</v>
      </c>
      <c r="T14" s="287">
        <v>671519.08000000007</v>
      </c>
      <c r="U14" s="287">
        <v>6955.38</v>
      </c>
      <c r="V14" s="287">
        <v>0</v>
      </c>
      <c r="W14" s="287">
        <v>8704900.8499999996</v>
      </c>
      <c r="X14" s="7"/>
    </row>
    <row r="15" spans="1:24" x14ac:dyDescent="0.25">
      <c r="A15" s="290" t="s">
        <v>537</v>
      </c>
      <c r="C15" s="290">
        <v>7170</v>
      </c>
      <c r="D15" s="288" t="s">
        <v>115</v>
      </c>
      <c r="E15" s="287">
        <v>60003651.420000009</v>
      </c>
      <c r="F15" s="287">
        <v>55538554.599999994</v>
      </c>
      <c r="G15" s="287">
        <v>115542206.01999998</v>
      </c>
      <c r="H15" s="287">
        <v>6071484.2000000011</v>
      </c>
      <c r="I15" s="287">
        <v>121599126.52999997</v>
      </c>
      <c r="J15" s="287">
        <v>2967882.2899999996</v>
      </c>
      <c r="K15" s="287">
        <v>655160.67999999993</v>
      </c>
      <c r="L15" s="287">
        <v>0</v>
      </c>
      <c r="M15" s="287">
        <v>393446.48999999993</v>
      </c>
      <c r="N15" s="287">
        <v>7485165.7499999991</v>
      </c>
      <c r="O15" s="287">
        <v>292.14</v>
      </c>
      <c r="P15" s="287">
        <v>120417.19</v>
      </c>
      <c r="Q15" s="287"/>
      <c r="R15" s="287"/>
      <c r="S15" s="287">
        <v>3992515.1199999996</v>
      </c>
      <c r="T15" s="287">
        <v>15789741.75</v>
      </c>
      <c r="U15" s="287">
        <v>174862.09000000003</v>
      </c>
      <c r="V15" s="287">
        <v>0</v>
      </c>
      <c r="W15" s="287">
        <v>105809384.77999999</v>
      </c>
      <c r="X15" s="7"/>
    </row>
    <row r="16" spans="1:24" x14ac:dyDescent="0.25">
      <c r="A16" s="290" t="s">
        <v>1317</v>
      </c>
      <c r="C16" s="290">
        <v>7180</v>
      </c>
      <c r="D16" s="288" t="s">
        <v>1350</v>
      </c>
      <c r="E16" s="287">
        <v>17776333.25</v>
      </c>
      <c r="F16" s="287">
        <v>2123087.8400000003</v>
      </c>
      <c r="G16" s="287">
        <v>19899421.089999996</v>
      </c>
      <c r="H16" s="287">
        <v>0</v>
      </c>
      <c r="I16" s="287">
        <v>19899421.089999996</v>
      </c>
      <c r="J16" s="287">
        <v>1121764.7000000002</v>
      </c>
      <c r="K16" s="287">
        <v>283762.97000000003</v>
      </c>
      <c r="L16" s="287">
        <v>5838</v>
      </c>
      <c r="M16" s="287">
        <v>7209.35</v>
      </c>
      <c r="N16" s="287">
        <v>255223.48999999996</v>
      </c>
      <c r="O16" s="287">
        <v>500.15</v>
      </c>
      <c r="P16" s="287">
        <v>8385.9399999999987</v>
      </c>
      <c r="Q16" s="287"/>
      <c r="R16" s="287"/>
      <c r="S16" s="287">
        <v>6846.37</v>
      </c>
      <c r="T16" s="287">
        <v>1702960.3900000004</v>
      </c>
      <c r="U16" s="287">
        <v>13429.42</v>
      </c>
      <c r="V16" s="287">
        <v>0</v>
      </c>
      <c r="W16" s="287">
        <v>18196460.700000003</v>
      </c>
      <c r="X16" s="7"/>
    </row>
    <row r="17" spans="1:24" x14ac:dyDescent="0.25">
      <c r="A17" s="290" t="s">
        <v>1318</v>
      </c>
      <c r="C17" s="290">
        <v>7190</v>
      </c>
      <c r="D17" s="288" t="s">
        <v>1351</v>
      </c>
      <c r="E17" s="287">
        <v>1618232.55</v>
      </c>
      <c r="F17" s="287">
        <v>98381.580000000016</v>
      </c>
      <c r="G17" s="287">
        <v>1716614.13</v>
      </c>
      <c r="H17" s="287">
        <v>47351.66</v>
      </c>
      <c r="I17" s="287">
        <v>1763965.7899999998</v>
      </c>
      <c r="J17" s="287">
        <v>0</v>
      </c>
      <c r="K17" s="287">
        <v>0</v>
      </c>
      <c r="L17" s="287">
        <v>0</v>
      </c>
      <c r="M17" s="287">
        <v>513338.41</v>
      </c>
      <c r="N17" s="287">
        <v>51010.239999999998</v>
      </c>
      <c r="O17" s="287">
        <v>0</v>
      </c>
      <c r="P17" s="287">
        <v>0</v>
      </c>
      <c r="Q17" s="287"/>
      <c r="R17" s="287"/>
      <c r="S17" s="287">
        <v>0</v>
      </c>
      <c r="T17" s="287">
        <v>564348.64999999991</v>
      </c>
      <c r="U17" s="287">
        <v>0</v>
      </c>
      <c r="V17" s="287">
        <v>0</v>
      </c>
      <c r="W17" s="287">
        <v>1199617.1399999999</v>
      </c>
      <c r="X17" s="7"/>
    </row>
    <row r="18" spans="1:24" x14ac:dyDescent="0.25">
      <c r="A18" s="290" t="s">
        <v>540</v>
      </c>
      <c r="C18" s="290">
        <v>7200</v>
      </c>
      <c r="D18" s="288" t="s">
        <v>709</v>
      </c>
      <c r="E18" s="287">
        <v>2297499.4400000004</v>
      </c>
      <c r="F18" s="287">
        <v>5654406.0499999998</v>
      </c>
      <c r="G18" s="287">
        <v>7951905.4900000002</v>
      </c>
      <c r="H18" s="287">
        <v>0</v>
      </c>
      <c r="I18" s="287">
        <v>7951905.4900000002</v>
      </c>
      <c r="J18" s="287">
        <v>1057912.47</v>
      </c>
      <c r="K18" s="287">
        <v>253460.47000000003</v>
      </c>
      <c r="L18" s="287">
        <v>0</v>
      </c>
      <c r="M18" s="287">
        <v>5266.65</v>
      </c>
      <c r="N18" s="287">
        <v>12656.660000000002</v>
      </c>
      <c r="O18" s="287">
        <v>0</v>
      </c>
      <c r="P18" s="287">
        <v>225685.65000000002</v>
      </c>
      <c r="Q18" s="287"/>
      <c r="R18" s="287"/>
      <c r="S18" s="287">
        <v>4271.4500000000007</v>
      </c>
      <c r="T18" s="287">
        <v>1563392.08</v>
      </c>
      <c r="U18" s="287">
        <v>4138.7300000000005</v>
      </c>
      <c r="V18" s="287">
        <v>0</v>
      </c>
      <c r="W18" s="287">
        <v>6388513.4099999992</v>
      </c>
      <c r="X18" s="7"/>
    </row>
    <row r="19" spans="1:24" x14ac:dyDescent="0.25">
      <c r="A19" s="290" t="s">
        <v>1319</v>
      </c>
      <c r="C19" s="290">
        <v>7230</v>
      </c>
      <c r="D19" s="288" t="s">
        <v>118</v>
      </c>
      <c r="E19" s="287">
        <v>25474474.689999998</v>
      </c>
      <c r="F19" s="287">
        <v>83906657.730000019</v>
      </c>
      <c r="G19" s="287">
        <v>109381132.41999999</v>
      </c>
      <c r="H19" s="287">
        <v>1059</v>
      </c>
      <c r="I19" s="287">
        <v>109382191.41999999</v>
      </c>
      <c r="J19" s="287">
        <v>4008506.8200000008</v>
      </c>
      <c r="K19" s="287">
        <v>876065.33000000007</v>
      </c>
      <c r="L19" s="287">
        <v>1099596.73</v>
      </c>
      <c r="M19" s="287">
        <v>1385788.5490000001</v>
      </c>
      <c r="N19" s="287">
        <v>694138.99</v>
      </c>
      <c r="O19" s="287">
        <v>447.6</v>
      </c>
      <c r="P19" s="287">
        <v>36897.37000000001</v>
      </c>
      <c r="Q19" s="287"/>
      <c r="R19" s="287"/>
      <c r="S19" s="287">
        <v>25811.32</v>
      </c>
      <c r="T19" s="287">
        <v>8398904.8399999999</v>
      </c>
      <c r="U19" s="287">
        <v>287164.90999999992</v>
      </c>
      <c r="V19" s="287">
        <v>0</v>
      </c>
      <c r="W19" s="287">
        <v>100983286.57999998</v>
      </c>
      <c r="X19" s="7"/>
    </row>
    <row r="20" spans="1:24" x14ac:dyDescent="0.25">
      <c r="A20" s="290" t="s">
        <v>545</v>
      </c>
      <c r="C20" s="290">
        <v>7260</v>
      </c>
      <c r="D20" s="288" t="s">
        <v>121</v>
      </c>
      <c r="E20" s="287">
        <v>9620.92</v>
      </c>
      <c r="F20" s="287">
        <v>64719993.859999992</v>
      </c>
      <c r="G20" s="287">
        <v>64729614.779999994</v>
      </c>
      <c r="H20" s="287">
        <v>975893.66999999993</v>
      </c>
      <c r="I20" s="287">
        <v>30666901.309999995</v>
      </c>
      <c r="J20" s="287">
        <v>24901500.690000001</v>
      </c>
      <c r="K20" s="287">
        <v>4523718.3199999994</v>
      </c>
      <c r="L20" s="287">
        <v>453477.68999999994</v>
      </c>
      <c r="M20" s="287">
        <v>1742773.3200000003</v>
      </c>
      <c r="N20" s="287">
        <v>1385475.1</v>
      </c>
      <c r="O20" s="287">
        <v>89665.9</v>
      </c>
      <c r="P20" s="287">
        <v>2898582.39</v>
      </c>
      <c r="Q20" s="287"/>
      <c r="R20" s="287"/>
      <c r="S20" s="287">
        <v>1465136.13</v>
      </c>
      <c r="T20" s="287">
        <v>39039204.170000002</v>
      </c>
      <c r="U20" s="287">
        <v>1578874.63</v>
      </c>
      <c r="V20" s="287">
        <v>-202535.89</v>
      </c>
      <c r="W20" s="287">
        <v>-8574838.7500000093</v>
      </c>
      <c r="X20" s="7"/>
    </row>
    <row r="21" spans="1:24" x14ac:dyDescent="0.25">
      <c r="A21" s="290" t="s">
        <v>1320</v>
      </c>
      <c r="C21" s="290">
        <v>7310</v>
      </c>
      <c r="D21" s="288" t="s">
        <v>1352</v>
      </c>
      <c r="E21" s="287">
        <v>892947.96</v>
      </c>
      <c r="F21" s="287">
        <v>1476456.32</v>
      </c>
      <c r="G21" s="287">
        <v>2369404.2799999998</v>
      </c>
      <c r="H21" s="287">
        <v>0</v>
      </c>
      <c r="I21" s="287">
        <v>2369404.2799999998</v>
      </c>
      <c r="J21" s="287">
        <v>298056.03000000003</v>
      </c>
      <c r="K21" s="287">
        <v>67425.38</v>
      </c>
      <c r="L21" s="287">
        <v>0</v>
      </c>
      <c r="M21" s="287">
        <v>0</v>
      </c>
      <c r="N21" s="287">
        <v>870.88</v>
      </c>
      <c r="O21" s="287">
        <v>0</v>
      </c>
      <c r="P21" s="287">
        <v>0</v>
      </c>
      <c r="Q21" s="287"/>
      <c r="R21" s="287"/>
      <c r="S21" s="287">
        <v>1724.1499999999999</v>
      </c>
      <c r="T21" s="287">
        <v>438501.73999999987</v>
      </c>
      <c r="U21" s="287">
        <v>70425.3</v>
      </c>
      <c r="V21" s="287">
        <v>0</v>
      </c>
      <c r="W21" s="287">
        <v>1930902.5399999996</v>
      </c>
      <c r="X21" s="7"/>
    </row>
    <row r="22" spans="1:24" x14ac:dyDescent="0.25">
      <c r="A22" s="290" t="s">
        <v>1321</v>
      </c>
      <c r="C22" s="290">
        <v>7320</v>
      </c>
      <c r="D22" s="288" t="s">
        <v>123</v>
      </c>
      <c r="E22" s="287">
        <v>423377.05</v>
      </c>
      <c r="F22" s="287">
        <v>277880.85000000003</v>
      </c>
      <c r="G22" s="287">
        <v>701257.89999999991</v>
      </c>
      <c r="H22" s="287">
        <v>0</v>
      </c>
      <c r="I22" s="287">
        <v>701257.89999999991</v>
      </c>
      <c r="J22" s="287">
        <v>92253.530000000013</v>
      </c>
      <c r="K22" s="287">
        <v>21721.639999999996</v>
      </c>
      <c r="L22" s="287">
        <v>0</v>
      </c>
      <c r="M22" s="287">
        <v>0</v>
      </c>
      <c r="N22" s="287">
        <v>20.65</v>
      </c>
      <c r="O22" s="287">
        <v>0</v>
      </c>
      <c r="P22" s="287">
        <v>0</v>
      </c>
      <c r="Q22" s="287"/>
      <c r="R22" s="287"/>
      <c r="S22" s="287">
        <v>44.43</v>
      </c>
      <c r="T22" s="287">
        <v>114172.07</v>
      </c>
      <c r="U22" s="287">
        <v>131.82</v>
      </c>
      <c r="V22" s="287">
        <v>0</v>
      </c>
      <c r="W22" s="287">
        <v>587085.82999999996</v>
      </c>
      <c r="X22" s="7"/>
    </row>
    <row r="23" spans="1:24" x14ac:dyDescent="0.25">
      <c r="A23" s="290" t="s">
        <v>1322</v>
      </c>
      <c r="C23" s="290">
        <v>7490</v>
      </c>
      <c r="D23" s="288" t="s">
        <v>1353</v>
      </c>
      <c r="E23" s="287">
        <v>248095.63999999998</v>
      </c>
      <c r="F23" s="287">
        <v>3360584.5200000005</v>
      </c>
      <c r="G23" s="287">
        <v>3608680.1599999997</v>
      </c>
      <c r="H23" s="287">
        <v>0</v>
      </c>
      <c r="I23" s="287">
        <v>3608680.1599999997</v>
      </c>
      <c r="J23" s="287">
        <v>272480.35000000003</v>
      </c>
      <c r="K23" s="287">
        <v>74236.92</v>
      </c>
      <c r="L23" s="287">
        <v>36960</v>
      </c>
      <c r="M23" s="287">
        <v>704522.57464000001</v>
      </c>
      <c r="N23" s="287">
        <v>38705.74</v>
      </c>
      <c r="O23" s="287">
        <v>1596.81</v>
      </c>
      <c r="P23" s="287">
        <v>139427.66999999998</v>
      </c>
      <c r="Q23" s="287"/>
      <c r="R23" s="287"/>
      <c r="S23" s="287">
        <v>9781.16</v>
      </c>
      <c r="T23" s="287">
        <v>1546899.9398399999</v>
      </c>
      <c r="U23" s="287">
        <v>17742.509999999998</v>
      </c>
      <c r="V23" s="287">
        <v>0</v>
      </c>
      <c r="W23" s="287">
        <v>2061780.2201599998</v>
      </c>
      <c r="X23" s="7"/>
    </row>
    <row r="24" spans="1:24" x14ac:dyDescent="0.25">
      <c r="A24" s="290" t="s">
        <v>1323</v>
      </c>
      <c r="C24" s="290">
        <v>8310</v>
      </c>
      <c r="D24" s="288" t="s">
        <v>1354</v>
      </c>
      <c r="E24" s="287"/>
      <c r="F24" s="287">
        <v>0</v>
      </c>
      <c r="G24" s="287"/>
      <c r="H24" s="287"/>
      <c r="I24" s="287"/>
      <c r="J24" s="287"/>
      <c r="K24" s="287"/>
      <c r="L24" s="287"/>
      <c r="M24" s="287">
        <v>59244.906239999989</v>
      </c>
      <c r="N24" s="287"/>
      <c r="O24" s="287"/>
      <c r="P24" s="287"/>
      <c r="Q24" s="287"/>
      <c r="R24" s="287"/>
      <c r="S24" s="287">
        <v>0</v>
      </c>
      <c r="T24" s="287">
        <v>59244.906239999989</v>
      </c>
      <c r="U24" s="287"/>
      <c r="V24" s="287"/>
      <c r="W24" s="287">
        <v>-59244.906239999989</v>
      </c>
      <c r="X24" s="7"/>
    </row>
    <row r="25" spans="1:24" x14ac:dyDescent="0.25">
      <c r="A25" s="290" t="s">
        <v>559</v>
      </c>
      <c r="C25" s="290">
        <v>8330</v>
      </c>
      <c r="D25" s="288" t="s">
        <v>136</v>
      </c>
      <c r="E25" s="287">
        <v>0</v>
      </c>
      <c r="F25" s="287">
        <v>0</v>
      </c>
      <c r="G25" s="287">
        <v>0</v>
      </c>
      <c r="H25" s="287">
        <v>915548.43</v>
      </c>
      <c r="I25" s="287">
        <v>915548.43</v>
      </c>
      <c r="J25" s="287">
        <v>1288781.7999999998</v>
      </c>
      <c r="K25" s="287">
        <v>504932.37</v>
      </c>
      <c r="L25" s="287">
        <v>0</v>
      </c>
      <c r="M25" s="287">
        <v>551125.99</v>
      </c>
      <c r="N25" s="287">
        <v>692637.77999999991</v>
      </c>
      <c r="O25" s="287">
        <v>97.38</v>
      </c>
      <c r="P25" s="287">
        <v>6533.329999999999</v>
      </c>
      <c r="Q25" s="287"/>
      <c r="R25" s="287"/>
      <c r="S25" s="287">
        <v>32881.58</v>
      </c>
      <c r="T25" s="287">
        <v>3277566.4799999995</v>
      </c>
      <c r="U25" s="287">
        <v>200576.25</v>
      </c>
      <c r="V25" s="287">
        <v>0</v>
      </c>
      <c r="W25" s="287">
        <v>-2362018.0499999993</v>
      </c>
      <c r="X25" s="7"/>
    </row>
    <row r="26" spans="1:24" x14ac:dyDescent="0.25">
      <c r="A26" s="290" t="s">
        <v>1324</v>
      </c>
      <c r="C26" s="290">
        <v>8350</v>
      </c>
      <c r="D26" s="288" t="s">
        <v>1355</v>
      </c>
      <c r="E26" s="287">
        <v>0</v>
      </c>
      <c r="F26" s="287">
        <v>0</v>
      </c>
      <c r="G26" s="287">
        <v>0</v>
      </c>
      <c r="H26" s="287">
        <v>0</v>
      </c>
      <c r="I26" s="287">
        <v>0</v>
      </c>
      <c r="J26" s="287">
        <v>52075.25</v>
      </c>
      <c r="K26" s="287">
        <v>21258.87</v>
      </c>
      <c r="L26" s="287">
        <v>0</v>
      </c>
      <c r="M26" s="287">
        <v>19998.739999999991</v>
      </c>
      <c r="N26" s="287">
        <v>0</v>
      </c>
      <c r="O26" s="287">
        <v>0</v>
      </c>
      <c r="P26" s="287">
        <v>0</v>
      </c>
      <c r="Q26" s="287"/>
      <c r="R26" s="287"/>
      <c r="S26" s="287">
        <v>0</v>
      </c>
      <c r="T26" s="287">
        <v>106016.68</v>
      </c>
      <c r="U26" s="287">
        <v>12683.819999999998</v>
      </c>
      <c r="V26" s="287">
        <v>0</v>
      </c>
      <c r="W26" s="287">
        <v>-106016.68</v>
      </c>
      <c r="X26" s="7"/>
    </row>
    <row r="27" spans="1:24" x14ac:dyDescent="0.25">
      <c r="A27" s="290" t="s">
        <v>1325</v>
      </c>
      <c r="C27" s="290">
        <v>8370</v>
      </c>
      <c r="D27" s="288" t="s">
        <v>1356</v>
      </c>
      <c r="E27" s="287">
        <v>0</v>
      </c>
      <c r="F27" s="287">
        <v>0</v>
      </c>
      <c r="G27" s="287">
        <v>0</v>
      </c>
      <c r="H27" s="287">
        <v>0</v>
      </c>
      <c r="I27" s="287">
        <v>0</v>
      </c>
      <c r="J27" s="287">
        <v>164079.08999999997</v>
      </c>
      <c r="K27" s="287">
        <v>61302.600000000013</v>
      </c>
      <c r="L27" s="287">
        <v>0</v>
      </c>
      <c r="M27" s="287">
        <v>0</v>
      </c>
      <c r="N27" s="287">
        <v>0</v>
      </c>
      <c r="O27" s="287">
        <v>389.52</v>
      </c>
      <c r="P27" s="287">
        <v>0</v>
      </c>
      <c r="Q27" s="287"/>
      <c r="R27" s="287"/>
      <c r="S27" s="287">
        <v>85.91</v>
      </c>
      <c r="T27" s="287">
        <v>225857.11999999997</v>
      </c>
      <c r="U27" s="287">
        <v>0</v>
      </c>
      <c r="V27" s="287">
        <v>0</v>
      </c>
      <c r="W27" s="287">
        <v>-225857.11999999997</v>
      </c>
      <c r="X27" s="7"/>
    </row>
    <row r="28" spans="1:24" x14ac:dyDescent="0.25">
      <c r="A28" s="290" t="s">
        <v>564</v>
      </c>
      <c r="C28" s="290">
        <v>8430</v>
      </c>
      <c r="D28" s="288" t="s">
        <v>140</v>
      </c>
      <c r="E28" s="287">
        <v>0</v>
      </c>
      <c r="F28" s="287">
        <v>0</v>
      </c>
      <c r="G28" s="287">
        <v>0</v>
      </c>
      <c r="H28" s="287">
        <v>59.54</v>
      </c>
      <c r="I28" s="287">
        <v>59.54</v>
      </c>
      <c r="J28" s="287">
        <v>421589.56000000006</v>
      </c>
      <c r="K28" s="287">
        <v>119194.34999999999</v>
      </c>
      <c r="L28" s="287">
        <v>0</v>
      </c>
      <c r="M28" s="287">
        <v>4162815.8168799994</v>
      </c>
      <c r="N28" s="287">
        <v>45325.35</v>
      </c>
      <c r="O28" s="287">
        <v>1203913.8600000001</v>
      </c>
      <c r="P28" s="287">
        <v>2828.82</v>
      </c>
      <c r="Q28" s="287"/>
      <c r="R28" s="287"/>
      <c r="S28" s="287">
        <v>3692.95</v>
      </c>
      <c r="T28" s="287">
        <v>6085365.6970800012</v>
      </c>
      <c r="U28" s="287">
        <v>247539.13999999996</v>
      </c>
      <c r="V28" s="287">
        <v>0</v>
      </c>
      <c r="W28" s="287">
        <v>-6085306.1570800003</v>
      </c>
      <c r="X28" s="7"/>
    </row>
    <row r="29" spans="1:24" x14ac:dyDescent="0.25">
      <c r="A29" s="290" t="s">
        <v>565</v>
      </c>
      <c r="C29" s="290">
        <v>8460</v>
      </c>
      <c r="D29" s="288" t="s">
        <v>141</v>
      </c>
      <c r="E29" s="287">
        <v>0</v>
      </c>
      <c r="F29" s="287">
        <v>0</v>
      </c>
      <c r="G29" s="287">
        <v>0</v>
      </c>
      <c r="H29" s="287">
        <v>0</v>
      </c>
      <c r="I29" s="287">
        <v>0</v>
      </c>
      <c r="J29" s="287">
        <v>1111157.6499999999</v>
      </c>
      <c r="K29" s="287">
        <v>440189.69999999995</v>
      </c>
      <c r="L29" s="287">
        <v>0</v>
      </c>
      <c r="M29" s="287">
        <v>111017.30000000002</v>
      </c>
      <c r="N29" s="287">
        <v>203614.63000000003</v>
      </c>
      <c r="O29" s="287">
        <v>966.53</v>
      </c>
      <c r="P29" s="287">
        <v>462.06</v>
      </c>
      <c r="Q29" s="287"/>
      <c r="R29" s="287"/>
      <c r="S29" s="287">
        <v>60.390000000000015</v>
      </c>
      <c r="T29" s="287">
        <v>1918199.6400000004</v>
      </c>
      <c r="U29" s="287">
        <v>50731.38</v>
      </c>
      <c r="V29" s="287">
        <v>0</v>
      </c>
      <c r="W29" s="287">
        <v>-1918199.6400000004</v>
      </c>
      <c r="X29" s="7"/>
    </row>
    <row r="30" spans="1:24" x14ac:dyDescent="0.25">
      <c r="A30" s="290" t="s">
        <v>1326</v>
      </c>
      <c r="C30" s="290">
        <v>8470</v>
      </c>
      <c r="D30" s="288" t="s">
        <v>606</v>
      </c>
      <c r="E30" s="287"/>
      <c r="F30" s="287">
        <v>0</v>
      </c>
      <c r="G30" s="287"/>
      <c r="H30" s="287"/>
      <c r="I30" s="287"/>
      <c r="J30" s="287"/>
      <c r="K30" s="287"/>
      <c r="L30" s="287"/>
      <c r="M30" s="287">
        <v>255043.22668000002</v>
      </c>
      <c r="N30" s="287"/>
      <c r="O30" s="287"/>
      <c r="P30" s="287"/>
      <c r="Q30" s="287"/>
      <c r="R30" s="287"/>
      <c r="S30" s="287">
        <v>0</v>
      </c>
      <c r="T30" s="287">
        <v>255043.22668000002</v>
      </c>
      <c r="U30" s="287"/>
      <c r="V30" s="287"/>
      <c r="W30" s="287">
        <v>-255043.22668000002</v>
      </c>
      <c r="X30" s="7"/>
    </row>
    <row r="31" spans="1:24" x14ac:dyDescent="0.25">
      <c r="A31" s="290" t="s">
        <v>567</v>
      </c>
      <c r="C31" s="290">
        <v>8480</v>
      </c>
      <c r="D31" s="288" t="s">
        <v>637</v>
      </c>
      <c r="E31" s="287"/>
      <c r="F31" s="287">
        <v>0</v>
      </c>
      <c r="G31" s="287"/>
      <c r="H31" s="287"/>
      <c r="I31" s="287"/>
      <c r="J31" s="287"/>
      <c r="K31" s="287"/>
      <c r="L31" s="287"/>
      <c r="M31" s="287">
        <v>1111095.9992</v>
      </c>
      <c r="N31" s="287"/>
      <c r="O31" s="287"/>
      <c r="P31" s="287"/>
      <c r="Q31" s="287"/>
      <c r="R31" s="287"/>
      <c r="S31" s="287">
        <v>0</v>
      </c>
      <c r="T31" s="287">
        <v>704940.06568</v>
      </c>
      <c r="U31" s="287"/>
      <c r="V31" s="287"/>
      <c r="W31" s="287">
        <v>-704940.06568</v>
      </c>
      <c r="X31" s="7"/>
    </row>
    <row r="32" spans="1:24" x14ac:dyDescent="0.25">
      <c r="A32" s="290" t="s">
        <v>1327</v>
      </c>
      <c r="C32" s="290">
        <v>8490</v>
      </c>
      <c r="D32" s="288" t="s">
        <v>144</v>
      </c>
      <c r="E32" s="287">
        <v>0</v>
      </c>
      <c r="F32" s="287">
        <v>0</v>
      </c>
      <c r="G32" s="287">
        <v>0</v>
      </c>
      <c r="H32" s="287">
        <v>122978.27</v>
      </c>
      <c r="I32" s="287">
        <v>122978.27</v>
      </c>
      <c r="J32" s="287">
        <v>6704.25</v>
      </c>
      <c r="K32" s="287">
        <v>3034.73</v>
      </c>
      <c r="L32" s="287">
        <v>0</v>
      </c>
      <c r="M32" s="287">
        <v>818.25</v>
      </c>
      <c r="N32" s="287">
        <v>73564.749999999985</v>
      </c>
      <c r="O32" s="287">
        <v>0</v>
      </c>
      <c r="P32" s="287">
        <v>423.06</v>
      </c>
      <c r="Q32" s="287"/>
      <c r="R32" s="287"/>
      <c r="S32" s="287">
        <v>930.39999999999986</v>
      </c>
      <c r="T32" s="287">
        <v>94417.879999999976</v>
      </c>
      <c r="U32" s="287">
        <v>8942.4399999999987</v>
      </c>
      <c r="V32" s="287">
        <v>0</v>
      </c>
      <c r="W32" s="287">
        <v>28560.390000000014</v>
      </c>
      <c r="X32" s="7"/>
    </row>
    <row r="33" spans="1:24" x14ac:dyDescent="0.25">
      <c r="A33" s="290" t="s">
        <v>569</v>
      </c>
      <c r="C33" s="290">
        <v>8510</v>
      </c>
      <c r="D33" s="288" t="s">
        <v>145</v>
      </c>
      <c r="E33" s="287"/>
      <c r="F33" s="287">
        <v>0</v>
      </c>
      <c r="G33" s="287"/>
      <c r="H33" s="287"/>
      <c r="I33" s="287"/>
      <c r="J33" s="287"/>
      <c r="K33" s="287"/>
      <c r="L33" s="287"/>
      <c r="M33" s="287">
        <v>265283.34811999992</v>
      </c>
      <c r="N33" s="287"/>
      <c r="O33" s="287"/>
      <c r="P33" s="287"/>
      <c r="Q33" s="287"/>
      <c r="R33" s="287"/>
      <c r="S33" s="287">
        <v>0</v>
      </c>
      <c r="T33" s="287">
        <v>327218.36479999992</v>
      </c>
      <c r="U33" s="287"/>
      <c r="V33" s="287"/>
      <c r="W33" s="287">
        <v>-327218.36479999992</v>
      </c>
      <c r="X33" s="7"/>
    </row>
    <row r="34" spans="1:24" x14ac:dyDescent="0.25">
      <c r="A34" s="290" t="s">
        <v>1328</v>
      </c>
      <c r="C34" s="290">
        <v>8530</v>
      </c>
      <c r="D34" s="288" t="s">
        <v>1357</v>
      </c>
      <c r="E34" s="287"/>
      <c r="F34" s="287">
        <v>0</v>
      </c>
      <c r="G34" s="287"/>
      <c r="H34" s="287"/>
      <c r="I34" s="287"/>
      <c r="J34" s="287"/>
      <c r="K34" s="287"/>
      <c r="L34" s="287"/>
      <c r="M34" s="287">
        <v>1737873.9040149639</v>
      </c>
      <c r="N34" s="287"/>
      <c r="O34" s="287"/>
      <c r="P34" s="287"/>
      <c r="Q34" s="287"/>
      <c r="R34" s="287"/>
      <c r="S34" s="287">
        <v>0</v>
      </c>
      <c r="T34" s="287">
        <v>1676417.358254964</v>
      </c>
      <c r="U34" s="287"/>
      <c r="V34" s="287"/>
      <c r="W34" s="287">
        <v>-1676417.358254964</v>
      </c>
      <c r="X34" s="7"/>
    </row>
    <row r="35" spans="1:24" x14ac:dyDescent="0.25">
      <c r="A35" s="290" t="s">
        <v>571</v>
      </c>
      <c r="C35" s="290">
        <v>8560</v>
      </c>
      <c r="D35" s="288" t="s">
        <v>147</v>
      </c>
      <c r="E35" s="287">
        <v>0</v>
      </c>
      <c r="F35" s="287">
        <v>0</v>
      </c>
      <c r="G35" s="287">
        <v>0</v>
      </c>
      <c r="H35" s="287">
        <v>0</v>
      </c>
      <c r="I35" s="287">
        <v>0</v>
      </c>
      <c r="J35" s="287">
        <v>0</v>
      </c>
      <c r="K35" s="287">
        <v>0</v>
      </c>
      <c r="L35" s="287">
        <v>0</v>
      </c>
      <c r="M35" s="287">
        <v>1845783.9781200001</v>
      </c>
      <c r="N35" s="287">
        <v>17669.960000000003</v>
      </c>
      <c r="O35" s="287">
        <v>84.37</v>
      </c>
      <c r="P35" s="287">
        <v>8898.6200000000008</v>
      </c>
      <c r="Q35" s="287"/>
      <c r="R35" s="287"/>
      <c r="S35" s="287">
        <v>1550.6999999999998</v>
      </c>
      <c r="T35" s="287">
        <v>1893980.11812</v>
      </c>
      <c r="U35" s="287">
        <v>19992.489999999998</v>
      </c>
      <c r="V35" s="287">
        <v>0</v>
      </c>
      <c r="W35" s="287">
        <v>-1893980.11812</v>
      </c>
      <c r="X35" s="7"/>
    </row>
    <row r="36" spans="1:24" x14ac:dyDescent="0.25">
      <c r="A36" s="290" t="s">
        <v>1329</v>
      </c>
      <c r="C36" s="290">
        <v>8610</v>
      </c>
      <c r="D36" s="288" t="s">
        <v>193</v>
      </c>
      <c r="E36" s="287">
        <v>0</v>
      </c>
      <c r="F36" s="287">
        <v>0</v>
      </c>
      <c r="G36" s="287">
        <v>0</v>
      </c>
      <c r="H36" s="287">
        <v>61.83</v>
      </c>
      <c r="I36" s="287">
        <v>61.83</v>
      </c>
      <c r="J36" s="287">
        <v>1689295.35</v>
      </c>
      <c r="K36" s="287">
        <v>377925.04</v>
      </c>
      <c r="L36" s="287">
        <v>0</v>
      </c>
      <c r="M36" s="287">
        <v>2009707.3603294203</v>
      </c>
      <c r="N36" s="287">
        <v>98404.800000000003</v>
      </c>
      <c r="O36" s="287">
        <v>124.91</v>
      </c>
      <c r="P36" s="287">
        <v>75889.63</v>
      </c>
      <c r="Q36" s="287"/>
      <c r="R36" s="287"/>
      <c r="S36" s="287">
        <v>120224.4</v>
      </c>
      <c r="T36" s="287">
        <v>5665323.6636894206</v>
      </c>
      <c r="U36" s="287">
        <v>859444.37</v>
      </c>
      <c r="V36" s="287">
        <v>0</v>
      </c>
      <c r="W36" s="287">
        <v>-5665261.8336894205</v>
      </c>
      <c r="X36" s="7"/>
    </row>
    <row r="37" spans="1:24" x14ac:dyDescent="0.25">
      <c r="A37" s="290" t="s">
        <v>574</v>
      </c>
      <c r="C37" s="290">
        <v>8620</v>
      </c>
      <c r="D37" s="288" t="s">
        <v>1358</v>
      </c>
      <c r="E37" s="287"/>
      <c r="F37" s="287">
        <v>0</v>
      </c>
      <c r="G37" s="287"/>
      <c r="H37" s="287"/>
      <c r="I37" s="287"/>
      <c r="J37" s="287"/>
      <c r="K37" s="287"/>
      <c r="L37" s="287"/>
      <c r="M37" s="287">
        <v>193367.18455999999</v>
      </c>
      <c r="N37" s="287"/>
      <c r="O37" s="287"/>
      <c r="P37" s="287"/>
      <c r="Q37" s="287"/>
      <c r="R37" s="287"/>
      <c r="S37" s="287">
        <v>0</v>
      </c>
      <c r="T37" s="287">
        <v>193367.18455999999</v>
      </c>
      <c r="U37" s="287"/>
      <c r="V37" s="287"/>
      <c r="W37" s="287">
        <v>-193367.18455999999</v>
      </c>
      <c r="X37" s="7"/>
    </row>
    <row r="38" spans="1:24" x14ac:dyDescent="0.25">
      <c r="A38" s="290" t="s">
        <v>1330</v>
      </c>
      <c r="C38" s="290">
        <v>8630</v>
      </c>
      <c r="D38" s="288" t="s">
        <v>1359</v>
      </c>
      <c r="E38" s="287"/>
      <c r="F38" s="287">
        <v>0</v>
      </c>
      <c r="G38" s="287"/>
      <c r="H38" s="287"/>
      <c r="I38" s="287"/>
      <c r="J38" s="287"/>
      <c r="K38" s="287"/>
      <c r="L38" s="287"/>
      <c r="M38" s="287">
        <v>1019033.2456799999</v>
      </c>
      <c r="N38" s="287"/>
      <c r="O38" s="287"/>
      <c r="P38" s="287"/>
      <c r="Q38" s="287"/>
      <c r="R38" s="287"/>
      <c r="S38" s="287">
        <v>0</v>
      </c>
      <c r="T38" s="287">
        <v>1019053.60304</v>
      </c>
      <c r="U38" s="287"/>
      <c r="V38" s="287"/>
      <c r="W38" s="287">
        <v>-1019053.60304</v>
      </c>
      <c r="X38" s="7"/>
    </row>
    <row r="39" spans="1:24" x14ac:dyDescent="0.25">
      <c r="A39" s="290" t="s">
        <v>577</v>
      </c>
      <c r="C39" s="290">
        <v>8650</v>
      </c>
      <c r="D39" s="288" t="s">
        <v>152</v>
      </c>
      <c r="E39" s="287">
        <v>0</v>
      </c>
      <c r="F39" s="287">
        <v>0</v>
      </c>
      <c r="G39" s="287">
        <v>0</v>
      </c>
      <c r="H39" s="287">
        <v>0</v>
      </c>
      <c r="I39" s="287">
        <v>0</v>
      </c>
      <c r="J39" s="287">
        <v>0</v>
      </c>
      <c r="K39" s="287">
        <v>21.429999999937991</v>
      </c>
      <c r="L39" s="287">
        <v>0</v>
      </c>
      <c r="M39" s="287">
        <v>650603.20675999997</v>
      </c>
      <c r="N39" s="287">
        <v>0</v>
      </c>
      <c r="O39" s="287">
        <v>0</v>
      </c>
      <c r="P39" s="287">
        <v>0</v>
      </c>
      <c r="Q39" s="287"/>
      <c r="R39" s="287"/>
      <c r="S39" s="287">
        <v>0</v>
      </c>
      <c r="T39" s="287">
        <v>404176.26755999995</v>
      </c>
      <c r="U39" s="287">
        <v>0</v>
      </c>
      <c r="V39" s="287">
        <v>0</v>
      </c>
      <c r="W39" s="287">
        <v>-404176.26755999995</v>
      </c>
      <c r="X39" s="7"/>
    </row>
    <row r="40" spans="1:24" x14ac:dyDescent="0.25">
      <c r="A40" s="290" t="s">
        <v>1331</v>
      </c>
      <c r="C40" s="290">
        <v>8660</v>
      </c>
      <c r="D40" s="288" t="s">
        <v>1360</v>
      </c>
      <c r="E40" s="287"/>
      <c r="F40" s="287">
        <v>0</v>
      </c>
      <c r="G40" s="287"/>
      <c r="H40" s="287"/>
      <c r="I40" s="287"/>
      <c r="J40" s="287"/>
      <c r="K40" s="287"/>
      <c r="L40" s="287"/>
      <c r="M40" s="287">
        <v>53429.914439999986</v>
      </c>
      <c r="N40" s="287"/>
      <c r="O40" s="287"/>
      <c r="P40" s="287"/>
      <c r="Q40" s="287"/>
      <c r="R40" s="287"/>
      <c r="S40" s="287">
        <v>0</v>
      </c>
      <c r="T40" s="287">
        <v>53429.914439999986</v>
      </c>
      <c r="U40" s="287"/>
      <c r="V40" s="287"/>
      <c r="W40" s="287">
        <v>-53429.914439999986</v>
      </c>
      <c r="X40" s="7"/>
    </row>
    <row r="41" spans="1:24" x14ac:dyDescent="0.25">
      <c r="A41" s="290" t="s">
        <v>1332</v>
      </c>
      <c r="C41" s="290">
        <v>8670</v>
      </c>
      <c r="D41" s="288" t="s">
        <v>154</v>
      </c>
      <c r="E41" s="287"/>
      <c r="F41" s="287">
        <v>0</v>
      </c>
      <c r="G41" s="287"/>
      <c r="H41" s="287"/>
      <c r="I41" s="287"/>
      <c r="J41" s="287"/>
      <c r="K41" s="287"/>
      <c r="L41" s="287"/>
      <c r="M41" s="287">
        <v>91478.531639999987</v>
      </c>
      <c r="N41" s="287"/>
      <c r="O41" s="287"/>
      <c r="P41" s="287"/>
      <c r="Q41" s="287"/>
      <c r="R41" s="287"/>
      <c r="S41" s="287">
        <v>0</v>
      </c>
      <c r="T41" s="287">
        <v>91478.531639999987</v>
      </c>
      <c r="U41" s="287"/>
      <c r="V41" s="287"/>
      <c r="W41" s="287">
        <v>-91478.531639999987</v>
      </c>
      <c r="X41" s="7"/>
    </row>
    <row r="42" spans="1:24" x14ac:dyDescent="0.25">
      <c r="A42" s="290" t="s">
        <v>579</v>
      </c>
      <c r="C42" s="290">
        <v>8680</v>
      </c>
      <c r="D42" s="288" t="s">
        <v>646</v>
      </c>
      <c r="E42" s="287"/>
      <c r="F42" s="287">
        <v>0</v>
      </c>
      <c r="G42" s="287"/>
      <c r="H42" s="287"/>
      <c r="I42" s="287"/>
      <c r="J42" s="287"/>
      <c r="K42" s="287"/>
      <c r="L42" s="287"/>
      <c r="M42" s="287">
        <v>31867.568360000008</v>
      </c>
      <c r="N42" s="287"/>
      <c r="O42" s="287"/>
      <c r="P42" s="287"/>
      <c r="Q42" s="287"/>
      <c r="R42" s="287"/>
      <c r="S42" s="287">
        <v>0</v>
      </c>
      <c r="T42" s="287">
        <v>31867.568360000008</v>
      </c>
      <c r="U42" s="287"/>
      <c r="V42" s="287"/>
      <c r="W42" s="287">
        <v>-31867.568360000008</v>
      </c>
      <c r="X42" s="7"/>
    </row>
    <row r="43" spans="1:24" x14ac:dyDescent="0.25">
      <c r="A43" s="290" t="s">
        <v>580</v>
      </c>
      <c r="C43" s="290">
        <v>8690</v>
      </c>
      <c r="D43" s="288" t="s">
        <v>648</v>
      </c>
      <c r="E43" s="287"/>
      <c r="F43" s="287">
        <v>0</v>
      </c>
      <c r="G43" s="287"/>
      <c r="H43" s="287"/>
      <c r="I43" s="287"/>
      <c r="J43" s="287"/>
      <c r="K43" s="287"/>
      <c r="L43" s="287"/>
      <c r="M43" s="287">
        <v>2395212.8505677478</v>
      </c>
      <c r="N43" s="287"/>
      <c r="O43" s="287"/>
      <c r="P43" s="287"/>
      <c r="Q43" s="287"/>
      <c r="R43" s="287"/>
      <c r="S43" s="287">
        <v>0</v>
      </c>
      <c r="T43" s="287">
        <v>2395212.8505677478</v>
      </c>
      <c r="U43" s="287"/>
      <c r="V43" s="287"/>
      <c r="W43" s="287">
        <v>-2395212.8505677478</v>
      </c>
      <c r="X43" s="7"/>
    </row>
    <row r="44" spans="1:24" x14ac:dyDescent="0.25">
      <c r="A44" s="290" t="s">
        <v>581</v>
      </c>
      <c r="C44" s="290">
        <v>8700</v>
      </c>
      <c r="D44" s="288" t="s">
        <v>650</v>
      </c>
      <c r="E44" s="287"/>
      <c r="F44" s="287">
        <v>0</v>
      </c>
      <c r="G44" s="287"/>
      <c r="H44" s="287"/>
      <c r="I44" s="287"/>
      <c r="J44" s="287"/>
      <c r="K44" s="287"/>
      <c r="L44" s="287"/>
      <c r="M44" s="287">
        <v>469536.11818737997</v>
      </c>
      <c r="N44" s="287"/>
      <c r="O44" s="287"/>
      <c r="P44" s="287"/>
      <c r="Q44" s="287"/>
      <c r="R44" s="287"/>
      <c r="S44" s="287">
        <v>0</v>
      </c>
      <c r="T44" s="287">
        <v>467174.57398737996</v>
      </c>
      <c r="U44" s="287"/>
      <c r="V44" s="287"/>
      <c r="W44" s="287">
        <v>-467174.57398737996</v>
      </c>
      <c r="X44" s="7"/>
    </row>
    <row r="45" spans="1:24" x14ac:dyDescent="0.25">
      <c r="A45" s="290" t="s">
        <v>1333</v>
      </c>
      <c r="C45" s="290">
        <v>8710</v>
      </c>
      <c r="D45" s="288" t="s">
        <v>1361</v>
      </c>
      <c r="E45" s="287"/>
      <c r="F45" s="287">
        <v>0</v>
      </c>
      <c r="G45" s="287"/>
      <c r="H45" s="287"/>
      <c r="I45" s="287"/>
      <c r="J45" s="287"/>
      <c r="K45" s="287"/>
      <c r="L45" s="287"/>
      <c r="M45" s="287">
        <v>2872459.7217133441</v>
      </c>
      <c r="N45" s="287"/>
      <c r="O45" s="287"/>
      <c r="P45" s="287"/>
      <c r="Q45" s="287"/>
      <c r="R45" s="287"/>
      <c r="S45" s="287">
        <v>0</v>
      </c>
      <c r="T45" s="287">
        <v>794764.12691334391</v>
      </c>
      <c r="U45" s="287"/>
      <c r="V45" s="287"/>
      <c r="W45" s="287">
        <v>-794764.12691334391</v>
      </c>
      <c r="X45" s="7"/>
    </row>
    <row r="46" spans="1:24" x14ac:dyDescent="0.25">
      <c r="A46" s="290" t="s">
        <v>1334</v>
      </c>
      <c r="C46" s="290">
        <v>8720</v>
      </c>
      <c r="D46" s="288" t="s">
        <v>1362</v>
      </c>
      <c r="E46" s="287">
        <v>0</v>
      </c>
      <c r="F46" s="287">
        <v>0</v>
      </c>
      <c r="G46" s="287">
        <v>0</v>
      </c>
      <c r="H46" s="287">
        <v>0</v>
      </c>
      <c r="I46" s="287">
        <v>0</v>
      </c>
      <c r="J46" s="287">
        <v>1197675.1099999996</v>
      </c>
      <c r="K46" s="287">
        <v>288224.64000000001</v>
      </c>
      <c r="L46" s="287">
        <v>0</v>
      </c>
      <c r="M46" s="287">
        <v>87454.731800000009</v>
      </c>
      <c r="N46" s="287">
        <v>1246.93</v>
      </c>
      <c r="O46" s="287">
        <v>592.17999999999995</v>
      </c>
      <c r="P46" s="287">
        <v>402.06</v>
      </c>
      <c r="Q46" s="287"/>
      <c r="R46" s="287"/>
      <c r="S46" s="287">
        <v>494.90999999999997</v>
      </c>
      <c r="T46" s="287">
        <v>1576066.85</v>
      </c>
      <c r="U46" s="287">
        <v>1605.39</v>
      </c>
      <c r="V46" s="287">
        <v>0</v>
      </c>
      <c r="W46" s="287">
        <v>-1576066.85</v>
      </c>
      <c r="X46" s="7"/>
    </row>
    <row r="47" spans="1:24" x14ac:dyDescent="0.25">
      <c r="A47" s="290" t="s">
        <v>1335</v>
      </c>
      <c r="C47" s="290">
        <v>8740</v>
      </c>
      <c r="D47" s="288" t="s">
        <v>201</v>
      </c>
      <c r="E47" s="287">
        <v>0</v>
      </c>
      <c r="F47" s="287">
        <v>0</v>
      </c>
      <c r="G47" s="287">
        <v>0</v>
      </c>
      <c r="H47" s="287">
        <v>0</v>
      </c>
      <c r="I47" s="287">
        <v>0</v>
      </c>
      <c r="J47" s="287">
        <v>182183.72000000003</v>
      </c>
      <c r="K47" s="287">
        <v>42484.179999999993</v>
      </c>
      <c r="L47" s="287">
        <v>0</v>
      </c>
      <c r="M47" s="287">
        <v>282822.08928000001</v>
      </c>
      <c r="N47" s="287">
        <v>0</v>
      </c>
      <c r="O47" s="287">
        <v>0</v>
      </c>
      <c r="P47" s="287">
        <v>0</v>
      </c>
      <c r="Q47" s="287"/>
      <c r="R47" s="287"/>
      <c r="S47" s="287">
        <v>0</v>
      </c>
      <c r="T47" s="287">
        <v>507489.98927999998</v>
      </c>
      <c r="U47" s="287">
        <v>0</v>
      </c>
      <c r="V47" s="287">
        <v>0</v>
      </c>
      <c r="W47" s="287">
        <v>-507489.98927999998</v>
      </c>
      <c r="X47" s="7"/>
    </row>
    <row r="48" spans="1:24" x14ac:dyDescent="0.25">
      <c r="A48" s="290" t="s">
        <v>1336</v>
      </c>
      <c r="C48" s="290">
        <v>8770</v>
      </c>
      <c r="D48" s="288" t="s">
        <v>1363</v>
      </c>
      <c r="E48" s="287"/>
      <c r="F48" s="287">
        <v>0</v>
      </c>
      <c r="G48" s="287"/>
      <c r="H48" s="287"/>
      <c r="I48" s="287"/>
      <c r="J48" s="287"/>
      <c r="K48" s="287"/>
      <c r="L48" s="287"/>
      <c r="M48" s="287">
        <v>34213.396519999995</v>
      </c>
      <c r="N48" s="287"/>
      <c r="O48" s="287"/>
      <c r="P48" s="287"/>
      <c r="Q48" s="287"/>
      <c r="R48" s="287"/>
      <c r="S48" s="287">
        <v>0</v>
      </c>
      <c r="T48" s="287">
        <v>34213.396519999995</v>
      </c>
      <c r="U48" s="287"/>
      <c r="V48" s="287"/>
      <c r="W48" s="287">
        <v>-34213.396519999995</v>
      </c>
      <c r="X48" s="7"/>
    </row>
    <row r="49" spans="1:24" x14ac:dyDescent="0.25">
      <c r="A49" s="290" t="s">
        <v>1337</v>
      </c>
      <c r="C49" s="290">
        <v>8790</v>
      </c>
      <c r="D49" s="288" t="s">
        <v>1364</v>
      </c>
      <c r="E49" s="287">
        <v>0</v>
      </c>
      <c r="F49" s="287">
        <v>0</v>
      </c>
      <c r="G49" s="287">
        <v>0</v>
      </c>
      <c r="H49" s="287">
        <v>0</v>
      </c>
      <c r="I49" s="287">
        <v>372031.82</v>
      </c>
      <c r="J49" s="287">
        <v>16385.38</v>
      </c>
      <c r="K49" s="287">
        <v>3583.2400000000007</v>
      </c>
      <c r="L49" s="287">
        <v>0</v>
      </c>
      <c r="M49" s="287">
        <v>106326.54414289602</v>
      </c>
      <c r="N49" s="287">
        <v>16.989999999999998</v>
      </c>
      <c r="O49" s="287">
        <v>0</v>
      </c>
      <c r="P49" s="287">
        <v>0</v>
      </c>
      <c r="Q49" s="287"/>
      <c r="R49" s="287"/>
      <c r="S49" s="287">
        <v>766.32</v>
      </c>
      <c r="T49" s="287">
        <v>532468.08766289602</v>
      </c>
      <c r="U49" s="287">
        <v>0</v>
      </c>
      <c r="V49" s="287">
        <v>0</v>
      </c>
      <c r="W49" s="287">
        <v>-161202.58766289591</v>
      </c>
      <c r="X49" s="7"/>
    </row>
    <row r="50" spans="1:24" x14ac:dyDescent="0.25">
      <c r="A50" s="290" t="s">
        <v>1338</v>
      </c>
      <c r="C50" s="290">
        <v>8900</v>
      </c>
      <c r="D50" s="288" t="s">
        <v>211</v>
      </c>
      <c r="E50" s="297">
        <v>-254612.5</v>
      </c>
      <c r="F50" s="297">
        <v>193119.57</v>
      </c>
      <c r="G50" s="287">
        <v>-61492.929999999993</v>
      </c>
      <c r="H50" s="298">
        <v>39008.050000000003</v>
      </c>
      <c r="I50" s="287">
        <v>-668143027.67999995</v>
      </c>
      <c r="J50" s="297">
        <v>61900</v>
      </c>
      <c r="K50" s="298">
        <v>0</v>
      </c>
      <c r="L50" s="297">
        <v>2935839.31</v>
      </c>
      <c r="M50" s="297">
        <v>7458057.1544106845</v>
      </c>
      <c r="N50" s="297">
        <v>47196.87000000001</v>
      </c>
      <c r="O50" s="297">
        <v>0</v>
      </c>
      <c r="P50" s="297">
        <v>-38076.269999999975</v>
      </c>
      <c r="Q50" s="287"/>
      <c r="R50" s="287"/>
      <c r="S50" s="298">
        <v>6814917.4499999993</v>
      </c>
      <c r="T50" s="287">
        <v>22851362.23921068</v>
      </c>
      <c r="U50" s="298">
        <v>3474932.1300000008</v>
      </c>
      <c r="V50" s="297">
        <v>115162.7999999997</v>
      </c>
      <c r="W50" s="287">
        <v>-690860327.1192106</v>
      </c>
      <c r="X50" s="7"/>
    </row>
    <row r="51" spans="1:24" x14ac:dyDescent="0.25">
      <c r="A51" s="294"/>
      <c r="C51" s="294" t="s">
        <v>1339</v>
      </c>
      <c r="D51" s="294"/>
      <c r="E51" s="295">
        <v>368866363.00999999</v>
      </c>
      <c r="F51" s="295">
        <v>514688704.91000003</v>
      </c>
      <c r="G51" s="295">
        <v>883555067.91999984</v>
      </c>
      <c r="H51" s="295">
        <v>8262923.6800000006</v>
      </c>
      <c r="I51" s="295">
        <v>189016309.78999972</v>
      </c>
      <c r="J51" s="295">
        <v>69556966.86999999</v>
      </c>
      <c r="K51" s="295">
        <v>15636201.999999998</v>
      </c>
      <c r="L51" s="295">
        <v>6792352.7199999997</v>
      </c>
      <c r="M51" s="295">
        <v>36327598.969999999</v>
      </c>
      <c r="N51" s="295">
        <v>27170280.939999994</v>
      </c>
      <c r="O51" s="295">
        <v>1304921.55</v>
      </c>
      <c r="P51" s="295">
        <v>3912005.04</v>
      </c>
      <c r="Q51" s="295">
        <v>0</v>
      </c>
      <c r="R51" s="295">
        <v>0</v>
      </c>
      <c r="S51" s="295">
        <f>SUM(S3:S50)</f>
        <v>12714488.710000001</v>
      </c>
      <c r="T51" s="295">
        <v>186189197.74000007</v>
      </c>
      <c r="U51" s="295">
        <v>12756247.26</v>
      </c>
      <c r="V51" s="295">
        <v>-87373.090000000317</v>
      </c>
      <c r="W51" s="295">
        <v>2757872.6400001049</v>
      </c>
      <c r="X51" s="7"/>
    </row>
    <row r="52" spans="1:24" x14ac:dyDescent="0.25">
      <c r="A52" s="7"/>
      <c r="C52" s="7"/>
      <c r="D52" s="7"/>
      <c r="E52" s="289"/>
      <c r="F52" s="289"/>
      <c r="G52" s="289"/>
      <c r="H52" s="289"/>
      <c r="I52" s="289"/>
      <c r="J52" s="289"/>
      <c r="K52" s="289"/>
      <c r="L52" s="289"/>
      <c r="M52" s="289">
        <f>+data!CE66</f>
        <v>36327598.815589316</v>
      </c>
      <c r="N52" s="289"/>
      <c r="O52" s="289"/>
      <c r="P52" s="289"/>
      <c r="Q52" s="289" t="s">
        <v>1466</v>
      </c>
      <c r="R52" s="289" t="s">
        <v>1466</v>
      </c>
      <c r="S52" s="289">
        <f>+S51-data!CE69</f>
        <v>-124.55000000074506</v>
      </c>
      <c r="T52" s="289"/>
      <c r="U52" s="289"/>
      <c r="V52" s="289"/>
      <c r="W52" s="7"/>
      <c r="X52" s="7"/>
    </row>
    <row r="53" spans="1:24" x14ac:dyDescent="0.25">
      <c r="A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>
        <f>+M51-M52</f>
        <v>0.15441068261861801</v>
      </c>
      <c r="N53" s="7"/>
      <c r="O53" s="7"/>
      <c r="P53" s="7"/>
      <c r="Q53" s="7" t="s">
        <v>1467</v>
      </c>
      <c r="R53" s="7" t="s">
        <v>1467</v>
      </c>
      <c r="S53" s="7"/>
      <c r="T53" s="7"/>
      <c r="U53" s="7"/>
      <c r="V53" s="7"/>
      <c r="W53" s="7"/>
      <c r="X53" s="7"/>
    </row>
    <row r="54" spans="1:24" x14ac:dyDescent="0.25">
      <c r="A54" s="7"/>
      <c r="C54" s="7" t="s">
        <v>1394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 t="s">
        <v>1468</v>
      </c>
      <c r="R54" s="7" t="s">
        <v>1468</v>
      </c>
      <c r="S54" s="7"/>
      <c r="T54" s="7"/>
      <c r="U54" s="7"/>
      <c r="V54" s="7"/>
      <c r="W54" s="7"/>
      <c r="X54" s="7"/>
    </row>
    <row r="55" spans="1:24" x14ac:dyDescent="0.25">
      <c r="A55" s="7"/>
      <c r="C55" s="7" t="s">
        <v>1395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x14ac:dyDescent="0.25">
      <c r="A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ht="41.25" customHeight="1" x14ac:dyDescent="0.25">
      <c r="D57" s="299" t="s">
        <v>1383</v>
      </c>
      <c r="E57" s="299" t="s">
        <v>1384</v>
      </c>
      <c r="F57" s="299" t="s">
        <v>1385</v>
      </c>
      <c r="H57" s="300" t="s">
        <v>1386</v>
      </c>
      <c r="J57" s="299" t="s">
        <v>1387</v>
      </c>
      <c r="K57" s="300" t="s">
        <v>1388</v>
      </c>
      <c r="L57" s="299" t="s">
        <v>1389</v>
      </c>
      <c r="M57" s="299" t="s">
        <v>1390</v>
      </c>
      <c r="N57" s="299" t="s">
        <v>1390</v>
      </c>
      <c r="O57" s="299" t="s">
        <v>1390</v>
      </c>
      <c r="P57" s="299" t="s">
        <v>1390</v>
      </c>
      <c r="S57" s="300" t="s">
        <v>1391</v>
      </c>
      <c r="T57" s="7"/>
      <c r="U57" s="300" t="s">
        <v>1392</v>
      </c>
      <c r="V57" s="301" t="s">
        <v>1393</v>
      </c>
    </row>
    <row r="58" spans="1:24" ht="16.2" thickBot="1" x14ac:dyDescent="0.35">
      <c r="A58" s="7"/>
      <c r="C58" s="7">
        <v>1</v>
      </c>
      <c r="D58" s="7">
        <v>2</v>
      </c>
      <c r="E58" s="302">
        <v>3</v>
      </c>
      <c r="F58" s="302">
        <v>4</v>
      </c>
    </row>
    <row r="59" spans="1:24" ht="15.6" thickBot="1" x14ac:dyDescent="0.3">
      <c r="A59" s="303"/>
      <c r="C59" s="303"/>
      <c r="D59" s="304"/>
      <c r="E59" s="305"/>
      <c r="F59" s="306"/>
      <c r="H59" s="311">
        <v>1</v>
      </c>
      <c r="I59" s="311">
        <v>2</v>
      </c>
      <c r="J59" s="312">
        <v>3</v>
      </c>
      <c r="K59" s="311">
        <v>4</v>
      </c>
      <c r="L59" s="311">
        <v>5</v>
      </c>
    </row>
    <row r="60" spans="1:24" x14ac:dyDescent="0.25">
      <c r="A60" s="307"/>
      <c r="C60" s="307" t="s">
        <v>1396</v>
      </c>
      <c r="D60" s="308" t="s">
        <v>210</v>
      </c>
      <c r="E60" s="309" t="s">
        <v>1397</v>
      </c>
      <c r="F60" s="310" t="s">
        <v>1398</v>
      </c>
      <c r="H60" s="313"/>
      <c r="I60" s="313"/>
      <c r="J60" s="313"/>
      <c r="K60" s="314"/>
      <c r="L60" s="314" t="s">
        <v>1399</v>
      </c>
    </row>
    <row r="61" spans="1:24" x14ac:dyDescent="0.25">
      <c r="A61" s="319"/>
      <c r="C61" s="319">
        <v>6010</v>
      </c>
      <c r="D61" s="320" t="s">
        <v>1340</v>
      </c>
      <c r="E61" s="327">
        <v>27.621831730769234</v>
      </c>
      <c r="F61" s="327">
        <v>42.52</v>
      </c>
      <c r="H61" s="315" t="s">
        <v>1365</v>
      </c>
      <c r="I61" s="316" t="s">
        <v>212</v>
      </c>
      <c r="J61" s="315" t="s">
        <v>1188</v>
      </c>
      <c r="K61" s="316" t="s">
        <v>1400</v>
      </c>
      <c r="L61" s="316" t="s">
        <v>1401</v>
      </c>
    </row>
    <row r="62" spans="1:24" x14ac:dyDescent="0.25">
      <c r="A62" s="321"/>
      <c r="C62" s="321">
        <v>6070</v>
      </c>
      <c r="D62" s="8" t="s">
        <v>665</v>
      </c>
      <c r="E62" s="327">
        <v>87.873163461538454</v>
      </c>
      <c r="F62" s="327">
        <v>154.59115865384615</v>
      </c>
      <c r="H62" s="317">
        <v>6010</v>
      </c>
      <c r="I62" s="318" t="s">
        <v>1402</v>
      </c>
      <c r="J62" s="7">
        <v>4168.4349914023696</v>
      </c>
      <c r="K62" s="330">
        <v>13914</v>
      </c>
      <c r="L62" s="334">
        <v>7.3844096293465805E-2</v>
      </c>
    </row>
    <row r="63" spans="1:24" x14ac:dyDescent="0.25">
      <c r="A63" s="321"/>
      <c r="C63" s="321">
        <v>7020</v>
      </c>
      <c r="D63" s="8" t="s">
        <v>1342</v>
      </c>
      <c r="E63" s="327">
        <v>12.931831730769229</v>
      </c>
      <c r="F63" s="327">
        <v>35.915456730769236</v>
      </c>
      <c r="H63" s="317">
        <v>6030</v>
      </c>
      <c r="I63" s="318" t="s">
        <v>1403</v>
      </c>
      <c r="J63" s="7">
        <v>0</v>
      </c>
      <c r="K63" s="330"/>
      <c r="L63" s="334">
        <v>0</v>
      </c>
    </row>
    <row r="64" spans="1:24" x14ac:dyDescent="0.25">
      <c r="A64" s="321"/>
      <c r="C64" s="321">
        <v>7030</v>
      </c>
      <c r="D64" s="8" t="s">
        <v>106</v>
      </c>
      <c r="E64" s="327">
        <v>17.361932692307693</v>
      </c>
      <c r="F64" s="327">
        <v>24.72447596153846</v>
      </c>
      <c r="H64" s="317">
        <v>6070</v>
      </c>
      <c r="I64" s="318" t="s">
        <v>1404</v>
      </c>
      <c r="J64" s="7">
        <v>24992.335222636179</v>
      </c>
      <c r="K64" s="330">
        <f>80315+3108</f>
        <v>83423</v>
      </c>
      <c r="L64" s="334">
        <v>0.44274083980809237</v>
      </c>
    </row>
    <row r="65" spans="1:12" x14ac:dyDescent="0.25">
      <c r="A65" s="321"/>
      <c r="C65" s="321">
        <v>7050</v>
      </c>
      <c r="D65" s="8" t="s">
        <v>1343</v>
      </c>
      <c r="E65" s="327">
        <v>6.0096153846153849E-3</v>
      </c>
      <c r="F65" s="327">
        <v>15.603336538461537</v>
      </c>
      <c r="H65" s="317">
        <v>6100</v>
      </c>
      <c r="I65" s="318" t="s">
        <v>1405</v>
      </c>
      <c r="J65" s="7">
        <v>0</v>
      </c>
      <c r="K65" s="330"/>
      <c r="L65" s="334">
        <v>0</v>
      </c>
    </row>
    <row r="66" spans="1:12" x14ac:dyDescent="0.25">
      <c r="A66" s="321"/>
      <c r="C66" s="321">
        <v>7060</v>
      </c>
      <c r="D66" s="8" t="s">
        <v>1344</v>
      </c>
      <c r="E66" s="327">
        <v>5.0558557692307691</v>
      </c>
      <c r="F66" s="327">
        <v>5.5740480769230771</v>
      </c>
      <c r="H66" s="317">
        <v>6120</v>
      </c>
      <c r="I66" s="318" t="s">
        <v>1406</v>
      </c>
      <c r="J66" s="7">
        <v>0</v>
      </c>
      <c r="K66" s="330"/>
      <c r="L66" s="334">
        <v>0</v>
      </c>
    </row>
    <row r="67" spans="1:12" x14ac:dyDescent="0.25">
      <c r="A67" s="321"/>
      <c r="C67" s="321">
        <v>7070</v>
      </c>
      <c r="D67" s="8" t="s">
        <v>1345</v>
      </c>
      <c r="E67" s="327">
        <v>0</v>
      </c>
      <c r="F67" s="327">
        <v>18.863865384615387</v>
      </c>
      <c r="H67" s="317">
        <v>6140</v>
      </c>
      <c r="I67" s="318" t="s">
        <v>1407</v>
      </c>
      <c r="J67" s="7">
        <v>0</v>
      </c>
      <c r="K67" s="330"/>
      <c r="L67" s="334">
        <v>0</v>
      </c>
    </row>
    <row r="68" spans="1:12" x14ac:dyDescent="0.25">
      <c r="A68" s="321"/>
      <c r="C68" s="321">
        <v>7120</v>
      </c>
      <c r="D68" s="8" t="s">
        <v>1346</v>
      </c>
      <c r="E68" s="327">
        <v>0</v>
      </c>
      <c r="F68" s="327">
        <v>3.7112211538461537</v>
      </c>
      <c r="H68" s="317">
        <v>6150</v>
      </c>
      <c r="I68" s="318" t="s">
        <v>1408</v>
      </c>
      <c r="J68" s="7">
        <v>0</v>
      </c>
      <c r="K68" s="330"/>
      <c r="L68" s="334">
        <v>0</v>
      </c>
    </row>
    <row r="69" spans="1:12" x14ac:dyDescent="0.25">
      <c r="A69" s="321"/>
      <c r="C69" s="321">
        <v>7130</v>
      </c>
      <c r="D69" s="8" t="s">
        <v>1347</v>
      </c>
      <c r="E69" s="327">
        <v>0</v>
      </c>
      <c r="F69" s="327">
        <v>6.2812740384615378</v>
      </c>
      <c r="H69" s="317">
        <v>6170</v>
      </c>
      <c r="I69" s="318" t="s">
        <v>99</v>
      </c>
      <c r="J69" s="7">
        <v>0</v>
      </c>
      <c r="K69" s="330"/>
      <c r="L69" s="334">
        <v>0</v>
      </c>
    </row>
    <row r="70" spans="1:12" x14ac:dyDescent="0.25">
      <c r="A70" s="321"/>
      <c r="C70" s="321">
        <v>7140</v>
      </c>
      <c r="D70" s="8" t="s">
        <v>1348</v>
      </c>
      <c r="E70" s="327">
        <v>4.807692307692308E-4</v>
      </c>
      <c r="F70" s="327">
        <v>20.257798076923081</v>
      </c>
      <c r="H70" s="317">
        <v>6200</v>
      </c>
      <c r="I70" s="318" t="s">
        <v>1409</v>
      </c>
      <c r="J70" s="7">
        <v>0</v>
      </c>
      <c r="K70" s="330"/>
      <c r="L70" s="334">
        <v>0</v>
      </c>
    </row>
    <row r="71" spans="1:12" x14ac:dyDescent="0.25">
      <c r="A71" s="321"/>
      <c r="C71" s="321">
        <v>7160</v>
      </c>
      <c r="D71" s="8" t="s">
        <v>1349</v>
      </c>
      <c r="E71" s="327">
        <v>0</v>
      </c>
      <c r="F71" s="327">
        <v>2.4955913461538461</v>
      </c>
      <c r="H71" s="317">
        <v>6210</v>
      </c>
      <c r="I71" s="318" t="s">
        <v>1410</v>
      </c>
      <c r="J71" s="7">
        <v>0</v>
      </c>
      <c r="K71" s="330"/>
      <c r="L71" s="334">
        <v>0</v>
      </c>
    </row>
    <row r="72" spans="1:12" x14ac:dyDescent="0.25">
      <c r="A72" s="321"/>
      <c r="C72" s="321">
        <v>7170</v>
      </c>
      <c r="D72" s="8" t="s">
        <v>115</v>
      </c>
      <c r="E72" s="327">
        <v>0</v>
      </c>
      <c r="F72" s="327">
        <v>26.926254807692306</v>
      </c>
      <c r="H72" s="317">
        <v>6330</v>
      </c>
      <c r="I72" s="318" t="s">
        <v>1411</v>
      </c>
      <c r="J72" s="7">
        <v>0</v>
      </c>
      <c r="K72" s="330"/>
      <c r="L72" s="334">
        <v>0</v>
      </c>
    </row>
    <row r="73" spans="1:12" x14ac:dyDescent="0.25">
      <c r="A73" s="321"/>
      <c r="C73" s="321">
        <v>7180</v>
      </c>
      <c r="D73" s="8" t="s">
        <v>1350</v>
      </c>
      <c r="E73" s="327">
        <v>0</v>
      </c>
      <c r="F73" s="327">
        <v>12.961567307692306</v>
      </c>
      <c r="H73" s="317">
        <v>6400</v>
      </c>
      <c r="I73" s="318" t="s">
        <v>1412</v>
      </c>
      <c r="J73" s="7">
        <v>0</v>
      </c>
      <c r="K73" s="330"/>
      <c r="L73" s="334">
        <v>0</v>
      </c>
    </row>
    <row r="74" spans="1:12" x14ac:dyDescent="0.25">
      <c r="A74" s="321"/>
      <c r="C74" s="321">
        <v>7200</v>
      </c>
      <c r="D74" s="8" t="s">
        <v>709</v>
      </c>
      <c r="E74" s="327">
        <v>0</v>
      </c>
      <c r="F74" s="327">
        <v>10.834326923076924</v>
      </c>
      <c r="H74" s="317">
        <v>7010</v>
      </c>
      <c r="I74" s="318" t="s">
        <v>1413</v>
      </c>
      <c r="J74" s="7">
        <v>0</v>
      </c>
      <c r="K74" s="330"/>
      <c r="L74" s="334">
        <v>0</v>
      </c>
    </row>
    <row r="75" spans="1:12" x14ac:dyDescent="0.25">
      <c r="A75" s="321"/>
      <c r="C75" s="321">
        <v>7230</v>
      </c>
      <c r="D75" s="8" t="s">
        <v>118</v>
      </c>
      <c r="E75" s="327">
        <v>22.40910576923077</v>
      </c>
      <c r="F75" s="327">
        <v>40.921374999999998</v>
      </c>
      <c r="H75" s="317">
        <v>7020</v>
      </c>
      <c r="I75" s="318" t="s">
        <v>1414</v>
      </c>
      <c r="J75" s="7">
        <v>8413.5639139387768</v>
      </c>
      <c r="K75" s="330">
        <v>28084</v>
      </c>
      <c r="L75" s="334">
        <v>0.14904683055237125</v>
      </c>
    </row>
    <row r="76" spans="1:12" x14ac:dyDescent="0.25">
      <c r="A76" s="321"/>
      <c r="C76" s="321">
        <v>7260</v>
      </c>
      <c r="D76" s="326" t="s">
        <v>121</v>
      </c>
      <c r="E76" s="328">
        <f>2.90840865384615+30.11</f>
        <v>33.018408653846151</v>
      </c>
      <c r="F76" s="328">
        <f>5.67434615384615+222.87</f>
        <v>228.54434615384616</v>
      </c>
      <c r="H76" s="317">
        <v>7030</v>
      </c>
      <c r="I76" s="318" t="s">
        <v>1415</v>
      </c>
      <c r="J76" s="7">
        <v>1084.7997056107502</v>
      </c>
      <c r="K76" s="330">
        <v>3621</v>
      </c>
      <c r="L76" s="334">
        <v>1.9217297159597503E-2</v>
      </c>
    </row>
    <row r="77" spans="1:12" x14ac:dyDescent="0.25">
      <c r="A77" s="321"/>
      <c r="C77" s="321">
        <v>7310</v>
      </c>
      <c r="D77" s="8" t="s">
        <v>1352</v>
      </c>
      <c r="E77" s="327">
        <v>0</v>
      </c>
      <c r="F77" s="327">
        <v>2.8094326923076927</v>
      </c>
      <c r="H77" s="317">
        <v>7040</v>
      </c>
      <c r="I77" s="318" t="s">
        <v>107</v>
      </c>
      <c r="J77" s="7">
        <v>0</v>
      </c>
      <c r="K77" s="330"/>
      <c r="L77" s="334">
        <v>0</v>
      </c>
    </row>
    <row r="78" spans="1:12" x14ac:dyDescent="0.25">
      <c r="A78" s="321"/>
      <c r="C78" s="321">
        <v>7320</v>
      </c>
      <c r="D78" s="8" t="s">
        <v>123</v>
      </c>
      <c r="E78" s="327">
        <v>0</v>
      </c>
      <c r="F78" s="327">
        <v>0.9085288461538461</v>
      </c>
      <c r="H78" s="317">
        <v>7050</v>
      </c>
      <c r="I78" s="318" t="s">
        <v>1416</v>
      </c>
      <c r="J78" s="7">
        <v>2271.4585385088949</v>
      </c>
      <c r="K78" s="330">
        <f>6932+650</f>
        <v>7582</v>
      </c>
      <c r="L78" s="334">
        <v>4.023903536704454E-2</v>
      </c>
    </row>
    <row r="79" spans="1:12" x14ac:dyDescent="0.25">
      <c r="A79" s="321"/>
      <c r="C79" s="321">
        <v>7490</v>
      </c>
      <c r="D79" s="8" t="s">
        <v>1353</v>
      </c>
      <c r="E79" s="327">
        <v>0.1343798076923077</v>
      </c>
      <c r="F79" s="327">
        <v>3.5570673076923076</v>
      </c>
      <c r="H79" s="317">
        <v>7060</v>
      </c>
      <c r="I79" s="318" t="s">
        <v>1417</v>
      </c>
      <c r="J79" s="7">
        <v>0</v>
      </c>
      <c r="K79" s="330"/>
      <c r="L79" s="334">
        <v>0</v>
      </c>
    </row>
    <row r="80" spans="1:12" x14ac:dyDescent="0.25">
      <c r="A80" s="321"/>
      <c r="C80" s="321">
        <v>8330</v>
      </c>
      <c r="D80" s="8" t="s">
        <v>136</v>
      </c>
      <c r="E80" s="329">
        <v>0</v>
      </c>
      <c r="F80" s="327">
        <v>31.052120192307694</v>
      </c>
      <c r="H80" s="317">
        <v>7070</v>
      </c>
      <c r="I80" s="318" t="s">
        <v>109</v>
      </c>
      <c r="J80" s="7">
        <v>2185.477451651594</v>
      </c>
      <c r="K80" s="330">
        <f>2686+4609</f>
        <v>7295</v>
      </c>
      <c r="L80" s="334">
        <v>3.8715874835477435E-2</v>
      </c>
    </row>
    <row r="81" spans="1:12" x14ac:dyDescent="0.25">
      <c r="A81" s="321"/>
      <c r="C81" s="321">
        <v>8350</v>
      </c>
      <c r="D81" s="8" t="s">
        <v>1355</v>
      </c>
      <c r="E81" s="329">
        <v>0</v>
      </c>
      <c r="F81" s="327">
        <v>1.3451826923076922</v>
      </c>
      <c r="H81" s="317">
        <v>7110</v>
      </c>
      <c r="I81" s="318" t="s">
        <v>1418</v>
      </c>
      <c r="J81" s="7">
        <v>0</v>
      </c>
      <c r="K81" s="330"/>
      <c r="L81" s="334">
        <v>0</v>
      </c>
    </row>
    <row r="82" spans="1:12" x14ac:dyDescent="0.25">
      <c r="A82" s="321"/>
      <c r="C82" s="321">
        <v>8370</v>
      </c>
      <c r="D82" s="8" t="s">
        <v>1356</v>
      </c>
      <c r="E82" s="329">
        <v>0</v>
      </c>
      <c r="F82" s="327">
        <v>3.6970384615384617</v>
      </c>
      <c r="H82" s="317">
        <v>7120</v>
      </c>
      <c r="I82" s="318" t="s">
        <v>1419</v>
      </c>
      <c r="J82" s="7">
        <v>329.54423534157007</v>
      </c>
      <c r="K82" s="330">
        <v>1100</v>
      </c>
      <c r="L82" s="334">
        <v>5.837897507748482E-3</v>
      </c>
    </row>
    <row r="83" spans="1:12" x14ac:dyDescent="0.25">
      <c r="A83" s="321"/>
      <c r="C83" s="321">
        <v>8430</v>
      </c>
      <c r="D83" s="8" t="s">
        <v>140</v>
      </c>
      <c r="E83" s="329">
        <v>0</v>
      </c>
      <c r="F83" s="327">
        <v>6.0341682692307694</v>
      </c>
      <c r="H83" s="317">
        <v>7130</v>
      </c>
      <c r="I83" s="318" t="s">
        <v>1420</v>
      </c>
      <c r="J83" s="7">
        <v>292.39561244852035</v>
      </c>
      <c r="K83" s="330">
        <v>976</v>
      </c>
      <c r="L83" s="334">
        <v>5.179807243238653E-3</v>
      </c>
    </row>
    <row r="84" spans="1:12" x14ac:dyDescent="0.25">
      <c r="A84" s="321"/>
      <c r="C84" s="321">
        <v>8460</v>
      </c>
      <c r="D84" s="8" t="s">
        <v>141</v>
      </c>
      <c r="E84" s="329">
        <v>0</v>
      </c>
      <c r="F84" s="327">
        <v>27.139004807692306</v>
      </c>
      <c r="H84" s="317">
        <v>7140</v>
      </c>
      <c r="I84" s="318" t="s">
        <v>1250</v>
      </c>
      <c r="J84" s="7">
        <v>4491.6879277055996</v>
      </c>
      <c r="K84" s="330">
        <v>14993</v>
      </c>
      <c r="L84" s="334">
        <v>7.9570543030611812E-2</v>
      </c>
    </row>
    <row r="85" spans="1:12" x14ac:dyDescent="0.25">
      <c r="A85" s="321"/>
      <c r="C85" s="321">
        <v>8490</v>
      </c>
      <c r="D85" s="8" t="s">
        <v>144</v>
      </c>
      <c r="E85" s="329">
        <v>0</v>
      </c>
      <c r="F85" s="327">
        <v>0.19783653846153845</v>
      </c>
      <c r="H85" s="317">
        <v>7150</v>
      </c>
      <c r="I85" s="318" t="s">
        <v>701</v>
      </c>
      <c r="J85" s="7">
        <v>0</v>
      </c>
      <c r="K85" s="330"/>
      <c r="L85" s="334">
        <v>0</v>
      </c>
    </row>
    <row r="86" spans="1:12" x14ac:dyDescent="0.25">
      <c r="A86" s="321"/>
      <c r="C86" s="321">
        <v>8610</v>
      </c>
      <c r="D86" s="8" t="s">
        <v>193</v>
      </c>
      <c r="E86" s="329">
        <v>10.832836538461539</v>
      </c>
      <c r="F86" s="327">
        <v>15.784927884615387</v>
      </c>
      <c r="H86" s="317">
        <v>7160</v>
      </c>
      <c r="I86" s="318" t="s">
        <v>1421</v>
      </c>
      <c r="J86" s="7">
        <v>0</v>
      </c>
      <c r="K86" s="330"/>
      <c r="L86" s="334">
        <v>0</v>
      </c>
    </row>
    <row r="87" spans="1:12" x14ac:dyDescent="0.25">
      <c r="A87" s="321"/>
      <c r="C87" s="321">
        <v>8720</v>
      </c>
      <c r="D87" s="8" t="s">
        <v>1362</v>
      </c>
      <c r="E87" s="329">
        <v>12.27398076923077</v>
      </c>
      <c r="F87" s="327">
        <v>13.047374999999999</v>
      </c>
      <c r="H87" s="317">
        <v>7170</v>
      </c>
      <c r="I87" s="318" t="s">
        <v>115</v>
      </c>
      <c r="J87" s="7">
        <v>849.32537017577374</v>
      </c>
      <c r="K87" s="331">
        <f>2185+651-1</f>
        <v>2835</v>
      </c>
      <c r="L87" s="334">
        <v>1.5045854031333588E-2</v>
      </c>
    </row>
    <row r="88" spans="1:12" x14ac:dyDescent="0.25">
      <c r="H88" s="317">
        <v>7180</v>
      </c>
      <c r="I88" s="318" t="s">
        <v>1422</v>
      </c>
      <c r="J88" s="7">
        <v>196.82778419946501</v>
      </c>
      <c r="K88" s="330">
        <v>657</v>
      </c>
      <c r="L88" s="334">
        <v>3.4868169659915934E-3</v>
      </c>
    </row>
    <row r="89" spans="1:12" ht="15.6" x14ac:dyDescent="0.3">
      <c r="A89" s="322"/>
      <c r="C89" s="322" t="s">
        <v>1339</v>
      </c>
      <c r="D89" s="323"/>
      <c r="E89" s="324">
        <f>SUM(E61:E88)</f>
        <v>229.51981730769228</v>
      </c>
      <c r="F89" s="324">
        <f>SUM(F61:F88)</f>
        <v>756.29877884615416</v>
      </c>
      <c r="H89" s="317">
        <v>7190</v>
      </c>
      <c r="I89" s="318" t="s">
        <v>117</v>
      </c>
      <c r="J89" s="7">
        <v>0</v>
      </c>
      <c r="K89" s="330"/>
      <c r="L89" s="334">
        <v>0</v>
      </c>
    </row>
    <row r="90" spans="1:12" x14ac:dyDescent="0.25">
      <c r="H90" s="317">
        <v>7200</v>
      </c>
      <c r="I90" s="318" t="s">
        <v>1423</v>
      </c>
      <c r="J90" s="7">
        <v>1738.196048592536</v>
      </c>
      <c r="K90" s="330">
        <v>5802</v>
      </c>
      <c r="L90" s="334">
        <v>3.0792255763596996E-2</v>
      </c>
    </row>
    <row r="91" spans="1:12" x14ac:dyDescent="0.25">
      <c r="E91" s="325" t="s">
        <v>1463</v>
      </c>
      <c r="H91" s="317">
        <v>7220</v>
      </c>
      <c r="I91" s="318" t="s">
        <v>1424</v>
      </c>
      <c r="J91" s="7">
        <v>0</v>
      </c>
      <c r="K91" s="330"/>
      <c r="L91" s="334">
        <v>0</v>
      </c>
    </row>
    <row r="92" spans="1:12" x14ac:dyDescent="0.25">
      <c r="E92" s="325" t="s">
        <v>1464</v>
      </c>
      <c r="H92" s="317">
        <v>7230</v>
      </c>
      <c r="I92" s="318" t="s">
        <v>1425</v>
      </c>
      <c r="J92" s="7">
        <v>4645.0757899736764</v>
      </c>
      <c r="K92" s="330">
        <v>15505</v>
      </c>
      <c r="L92" s="334">
        <v>8.2287818961491108E-2</v>
      </c>
    </row>
    <row r="93" spans="1:12" x14ac:dyDescent="0.25">
      <c r="E93" s="325" t="s">
        <v>1465</v>
      </c>
      <c r="H93" s="317">
        <v>7240</v>
      </c>
      <c r="I93" s="318" t="s">
        <v>119</v>
      </c>
      <c r="J93" s="7">
        <v>0</v>
      </c>
      <c r="K93" s="330"/>
      <c r="L93" s="334">
        <v>0</v>
      </c>
    </row>
    <row r="94" spans="1:12" x14ac:dyDescent="0.25">
      <c r="H94" s="317">
        <v>7250</v>
      </c>
      <c r="I94" s="318" t="s">
        <v>1426</v>
      </c>
      <c r="J94" s="7">
        <v>0</v>
      </c>
      <c r="K94" s="330"/>
      <c r="L94" s="334">
        <v>0</v>
      </c>
    </row>
    <row r="95" spans="1:12" x14ac:dyDescent="0.25">
      <c r="H95" s="317">
        <v>7260</v>
      </c>
      <c r="I95" s="318" t="s">
        <v>121</v>
      </c>
      <c r="J95" s="7">
        <v>0</v>
      </c>
      <c r="K95" s="330"/>
      <c r="L95" s="334">
        <v>0</v>
      </c>
    </row>
    <row r="96" spans="1:12" x14ac:dyDescent="0.25">
      <c r="H96" s="317">
        <v>7310</v>
      </c>
      <c r="I96" s="318" t="s">
        <v>1427</v>
      </c>
      <c r="J96" s="7">
        <v>0</v>
      </c>
      <c r="K96" s="330"/>
      <c r="L96" s="334">
        <v>0</v>
      </c>
    </row>
    <row r="97" spans="8:12" x14ac:dyDescent="0.25">
      <c r="H97" s="317">
        <v>7320</v>
      </c>
      <c r="I97" s="318" t="s">
        <v>1428</v>
      </c>
      <c r="J97" s="7">
        <v>0</v>
      </c>
      <c r="K97" s="330"/>
      <c r="L97" s="334">
        <v>0</v>
      </c>
    </row>
    <row r="98" spans="8:12" x14ac:dyDescent="0.25">
      <c r="H98" s="317">
        <v>7330</v>
      </c>
      <c r="I98" s="318" t="s">
        <v>1429</v>
      </c>
      <c r="J98" s="7">
        <v>0</v>
      </c>
      <c r="K98" s="330"/>
      <c r="L98" s="334">
        <v>0</v>
      </c>
    </row>
    <row r="99" spans="8:12" x14ac:dyDescent="0.25">
      <c r="H99" s="317">
        <v>7340</v>
      </c>
      <c r="I99" s="318" t="s">
        <v>1430</v>
      </c>
      <c r="J99" s="7">
        <v>0</v>
      </c>
      <c r="K99" s="330"/>
      <c r="L99" s="334">
        <v>0</v>
      </c>
    </row>
    <row r="100" spans="8:12" x14ac:dyDescent="0.25">
      <c r="H100" s="317">
        <v>7350</v>
      </c>
      <c r="I100" s="318" t="s">
        <v>1431</v>
      </c>
      <c r="J100" s="7">
        <v>0</v>
      </c>
      <c r="K100" s="330"/>
      <c r="L100" s="334">
        <v>0</v>
      </c>
    </row>
    <row r="101" spans="8:12" x14ac:dyDescent="0.25">
      <c r="H101" s="317">
        <v>7380</v>
      </c>
      <c r="I101" s="318" t="s">
        <v>1432</v>
      </c>
      <c r="J101" s="7">
        <v>0</v>
      </c>
      <c r="K101" s="330"/>
      <c r="L101" s="334">
        <v>0</v>
      </c>
    </row>
    <row r="102" spans="8:12" x14ac:dyDescent="0.25">
      <c r="H102" s="317">
        <v>7390</v>
      </c>
      <c r="I102" s="318" t="s">
        <v>1433</v>
      </c>
      <c r="J102" s="7">
        <v>0</v>
      </c>
      <c r="K102" s="330"/>
      <c r="L102" s="334">
        <v>0</v>
      </c>
    </row>
    <row r="103" spans="8:12" x14ac:dyDescent="0.25">
      <c r="H103" s="317">
        <v>7400</v>
      </c>
      <c r="I103" s="318" t="s">
        <v>1434</v>
      </c>
      <c r="J103" s="7">
        <v>0</v>
      </c>
      <c r="K103" s="330"/>
      <c r="L103" s="334">
        <v>0</v>
      </c>
    </row>
    <row r="104" spans="8:12" x14ac:dyDescent="0.25">
      <c r="H104" s="317">
        <v>7410</v>
      </c>
      <c r="I104" s="318" t="s">
        <v>129</v>
      </c>
      <c r="J104" s="7">
        <v>0</v>
      </c>
      <c r="K104" s="330"/>
      <c r="L104" s="334">
        <v>0</v>
      </c>
    </row>
    <row r="105" spans="8:12" x14ac:dyDescent="0.25">
      <c r="H105" s="317">
        <v>7420</v>
      </c>
      <c r="I105" s="318" t="s">
        <v>1435</v>
      </c>
      <c r="J105" s="7">
        <v>0</v>
      </c>
      <c r="K105" s="330"/>
      <c r="L105" s="334">
        <v>0</v>
      </c>
    </row>
    <row r="106" spans="8:12" x14ac:dyDescent="0.25">
      <c r="H106" s="317">
        <v>7430</v>
      </c>
      <c r="I106" s="318" t="s">
        <v>1436</v>
      </c>
      <c r="J106" s="7">
        <v>0</v>
      </c>
      <c r="K106" s="330"/>
      <c r="L106" s="334">
        <v>0</v>
      </c>
    </row>
    <row r="107" spans="8:12" x14ac:dyDescent="0.25">
      <c r="H107" s="317">
        <v>7490</v>
      </c>
      <c r="I107" s="318" t="s">
        <v>1437</v>
      </c>
      <c r="J107" s="7">
        <v>0</v>
      </c>
      <c r="K107" s="330"/>
      <c r="L107" s="334">
        <v>0</v>
      </c>
    </row>
    <row r="108" spans="8:12" x14ac:dyDescent="0.25">
      <c r="H108" s="317">
        <v>8200</v>
      </c>
      <c r="I108" s="318" t="s">
        <v>1438</v>
      </c>
      <c r="J108" s="7">
        <v>0</v>
      </c>
      <c r="K108" s="330"/>
      <c r="L108" s="334">
        <v>0</v>
      </c>
    </row>
    <row r="109" spans="8:12" x14ac:dyDescent="0.25">
      <c r="H109" s="317">
        <v>8310</v>
      </c>
      <c r="I109" s="318" t="s">
        <v>1439</v>
      </c>
      <c r="J109" s="333" t="s">
        <v>221</v>
      </c>
      <c r="K109" s="330"/>
      <c r="L109" s="334"/>
    </row>
    <row r="110" spans="8:12" x14ac:dyDescent="0.25">
      <c r="H110" s="317">
        <v>8320</v>
      </c>
      <c r="I110" s="318" t="s">
        <v>135</v>
      </c>
      <c r="J110" s="333" t="s">
        <v>221</v>
      </c>
      <c r="K110" s="330">
        <f>1246+1</f>
        <v>1247</v>
      </c>
      <c r="L110" s="334"/>
    </row>
    <row r="111" spans="8:12" x14ac:dyDescent="0.25">
      <c r="H111" s="317">
        <v>8330</v>
      </c>
      <c r="I111" s="318" t="s">
        <v>136</v>
      </c>
      <c r="J111" s="333" t="s">
        <v>221</v>
      </c>
      <c r="K111" s="330">
        <f>6077-1</f>
        <v>6076</v>
      </c>
      <c r="L111" s="334"/>
    </row>
    <row r="112" spans="8:12" x14ac:dyDescent="0.25">
      <c r="H112" s="317">
        <v>8350</v>
      </c>
      <c r="I112" s="318" t="s">
        <v>1440</v>
      </c>
      <c r="J112" s="7">
        <v>267.53000196365645</v>
      </c>
      <c r="K112" s="330">
        <v>893</v>
      </c>
      <c r="L112" s="334">
        <v>4.7393113403812678E-3</v>
      </c>
    </row>
    <row r="113" spans="8:12" x14ac:dyDescent="0.25">
      <c r="H113" s="317">
        <v>8360</v>
      </c>
      <c r="I113" s="318" t="s">
        <v>1441</v>
      </c>
      <c r="J113" s="7">
        <v>0</v>
      </c>
      <c r="K113" s="332"/>
      <c r="L113" s="334">
        <v>0</v>
      </c>
    </row>
    <row r="114" spans="8:12" x14ac:dyDescent="0.25">
      <c r="H114" s="317">
        <v>8370</v>
      </c>
      <c r="I114" s="318" t="s">
        <v>1442</v>
      </c>
      <c r="J114" s="7">
        <v>0</v>
      </c>
      <c r="K114" s="332"/>
      <c r="L114" s="334">
        <v>0</v>
      </c>
    </row>
    <row r="115" spans="8:12" x14ac:dyDescent="0.25">
      <c r="H115" s="317">
        <v>8420</v>
      </c>
      <c r="I115" s="318" t="s">
        <v>139</v>
      </c>
      <c r="J115" s="333" t="s">
        <v>221</v>
      </c>
      <c r="K115" s="332"/>
      <c r="L115" s="334"/>
    </row>
    <row r="116" spans="8:12" x14ac:dyDescent="0.25">
      <c r="H116" s="317">
        <v>8430</v>
      </c>
      <c r="I116" s="318" t="s">
        <v>140</v>
      </c>
      <c r="J116" s="333" t="s">
        <v>221</v>
      </c>
      <c r="K116" s="330">
        <v>19027.5</v>
      </c>
      <c r="L116" s="334"/>
    </row>
    <row r="117" spans="8:12" x14ac:dyDescent="0.25">
      <c r="H117" s="317">
        <v>8460</v>
      </c>
      <c r="I117" s="318" t="s">
        <v>141</v>
      </c>
      <c r="J117" s="333" t="s">
        <v>221</v>
      </c>
      <c r="K117" s="330">
        <v>730</v>
      </c>
      <c r="L117" s="334"/>
    </row>
    <row r="118" spans="8:12" x14ac:dyDescent="0.25">
      <c r="H118" s="317">
        <v>8470</v>
      </c>
      <c r="I118" s="318" t="s">
        <v>142</v>
      </c>
      <c r="J118" s="333" t="s">
        <v>221</v>
      </c>
      <c r="K118" s="332"/>
      <c r="L118" s="334"/>
    </row>
    <row r="119" spans="8:12" x14ac:dyDescent="0.25">
      <c r="H119" s="317">
        <v>8480</v>
      </c>
      <c r="I119" s="318" t="s">
        <v>1443</v>
      </c>
      <c r="J119" s="7">
        <v>0</v>
      </c>
      <c r="K119" s="332"/>
      <c r="L119" s="334">
        <v>0</v>
      </c>
    </row>
    <row r="120" spans="8:12" x14ac:dyDescent="0.25">
      <c r="H120" s="317">
        <v>8490</v>
      </c>
      <c r="I120" s="318" t="s">
        <v>1444</v>
      </c>
      <c r="J120" s="7">
        <v>201.92074056383476</v>
      </c>
      <c r="K120" s="330">
        <v>674</v>
      </c>
      <c r="L120" s="334">
        <v>3.57703901838407E-3</v>
      </c>
    </row>
    <row r="121" spans="8:12" x14ac:dyDescent="0.25">
      <c r="H121" s="317">
        <v>8510</v>
      </c>
      <c r="I121" s="318" t="s">
        <v>145</v>
      </c>
      <c r="J121" s="333" t="s">
        <v>221</v>
      </c>
      <c r="K121" s="332"/>
      <c r="L121" s="334"/>
    </row>
    <row r="122" spans="8:12" x14ac:dyDescent="0.25">
      <c r="H122" s="317">
        <v>8530</v>
      </c>
      <c r="I122" s="318" t="s">
        <v>1445</v>
      </c>
      <c r="J122" s="7">
        <v>0</v>
      </c>
      <c r="K122" s="332"/>
      <c r="L122" s="334">
        <v>0</v>
      </c>
    </row>
    <row r="123" spans="8:12" x14ac:dyDescent="0.25">
      <c r="H123" s="317">
        <v>8560</v>
      </c>
      <c r="I123" s="318" t="s">
        <v>147</v>
      </c>
      <c r="J123" s="7">
        <v>0</v>
      </c>
      <c r="K123" s="332"/>
      <c r="L123" s="334">
        <v>0</v>
      </c>
    </row>
    <row r="124" spans="8:12" x14ac:dyDescent="0.25">
      <c r="H124" s="317">
        <v>8590</v>
      </c>
      <c r="I124" s="318" t="s">
        <v>1446</v>
      </c>
      <c r="J124" s="7">
        <v>0</v>
      </c>
      <c r="K124" s="332"/>
      <c r="L124" s="334">
        <v>0</v>
      </c>
    </row>
    <row r="125" spans="8:12" x14ac:dyDescent="0.25">
      <c r="H125" s="317">
        <v>8610</v>
      </c>
      <c r="I125" s="318" t="s">
        <v>1447</v>
      </c>
      <c r="J125" s="333" t="s">
        <v>221</v>
      </c>
      <c r="K125" s="330">
        <v>69478</v>
      </c>
      <c r="L125" s="334"/>
    </row>
    <row r="126" spans="8:12" x14ac:dyDescent="0.25">
      <c r="H126" s="317">
        <v>8620</v>
      </c>
      <c r="I126" s="318" t="s">
        <v>1448</v>
      </c>
      <c r="J126" s="333" t="s">
        <v>221</v>
      </c>
      <c r="K126" s="332"/>
      <c r="L126" s="334"/>
    </row>
    <row r="127" spans="8:12" x14ac:dyDescent="0.25">
      <c r="H127" s="317">
        <v>8630</v>
      </c>
      <c r="I127" s="318" t="s">
        <v>1449</v>
      </c>
      <c r="J127" s="333" t="s">
        <v>221</v>
      </c>
      <c r="K127" s="332"/>
      <c r="L127" s="334"/>
    </row>
    <row r="128" spans="8:12" x14ac:dyDescent="0.25">
      <c r="H128" s="317">
        <v>8640</v>
      </c>
      <c r="I128" s="318" t="s">
        <v>1450</v>
      </c>
      <c r="J128" s="333" t="s">
        <v>221</v>
      </c>
      <c r="K128" s="332"/>
      <c r="L128" s="334"/>
    </row>
    <row r="129" spans="8:12" x14ac:dyDescent="0.25">
      <c r="H129" s="317">
        <v>8650</v>
      </c>
      <c r="I129" s="318" t="s">
        <v>152</v>
      </c>
      <c r="J129" s="333" t="s">
        <v>221</v>
      </c>
      <c r="K129" s="330">
        <v>873</v>
      </c>
      <c r="L129" s="334"/>
    </row>
    <row r="130" spans="8:12" x14ac:dyDescent="0.25">
      <c r="H130" s="317">
        <v>8660</v>
      </c>
      <c r="I130" s="318" t="s">
        <v>1451</v>
      </c>
      <c r="J130" s="7">
        <v>0</v>
      </c>
      <c r="K130" s="332"/>
      <c r="L130" s="334">
        <v>0</v>
      </c>
    </row>
    <row r="131" spans="8:12" x14ac:dyDescent="0.25">
      <c r="H131" s="317">
        <v>8670</v>
      </c>
      <c r="I131" s="318" t="s">
        <v>1452</v>
      </c>
      <c r="J131" s="7">
        <v>0</v>
      </c>
      <c r="K131" s="332"/>
      <c r="L131" s="334">
        <v>0</v>
      </c>
    </row>
    <row r="132" spans="8:12" x14ac:dyDescent="0.25">
      <c r="H132" s="317">
        <v>8680</v>
      </c>
      <c r="I132" s="318" t="s">
        <v>1453</v>
      </c>
      <c r="J132" s="7">
        <v>0</v>
      </c>
      <c r="K132" s="332"/>
      <c r="L132" s="334">
        <v>0</v>
      </c>
    </row>
    <row r="133" spans="8:12" x14ac:dyDescent="0.25">
      <c r="H133" s="317">
        <v>8690</v>
      </c>
      <c r="I133" s="318" t="s">
        <v>1454</v>
      </c>
      <c r="J133" s="7">
        <v>278.61467169787289</v>
      </c>
      <c r="K133" s="330">
        <v>930</v>
      </c>
      <c r="L133" s="334">
        <v>4.9356769838237169E-3</v>
      </c>
    </row>
    <row r="134" spans="8:12" x14ac:dyDescent="0.25">
      <c r="H134" s="317">
        <v>8700</v>
      </c>
      <c r="I134" s="318" t="s">
        <v>1455</v>
      </c>
      <c r="J134" s="7">
        <v>0</v>
      </c>
      <c r="K134" s="332"/>
      <c r="L134" s="334">
        <v>0</v>
      </c>
    </row>
    <row r="135" spans="8:12" x14ac:dyDescent="0.25">
      <c r="H135" s="317">
        <v>8710</v>
      </c>
      <c r="I135" s="318" t="s">
        <v>1456</v>
      </c>
      <c r="J135" s="7">
        <v>0</v>
      </c>
      <c r="K135" s="332"/>
      <c r="L135" s="334">
        <v>0</v>
      </c>
    </row>
    <row r="136" spans="8:12" x14ac:dyDescent="0.25">
      <c r="H136" s="317">
        <v>8720</v>
      </c>
      <c r="I136" s="318" t="s">
        <v>1457</v>
      </c>
      <c r="J136" s="7">
        <v>41.941993588927097</v>
      </c>
      <c r="K136" s="330">
        <v>140</v>
      </c>
      <c r="L136" s="334">
        <v>7.430051373498068E-4</v>
      </c>
    </row>
    <row r="137" spans="8:12" x14ac:dyDescent="0.25">
      <c r="H137" s="317">
        <v>8730</v>
      </c>
      <c r="I137" s="318" t="s">
        <v>1458</v>
      </c>
      <c r="J137" s="7">
        <v>0</v>
      </c>
      <c r="K137" s="332"/>
      <c r="L137" s="334">
        <v>0</v>
      </c>
    </row>
    <row r="138" spans="8:12" x14ac:dyDescent="0.25">
      <c r="H138" s="317">
        <v>8740</v>
      </c>
      <c r="I138" s="318" t="s">
        <v>1459</v>
      </c>
      <c r="J138" s="7">
        <v>0</v>
      </c>
      <c r="K138" s="332"/>
      <c r="L138" s="334">
        <v>0</v>
      </c>
    </row>
    <row r="139" spans="8:12" x14ac:dyDescent="0.25">
      <c r="H139" s="317">
        <v>8770</v>
      </c>
      <c r="I139" s="318" t="s">
        <v>1460</v>
      </c>
      <c r="J139" s="7">
        <v>0</v>
      </c>
      <c r="K139" s="332"/>
      <c r="L139" s="334">
        <v>0</v>
      </c>
    </row>
    <row r="140" spans="8:12" x14ac:dyDescent="0.25">
      <c r="H140" s="317">
        <v>8790</v>
      </c>
      <c r="I140" s="318" t="s">
        <v>1461</v>
      </c>
      <c r="J140" s="333" t="s">
        <v>221</v>
      </c>
      <c r="K140" s="332"/>
      <c r="L140" s="334"/>
    </row>
    <row r="141" spans="8:12" x14ac:dyDescent="0.25">
      <c r="H141" s="317" t="s">
        <v>89</v>
      </c>
      <c r="I141" s="318" t="s">
        <v>1462</v>
      </c>
      <c r="J141" s="333" t="s">
        <v>221</v>
      </c>
      <c r="K141" s="332"/>
    </row>
    <row r="143" spans="8:12" x14ac:dyDescent="0.25">
      <c r="I143" s="335" t="s">
        <v>1469</v>
      </c>
      <c r="J143" s="336">
        <f>SUM(J62:J142)</f>
        <v>56449.13</v>
      </c>
      <c r="K143" s="337">
        <f>SUM(K62:K142)</f>
        <v>285855.5</v>
      </c>
      <c r="L143" s="338">
        <f>SUM(L62:L141)</f>
        <v>1</v>
      </c>
    </row>
    <row r="144" spans="8:12" x14ac:dyDescent="0.25">
      <c r="K144" s="339" t="s">
        <v>1470</v>
      </c>
    </row>
    <row r="146" spans="8:15" x14ac:dyDescent="0.25">
      <c r="H146" s="11" t="s">
        <v>1471</v>
      </c>
    </row>
    <row r="147" spans="8:15" x14ac:dyDescent="0.25">
      <c r="H147" s="340" t="s">
        <v>1472</v>
      </c>
      <c r="I147" s="340"/>
      <c r="J147" s="340"/>
      <c r="K147" s="340"/>
      <c r="L147" s="340"/>
      <c r="M147" s="340"/>
      <c r="N147" s="340"/>
      <c r="O147" s="340"/>
    </row>
    <row r="149" spans="8:15" ht="15.6" thickBot="1" x14ac:dyDescent="0.3">
      <c r="H149" s="311">
        <v>1</v>
      </c>
      <c r="I149" s="311">
        <v>2</v>
      </c>
      <c r="J149" s="312">
        <v>3</v>
      </c>
      <c r="K149" s="311">
        <v>4</v>
      </c>
      <c r="L149" s="311">
        <v>5</v>
      </c>
    </row>
    <row r="150" spans="8:15" x14ac:dyDescent="0.25">
      <c r="H150" s="313"/>
      <c r="I150" s="313"/>
      <c r="J150" s="313"/>
      <c r="K150" s="314"/>
      <c r="L150" s="314" t="s">
        <v>1399</v>
      </c>
    </row>
    <row r="151" spans="8:15" x14ac:dyDescent="0.25">
      <c r="H151" s="315" t="s">
        <v>1365</v>
      </c>
      <c r="I151" s="316" t="s">
        <v>212</v>
      </c>
      <c r="J151" s="315" t="s">
        <v>1188</v>
      </c>
      <c r="K151" s="316" t="s">
        <v>1400</v>
      </c>
      <c r="L151" s="316" t="s">
        <v>1401</v>
      </c>
    </row>
    <row r="152" spans="8:15" x14ac:dyDescent="0.25">
      <c r="H152" s="317">
        <v>6010</v>
      </c>
      <c r="I152" s="318" t="s">
        <v>1402</v>
      </c>
      <c r="J152" s="7">
        <v>4168.4349914023696</v>
      </c>
      <c r="K152" s="330">
        <v>13914</v>
      </c>
      <c r="L152" s="334">
        <v>7.3844096293465805E-2</v>
      </c>
    </row>
    <row r="153" spans="8:15" x14ac:dyDescent="0.25">
      <c r="H153" s="317">
        <v>6030</v>
      </c>
      <c r="I153" s="318" t="s">
        <v>1403</v>
      </c>
      <c r="J153" s="7">
        <v>0</v>
      </c>
      <c r="K153" s="330"/>
      <c r="L153" s="334">
        <v>0</v>
      </c>
    </row>
    <row r="154" spans="8:15" x14ac:dyDescent="0.25">
      <c r="H154" s="317">
        <v>6070</v>
      </c>
      <c r="I154" s="318" t="s">
        <v>1404</v>
      </c>
      <c r="J154" s="7">
        <v>24992.335222636179</v>
      </c>
      <c r="K154" s="330">
        <f>80315+3108</f>
        <v>83423</v>
      </c>
      <c r="L154" s="334">
        <v>0.44274083980809237</v>
      </c>
    </row>
    <row r="155" spans="8:15" x14ac:dyDescent="0.25">
      <c r="H155" s="317">
        <v>6100</v>
      </c>
      <c r="I155" s="318" t="s">
        <v>1405</v>
      </c>
      <c r="J155" s="7">
        <v>0</v>
      </c>
      <c r="K155" s="330"/>
      <c r="L155" s="334">
        <v>0</v>
      </c>
    </row>
    <row r="156" spans="8:15" x14ac:dyDescent="0.25">
      <c r="H156" s="317">
        <v>6120</v>
      </c>
      <c r="I156" s="318" t="s">
        <v>1406</v>
      </c>
      <c r="J156" s="7">
        <v>0</v>
      </c>
      <c r="K156" s="330"/>
      <c r="L156" s="334">
        <v>0</v>
      </c>
    </row>
    <row r="157" spans="8:15" x14ac:dyDescent="0.25">
      <c r="H157" s="317">
        <v>6140</v>
      </c>
      <c r="I157" s="318" t="s">
        <v>1407</v>
      </c>
      <c r="J157" s="7">
        <v>0</v>
      </c>
      <c r="K157" s="330"/>
      <c r="L157" s="334">
        <v>0</v>
      </c>
    </row>
    <row r="158" spans="8:15" x14ac:dyDescent="0.25">
      <c r="H158" s="317">
        <v>6150</v>
      </c>
      <c r="I158" s="318" t="s">
        <v>1408</v>
      </c>
      <c r="J158" s="7">
        <v>0</v>
      </c>
      <c r="K158" s="330"/>
      <c r="L158" s="334">
        <v>0</v>
      </c>
    </row>
    <row r="159" spans="8:15" x14ac:dyDescent="0.25">
      <c r="H159" s="317">
        <v>6170</v>
      </c>
      <c r="I159" s="318" t="s">
        <v>99</v>
      </c>
      <c r="J159" s="7">
        <v>0</v>
      </c>
      <c r="K159" s="330"/>
      <c r="L159" s="334">
        <v>0</v>
      </c>
    </row>
    <row r="160" spans="8:15" x14ac:dyDescent="0.25">
      <c r="H160" s="317">
        <v>6200</v>
      </c>
      <c r="I160" s="318" t="s">
        <v>1409</v>
      </c>
      <c r="J160" s="7">
        <v>0</v>
      </c>
      <c r="K160" s="330"/>
      <c r="L160" s="334">
        <v>0</v>
      </c>
    </row>
    <row r="161" spans="8:12" x14ac:dyDescent="0.25">
      <c r="H161" s="317">
        <v>6210</v>
      </c>
      <c r="I161" s="318" t="s">
        <v>1410</v>
      </c>
      <c r="J161" s="7">
        <v>0</v>
      </c>
      <c r="K161" s="330"/>
      <c r="L161" s="334">
        <v>0</v>
      </c>
    </row>
    <row r="162" spans="8:12" x14ac:dyDescent="0.25">
      <c r="H162" s="317">
        <v>6330</v>
      </c>
      <c r="I162" s="318" t="s">
        <v>1411</v>
      </c>
      <c r="J162" s="7">
        <v>0</v>
      </c>
      <c r="K162" s="330"/>
      <c r="L162" s="334">
        <v>0</v>
      </c>
    </row>
    <row r="163" spans="8:12" x14ac:dyDescent="0.25">
      <c r="H163" s="317">
        <v>6400</v>
      </c>
      <c r="I163" s="318" t="s">
        <v>1412</v>
      </c>
      <c r="J163" s="7">
        <v>0</v>
      </c>
      <c r="K163" s="330"/>
      <c r="L163" s="334">
        <v>0</v>
      </c>
    </row>
    <row r="164" spans="8:12" x14ac:dyDescent="0.25">
      <c r="H164" s="317">
        <v>7010</v>
      </c>
      <c r="I164" s="318" t="s">
        <v>1413</v>
      </c>
      <c r="J164" s="7">
        <v>0</v>
      </c>
      <c r="K164" s="330"/>
      <c r="L164" s="334">
        <v>0</v>
      </c>
    </row>
    <row r="165" spans="8:12" x14ac:dyDescent="0.25">
      <c r="H165" s="317">
        <v>7020</v>
      </c>
      <c r="I165" s="318" t="s">
        <v>1414</v>
      </c>
      <c r="J165" s="7">
        <v>8413.5639139387768</v>
      </c>
      <c r="K165" s="330">
        <v>28084</v>
      </c>
      <c r="L165" s="334">
        <v>0.14904683055237125</v>
      </c>
    </row>
    <row r="166" spans="8:12" x14ac:dyDescent="0.25">
      <c r="H166" s="317">
        <v>7030</v>
      </c>
      <c r="I166" s="318" t="s">
        <v>1415</v>
      </c>
      <c r="J166" s="7">
        <v>1084.7997056107502</v>
      </c>
      <c r="K166" s="330">
        <v>3621</v>
      </c>
      <c r="L166" s="334">
        <v>1.9217297159597503E-2</v>
      </c>
    </row>
    <row r="167" spans="8:12" x14ac:dyDescent="0.25">
      <c r="H167" s="317">
        <v>7040</v>
      </c>
      <c r="I167" s="318" t="s">
        <v>107</v>
      </c>
      <c r="J167" s="7">
        <v>0</v>
      </c>
      <c r="K167" s="330"/>
      <c r="L167" s="334">
        <v>0</v>
      </c>
    </row>
    <row r="168" spans="8:12" x14ac:dyDescent="0.25">
      <c r="H168" s="317">
        <v>7050</v>
      </c>
      <c r="I168" s="318" t="s">
        <v>1416</v>
      </c>
      <c r="J168" s="7">
        <v>2271.4585385088949</v>
      </c>
      <c r="K168" s="330">
        <f>6932+650</f>
        <v>7582</v>
      </c>
      <c r="L168" s="334">
        <v>4.023903536704454E-2</v>
      </c>
    </row>
    <row r="169" spans="8:12" x14ac:dyDescent="0.25">
      <c r="H169" s="317">
        <v>7060</v>
      </c>
      <c r="I169" s="318" t="s">
        <v>1417</v>
      </c>
      <c r="J169" s="7">
        <v>0</v>
      </c>
      <c r="K169" s="330"/>
      <c r="L169" s="334">
        <v>0</v>
      </c>
    </row>
    <row r="170" spans="8:12" x14ac:dyDescent="0.25">
      <c r="H170" s="317">
        <v>7070</v>
      </c>
      <c r="I170" s="318" t="s">
        <v>109</v>
      </c>
      <c r="J170" s="7">
        <v>2185.477451651594</v>
      </c>
      <c r="K170" s="330">
        <f>2686+4609</f>
        <v>7295</v>
      </c>
      <c r="L170" s="334">
        <v>3.8715874835477435E-2</v>
      </c>
    </row>
    <row r="171" spans="8:12" x14ac:dyDescent="0.25">
      <c r="H171" s="317">
        <v>7110</v>
      </c>
      <c r="I171" s="318" t="s">
        <v>1418</v>
      </c>
      <c r="J171" s="7">
        <v>0</v>
      </c>
      <c r="K171" s="330"/>
      <c r="L171" s="334">
        <v>0</v>
      </c>
    </row>
    <row r="172" spans="8:12" x14ac:dyDescent="0.25">
      <c r="H172" s="317">
        <v>7120</v>
      </c>
      <c r="I172" s="318" t="s">
        <v>1419</v>
      </c>
      <c r="J172" s="7">
        <v>329.54423534157007</v>
      </c>
      <c r="K172" s="330">
        <v>1100</v>
      </c>
      <c r="L172" s="334">
        <v>5.837897507748482E-3</v>
      </c>
    </row>
    <row r="173" spans="8:12" x14ac:dyDescent="0.25">
      <c r="H173" s="317">
        <v>7130</v>
      </c>
      <c r="I173" s="318" t="s">
        <v>1420</v>
      </c>
      <c r="J173" s="7">
        <v>292.39561244852035</v>
      </c>
      <c r="K173" s="330">
        <v>976</v>
      </c>
      <c r="L173" s="334">
        <v>5.179807243238653E-3</v>
      </c>
    </row>
    <row r="174" spans="8:12" x14ac:dyDescent="0.25">
      <c r="H174" s="317">
        <v>7140</v>
      </c>
      <c r="I174" s="318" t="s">
        <v>1250</v>
      </c>
      <c r="J174" s="7">
        <v>4491.6879277055996</v>
      </c>
      <c r="K174" s="330">
        <v>14993</v>
      </c>
      <c r="L174" s="334">
        <v>7.9570543030611812E-2</v>
      </c>
    </row>
    <row r="175" spans="8:12" x14ac:dyDescent="0.25">
      <c r="H175" s="317">
        <v>7150</v>
      </c>
      <c r="I175" s="318" t="s">
        <v>701</v>
      </c>
      <c r="J175" s="7">
        <v>0</v>
      </c>
      <c r="K175" s="330"/>
      <c r="L175" s="334">
        <v>0</v>
      </c>
    </row>
    <row r="176" spans="8:12" x14ac:dyDescent="0.25">
      <c r="H176" s="317">
        <v>7160</v>
      </c>
      <c r="I176" s="318" t="s">
        <v>1421</v>
      </c>
      <c r="J176" s="7">
        <v>0</v>
      </c>
      <c r="K176" s="330"/>
      <c r="L176" s="334">
        <v>0</v>
      </c>
    </row>
    <row r="177" spans="8:12" x14ac:dyDescent="0.25">
      <c r="H177" s="317">
        <v>7170</v>
      </c>
      <c r="I177" s="318" t="s">
        <v>115</v>
      </c>
      <c r="J177" s="7">
        <v>849.32537017577374</v>
      </c>
      <c r="K177" s="331">
        <f>2185+651-1</f>
        <v>2835</v>
      </c>
      <c r="L177" s="334">
        <v>1.5045854031333588E-2</v>
      </c>
    </row>
    <row r="178" spans="8:12" x14ac:dyDescent="0.25">
      <c r="H178" s="317">
        <v>7180</v>
      </c>
      <c r="I178" s="318" t="s">
        <v>1422</v>
      </c>
      <c r="J178" s="7">
        <v>196.82778419946501</v>
      </c>
      <c r="K178" s="330">
        <v>657</v>
      </c>
      <c r="L178" s="334">
        <v>3.4868169659915934E-3</v>
      </c>
    </row>
    <row r="179" spans="8:12" x14ac:dyDescent="0.25">
      <c r="H179" s="317">
        <v>7190</v>
      </c>
      <c r="I179" s="318" t="s">
        <v>117</v>
      </c>
      <c r="J179" s="7">
        <v>0</v>
      </c>
      <c r="K179" s="330"/>
      <c r="L179" s="334">
        <v>0</v>
      </c>
    </row>
    <row r="180" spans="8:12" x14ac:dyDescent="0.25">
      <c r="H180" s="317">
        <v>7200</v>
      </c>
      <c r="I180" s="318" t="s">
        <v>1423</v>
      </c>
      <c r="J180" s="7">
        <v>1738.196048592536</v>
      </c>
      <c r="K180" s="330">
        <v>5802</v>
      </c>
      <c r="L180" s="334">
        <v>3.0792255763596996E-2</v>
      </c>
    </row>
    <row r="181" spans="8:12" x14ac:dyDescent="0.25">
      <c r="H181" s="317">
        <v>7220</v>
      </c>
      <c r="I181" s="318" t="s">
        <v>1424</v>
      </c>
      <c r="J181" s="7">
        <v>0</v>
      </c>
      <c r="K181" s="330"/>
      <c r="L181" s="334">
        <v>0</v>
      </c>
    </row>
    <row r="182" spans="8:12" x14ac:dyDescent="0.25">
      <c r="H182" s="317">
        <v>7230</v>
      </c>
      <c r="I182" s="318" t="s">
        <v>1425</v>
      </c>
      <c r="J182" s="7">
        <v>4645.0757899736764</v>
      </c>
      <c r="K182" s="330">
        <v>15505</v>
      </c>
      <c r="L182" s="334">
        <v>8.2287818961491108E-2</v>
      </c>
    </row>
    <row r="183" spans="8:12" x14ac:dyDescent="0.25">
      <c r="H183" s="317">
        <v>7240</v>
      </c>
      <c r="I183" s="318" t="s">
        <v>119</v>
      </c>
      <c r="J183" s="7">
        <v>0</v>
      </c>
      <c r="K183" s="330"/>
      <c r="L183" s="334">
        <v>0</v>
      </c>
    </row>
    <row r="184" spans="8:12" x14ac:dyDescent="0.25">
      <c r="H184" s="317">
        <v>7250</v>
      </c>
      <c r="I184" s="318" t="s">
        <v>1426</v>
      </c>
      <c r="J184" s="7">
        <v>0</v>
      </c>
      <c r="K184" s="330"/>
      <c r="L184" s="334">
        <v>0</v>
      </c>
    </row>
    <row r="185" spans="8:12" x14ac:dyDescent="0.25">
      <c r="H185" s="317">
        <v>7260</v>
      </c>
      <c r="I185" s="318" t="s">
        <v>121</v>
      </c>
      <c r="J185" s="7">
        <v>0</v>
      </c>
      <c r="K185" s="330"/>
      <c r="L185" s="334">
        <v>0</v>
      </c>
    </row>
    <row r="186" spans="8:12" x14ac:dyDescent="0.25">
      <c r="H186" s="317">
        <v>7310</v>
      </c>
      <c r="I186" s="318" t="s">
        <v>1427</v>
      </c>
      <c r="J186" s="7">
        <v>0</v>
      </c>
      <c r="K186" s="330"/>
      <c r="L186" s="334">
        <v>0</v>
      </c>
    </row>
    <row r="187" spans="8:12" x14ac:dyDescent="0.25">
      <c r="H187" s="317">
        <v>7320</v>
      </c>
      <c r="I187" s="318" t="s">
        <v>1428</v>
      </c>
      <c r="J187" s="7">
        <v>0</v>
      </c>
      <c r="K187" s="330"/>
      <c r="L187" s="334">
        <v>0</v>
      </c>
    </row>
    <row r="188" spans="8:12" x14ac:dyDescent="0.25">
      <c r="H188" s="317">
        <v>7330</v>
      </c>
      <c r="I188" s="318" t="s">
        <v>1429</v>
      </c>
      <c r="J188" s="7">
        <v>0</v>
      </c>
      <c r="K188" s="330"/>
      <c r="L188" s="334">
        <v>0</v>
      </c>
    </row>
    <row r="189" spans="8:12" x14ac:dyDescent="0.25">
      <c r="H189" s="317">
        <v>7340</v>
      </c>
      <c r="I189" s="318" t="s">
        <v>1430</v>
      </c>
      <c r="J189" s="7">
        <v>0</v>
      </c>
      <c r="K189" s="330"/>
      <c r="L189" s="334">
        <v>0</v>
      </c>
    </row>
    <row r="190" spans="8:12" x14ac:dyDescent="0.25">
      <c r="H190" s="317">
        <v>7350</v>
      </c>
      <c r="I190" s="318" t="s">
        <v>1431</v>
      </c>
      <c r="J190" s="7">
        <v>0</v>
      </c>
      <c r="K190" s="330"/>
      <c r="L190" s="334">
        <v>0</v>
      </c>
    </row>
    <row r="191" spans="8:12" x14ac:dyDescent="0.25">
      <c r="H191" s="317">
        <v>7380</v>
      </c>
      <c r="I191" s="318" t="s">
        <v>1432</v>
      </c>
      <c r="J191" s="7">
        <v>0</v>
      </c>
      <c r="K191" s="330"/>
      <c r="L191" s="334">
        <v>0</v>
      </c>
    </row>
    <row r="192" spans="8:12" x14ac:dyDescent="0.25">
      <c r="H192" s="317">
        <v>7390</v>
      </c>
      <c r="I192" s="318" t="s">
        <v>1433</v>
      </c>
      <c r="J192" s="7">
        <v>0</v>
      </c>
      <c r="K192" s="330"/>
      <c r="L192" s="334">
        <v>0</v>
      </c>
    </row>
    <row r="193" spans="8:12" x14ac:dyDescent="0.25">
      <c r="H193" s="317">
        <v>7400</v>
      </c>
      <c r="I193" s="318" t="s">
        <v>1434</v>
      </c>
      <c r="J193" s="7">
        <v>0</v>
      </c>
      <c r="K193" s="330"/>
      <c r="L193" s="334">
        <v>0</v>
      </c>
    </row>
    <row r="194" spans="8:12" x14ac:dyDescent="0.25">
      <c r="H194" s="317">
        <v>7410</v>
      </c>
      <c r="I194" s="318" t="s">
        <v>129</v>
      </c>
      <c r="J194" s="7">
        <v>0</v>
      </c>
      <c r="K194" s="330"/>
      <c r="L194" s="334">
        <v>0</v>
      </c>
    </row>
    <row r="195" spans="8:12" x14ac:dyDescent="0.25">
      <c r="H195" s="317">
        <v>7420</v>
      </c>
      <c r="I195" s="318" t="s">
        <v>1435</v>
      </c>
      <c r="J195" s="7">
        <v>0</v>
      </c>
      <c r="K195" s="330"/>
      <c r="L195" s="334">
        <v>0</v>
      </c>
    </row>
    <row r="196" spans="8:12" x14ac:dyDescent="0.25">
      <c r="H196" s="317">
        <v>7430</v>
      </c>
      <c r="I196" s="318" t="s">
        <v>1436</v>
      </c>
      <c r="J196" s="7">
        <v>0</v>
      </c>
      <c r="K196" s="330"/>
      <c r="L196" s="334">
        <v>0</v>
      </c>
    </row>
    <row r="197" spans="8:12" x14ac:dyDescent="0.25">
      <c r="H197" s="317">
        <v>7490</v>
      </c>
      <c r="I197" s="318" t="s">
        <v>1437</v>
      </c>
      <c r="J197" s="7">
        <v>0</v>
      </c>
      <c r="K197" s="330"/>
      <c r="L197" s="334">
        <v>0</v>
      </c>
    </row>
    <row r="198" spans="8:12" x14ac:dyDescent="0.25">
      <c r="H198" s="317">
        <v>8200</v>
      </c>
      <c r="I198" s="318" t="s">
        <v>1438</v>
      </c>
      <c r="J198" s="7">
        <v>0</v>
      </c>
      <c r="K198" s="330"/>
      <c r="L198" s="334">
        <v>0</v>
      </c>
    </row>
    <row r="199" spans="8:12" x14ac:dyDescent="0.25">
      <c r="H199" s="317">
        <v>8310</v>
      </c>
      <c r="I199" s="318" t="s">
        <v>1439</v>
      </c>
      <c r="J199" s="333" t="s">
        <v>221</v>
      </c>
      <c r="K199" s="330"/>
      <c r="L199" s="334"/>
    </row>
    <row r="200" spans="8:12" x14ac:dyDescent="0.25">
      <c r="H200" s="317">
        <v>8320</v>
      </c>
      <c r="I200" s="318" t="s">
        <v>135</v>
      </c>
      <c r="J200" s="333" t="s">
        <v>221</v>
      </c>
      <c r="K200" s="330">
        <v>0</v>
      </c>
      <c r="L200" s="334"/>
    </row>
    <row r="201" spans="8:12" x14ac:dyDescent="0.25">
      <c r="H201" s="317">
        <v>8330</v>
      </c>
      <c r="I201" s="318" t="s">
        <v>136</v>
      </c>
      <c r="J201" s="333" t="s">
        <v>221</v>
      </c>
      <c r="K201" s="330">
        <v>0</v>
      </c>
      <c r="L201" s="334"/>
    </row>
    <row r="202" spans="8:12" x14ac:dyDescent="0.25">
      <c r="H202" s="317">
        <v>8350</v>
      </c>
      <c r="I202" s="318" t="s">
        <v>1440</v>
      </c>
      <c r="J202" s="7">
        <v>267.53000196365645</v>
      </c>
      <c r="K202" s="330">
        <v>893</v>
      </c>
      <c r="L202" s="334">
        <v>4.7393113403812678E-3</v>
      </c>
    </row>
    <row r="203" spans="8:12" x14ac:dyDescent="0.25">
      <c r="H203" s="317">
        <v>8360</v>
      </c>
      <c r="I203" s="318" t="s">
        <v>1441</v>
      </c>
      <c r="J203" s="7">
        <v>0</v>
      </c>
      <c r="K203" s="332"/>
      <c r="L203" s="334">
        <v>0</v>
      </c>
    </row>
    <row r="204" spans="8:12" x14ac:dyDescent="0.25">
      <c r="H204" s="317">
        <v>8370</v>
      </c>
      <c r="I204" s="318" t="s">
        <v>1442</v>
      </c>
      <c r="J204" s="7">
        <v>0</v>
      </c>
      <c r="K204" s="332"/>
      <c r="L204" s="334">
        <v>0</v>
      </c>
    </row>
    <row r="205" spans="8:12" x14ac:dyDescent="0.25">
      <c r="H205" s="317">
        <v>8420</v>
      </c>
      <c r="I205" s="318" t="s">
        <v>139</v>
      </c>
      <c r="J205" s="333" t="s">
        <v>221</v>
      </c>
      <c r="K205" s="332"/>
      <c r="L205" s="334"/>
    </row>
    <row r="206" spans="8:12" x14ac:dyDescent="0.25">
      <c r="H206" s="317">
        <v>8430</v>
      </c>
      <c r="I206" s="318" t="s">
        <v>140</v>
      </c>
      <c r="J206" s="333" t="s">
        <v>221</v>
      </c>
      <c r="K206" s="330">
        <v>0</v>
      </c>
      <c r="L206" s="334"/>
    </row>
    <row r="207" spans="8:12" x14ac:dyDescent="0.25">
      <c r="H207" s="317">
        <v>8460</v>
      </c>
      <c r="I207" s="318" t="s">
        <v>141</v>
      </c>
      <c r="J207" s="333" t="s">
        <v>221</v>
      </c>
      <c r="K207" s="330">
        <v>0</v>
      </c>
      <c r="L207" s="334"/>
    </row>
    <row r="208" spans="8:12" x14ac:dyDescent="0.25">
      <c r="H208" s="317">
        <v>8470</v>
      </c>
      <c r="I208" s="318" t="s">
        <v>142</v>
      </c>
      <c r="J208" s="333" t="s">
        <v>221</v>
      </c>
      <c r="K208" s="332"/>
      <c r="L208" s="334"/>
    </row>
    <row r="209" spans="8:12" x14ac:dyDescent="0.25">
      <c r="H209" s="317">
        <v>8480</v>
      </c>
      <c r="I209" s="318" t="s">
        <v>1443</v>
      </c>
      <c r="J209" s="7">
        <v>0</v>
      </c>
      <c r="K209" s="332"/>
      <c r="L209" s="334">
        <v>0</v>
      </c>
    </row>
    <row r="210" spans="8:12" x14ac:dyDescent="0.25">
      <c r="H210" s="317">
        <v>8490</v>
      </c>
      <c r="I210" s="318" t="s">
        <v>1444</v>
      </c>
      <c r="J210" s="7">
        <v>201.92074056383476</v>
      </c>
      <c r="K210" s="330">
        <v>674</v>
      </c>
      <c r="L210" s="334">
        <v>3.57703901838407E-3</v>
      </c>
    </row>
    <row r="211" spans="8:12" x14ac:dyDescent="0.25">
      <c r="H211" s="317">
        <v>8510</v>
      </c>
      <c r="I211" s="318" t="s">
        <v>145</v>
      </c>
      <c r="J211" s="333" t="s">
        <v>221</v>
      </c>
      <c r="K211" s="332"/>
      <c r="L211" s="334"/>
    </row>
    <row r="212" spans="8:12" x14ac:dyDescent="0.25">
      <c r="H212" s="317">
        <v>8530</v>
      </c>
      <c r="I212" s="318" t="s">
        <v>1445</v>
      </c>
      <c r="J212" s="7">
        <v>0</v>
      </c>
      <c r="K212" s="332"/>
      <c r="L212" s="334">
        <v>0</v>
      </c>
    </row>
    <row r="213" spans="8:12" x14ac:dyDescent="0.25">
      <c r="H213" s="317">
        <v>8560</v>
      </c>
      <c r="I213" s="318" t="s">
        <v>147</v>
      </c>
      <c r="J213" s="7">
        <v>0</v>
      </c>
      <c r="K213" s="332"/>
      <c r="L213" s="334">
        <v>0</v>
      </c>
    </row>
    <row r="214" spans="8:12" x14ac:dyDescent="0.25">
      <c r="H214" s="317">
        <v>8590</v>
      </c>
      <c r="I214" s="318" t="s">
        <v>1446</v>
      </c>
      <c r="J214" s="7">
        <v>0</v>
      </c>
      <c r="K214" s="332"/>
      <c r="L214" s="334">
        <v>0</v>
      </c>
    </row>
    <row r="215" spans="8:12" x14ac:dyDescent="0.25">
      <c r="H215" s="317">
        <v>8610</v>
      </c>
      <c r="I215" s="318" t="s">
        <v>1447</v>
      </c>
      <c r="J215" s="333" t="s">
        <v>221</v>
      </c>
      <c r="K215" s="330">
        <v>0</v>
      </c>
      <c r="L215" s="334"/>
    </row>
    <row r="216" spans="8:12" x14ac:dyDescent="0.25">
      <c r="H216" s="317">
        <v>8620</v>
      </c>
      <c r="I216" s="318" t="s">
        <v>1448</v>
      </c>
      <c r="J216" s="333" t="s">
        <v>221</v>
      </c>
      <c r="K216" s="332"/>
      <c r="L216" s="334"/>
    </row>
    <row r="217" spans="8:12" x14ac:dyDescent="0.25">
      <c r="H217" s="317">
        <v>8630</v>
      </c>
      <c r="I217" s="318" t="s">
        <v>1449</v>
      </c>
      <c r="J217" s="333" t="s">
        <v>221</v>
      </c>
      <c r="K217" s="332"/>
      <c r="L217" s="334"/>
    </row>
    <row r="218" spans="8:12" x14ac:dyDescent="0.25">
      <c r="H218" s="317">
        <v>8640</v>
      </c>
      <c r="I218" s="318" t="s">
        <v>1450</v>
      </c>
      <c r="J218" s="333" t="s">
        <v>221</v>
      </c>
      <c r="K218" s="332"/>
      <c r="L218" s="334"/>
    </row>
    <row r="219" spans="8:12" x14ac:dyDescent="0.25">
      <c r="H219" s="317">
        <v>8650</v>
      </c>
      <c r="I219" s="318" t="s">
        <v>152</v>
      </c>
      <c r="J219" s="333" t="s">
        <v>221</v>
      </c>
      <c r="K219" s="330">
        <v>0</v>
      </c>
      <c r="L219" s="334"/>
    </row>
    <row r="220" spans="8:12" x14ac:dyDescent="0.25">
      <c r="H220" s="317">
        <v>8660</v>
      </c>
      <c r="I220" s="318" t="s">
        <v>1451</v>
      </c>
      <c r="J220" s="7">
        <v>0</v>
      </c>
      <c r="K220" s="332"/>
      <c r="L220" s="334">
        <v>0</v>
      </c>
    </row>
    <row r="221" spans="8:12" x14ac:dyDescent="0.25">
      <c r="H221" s="317">
        <v>8670</v>
      </c>
      <c r="I221" s="318" t="s">
        <v>1452</v>
      </c>
      <c r="J221" s="7">
        <v>0</v>
      </c>
      <c r="K221" s="332"/>
      <c r="L221" s="334">
        <v>0</v>
      </c>
    </row>
    <row r="222" spans="8:12" x14ac:dyDescent="0.25">
      <c r="H222" s="317">
        <v>8680</v>
      </c>
      <c r="I222" s="318" t="s">
        <v>1453</v>
      </c>
      <c r="J222" s="7">
        <v>0</v>
      </c>
      <c r="K222" s="332"/>
      <c r="L222" s="334">
        <v>0</v>
      </c>
    </row>
    <row r="223" spans="8:12" x14ac:dyDescent="0.25">
      <c r="H223" s="317">
        <v>8690</v>
      </c>
      <c r="I223" s="318" t="s">
        <v>1454</v>
      </c>
      <c r="J223" s="7">
        <v>278.61467169787289</v>
      </c>
      <c r="K223" s="330">
        <v>930</v>
      </c>
      <c r="L223" s="334">
        <v>4.9356769838237169E-3</v>
      </c>
    </row>
    <row r="224" spans="8:12" x14ac:dyDescent="0.25">
      <c r="H224" s="317">
        <v>8700</v>
      </c>
      <c r="I224" s="318" t="s">
        <v>1455</v>
      </c>
      <c r="J224" s="7">
        <v>0</v>
      </c>
      <c r="K224" s="332"/>
      <c r="L224" s="334">
        <v>0</v>
      </c>
    </row>
    <row r="225" spans="8:12" x14ac:dyDescent="0.25">
      <c r="H225" s="317">
        <v>8710</v>
      </c>
      <c r="I225" s="318" t="s">
        <v>1456</v>
      </c>
      <c r="J225" s="7">
        <v>0</v>
      </c>
      <c r="K225" s="332"/>
      <c r="L225" s="334">
        <v>0</v>
      </c>
    </row>
    <row r="226" spans="8:12" x14ac:dyDescent="0.25">
      <c r="H226" s="317">
        <v>8720</v>
      </c>
      <c r="I226" s="318" t="s">
        <v>1457</v>
      </c>
      <c r="J226" s="7">
        <v>41.941993588927097</v>
      </c>
      <c r="K226" s="330">
        <v>140</v>
      </c>
      <c r="L226" s="334">
        <v>7.430051373498068E-4</v>
      </c>
    </row>
    <row r="227" spans="8:12" x14ac:dyDescent="0.25">
      <c r="H227" s="317">
        <v>8730</v>
      </c>
      <c r="I227" s="318" t="s">
        <v>1458</v>
      </c>
      <c r="J227" s="7">
        <v>0</v>
      </c>
      <c r="K227" s="332"/>
      <c r="L227" s="334">
        <v>0</v>
      </c>
    </row>
    <row r="228" spans="8:12" x14ac:dyDescent="0.25">
      <c r="H228" s="317">
        <v>8740</v>
      </c>
      <c r="I228" s="318" t="s">
        <v>1459</v>
      </c>
      <c r="J228" s="7">
        <v>0</v>
      </c>
      <c r="K228" s="332"/>
      <c r="L228" s="334">
        <v>0</v>
      </c>
    </row>
    <row r="229" spans="8:12" x14ac:dyDescent="0.25">
      <c r="H229" s="317">
        <v>8770</v>
      </c>
      <c r="I229" s="318" t="s">
        <v>1460</v>
      </c>
      <c r="J229" s="7">
        <v>0</v>
      </c>
      <c r="K229" s="332"/>
      <c r="L229" s="334">
        <v>0</v>
      </c>
    </row>
    <row r="230" spans="8:12" x14ac:dyDescent="0.25">
      <c r="H230" s="317">
        <v>8790</v>
      </c>
      <c r="I230" s="318" t="s">
        <v>1461</v>
      </c>
      <c r="J230" s="333" t="s">
        <v>221</v>
      </c>
      <c r="K230" s="332"/>
      <c r="L230" s="334"/>
    </row>
    <row r="231" spans="8:12" x14ac:dyDescent="0.25">
      <c r="H231" s="317" t="s">
        <v>89</v>
      </c>
      <c r="I231" s="318" t="s">
        <v>1462</v>
      </c>
      <c r="J231" s="333" t="s">
        <v>221</v>
      </c>
      <c r="K231" s="332"/>
    </row>
    <row r="233" spans="8:12" x14ac:dyDescent="0.25">
      <c r="I233" s="335" t="s">
        <v>1469</v>
      </c>
      <c r="J233" s="336">
        <f>SUM(J152:J232)</f>
        <v>56449.13</v>
      </c>
      <c r="K233" s="337">
        <f>SUM(K152:K232)</f>
        <v>188424</v>
      </c>
      <c r="L233" s="338">
        <f>SUM(L152:L231)</f>
        <v>1</v>
      </c>
    </row>
    <row r="234" spans="8:12" x14ac:dyDescent="0.25">
      <c r="I234" s="335" t="s">
        <v>1473</v>
      </c>
      <c r="K234" s="339" t="s">
        <v>1470</v>
      </c>
    </row>
    <row r="235" spans="8:12" x14ac:dyDescent="0.25">
      <c r="I235" s="335" t="s">
        <v>1474</v>
      </c>
    </row>
    <row r="236" spans="8:12" x14ac:dyDescent="0.25">
      <c r="I236" s="335" t="s">
        <v>1475</v>
      </c>
    </row>
  </sheetData>
  <sortState ref="C3:AA50">
    <sortCondition ref="C3:C50"/>
  </sortState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53"/>
  <sheetViews>
    <sheetView topLeftCell="A23" workbookViewId="0">
      <selection activeCell="B57" sqref="B57"/>
    </sheetView>
  </sheetViews>
  <sheetFormatPr defaultRowHeight="15" x14ac:dyDescent="0.25"/>
  <cols>
    <col min="1" max="1" width="21.6640625" customWidth="1"/>
    <col min="2" max="2" width="36.75" bestFit="1" customWidth="1"/>
    <col min="3" max="3" width="28.25" customWidth="1"/>
    <col min="4" max="4" width="34.58203125" bestFit="1" customWidth="1"/>
    <col min="5" max="5" width="30.4140625" bestFit="1" customWidth="1"/>
    <col min="6" max="6" width="28.6640625" bestFit="1" customWidth="1"/>
    <col min="7" max="7" width="25.9140625" bestFit="1" customWidth="1"/>
    <col min="8" max="8" width="23.9140625" bestFit="1" customWidth="1"/>
    <col min="9" max="9" width="23.25" bestFit="1" customWidth="1"/>
    <col min="10" max="10" width="27.9140625" bestFit="1" customWidth="1"/>
    <col min="11" max="11" width="24.25" bestFit="1" customWidth="1"/>
    <col min="12" max="12" width="29.25" bestFit="1" customWidth="1"/>
    <col min="13" max="13" width="20.4140625" bestFit="1" customWidth="1"/>
    <col min="14" max="14" width="18.08203125" bestFit="1" customWidth="1"/>
    <col min="15" max="15" width="17.25" bestFit="1" customWidth="1"/>
    <col min="16" max="16" width="22.6640625" bestFit="1" customWidth="1"/>
    <col min="17" max="17" width="21.9140625" bestFit="1" customWidth="1"/>
    <col min="18" max="18" width="24.6640625" bestFit="1" customWidth="1"/>
    <col min="19" max="19" width="31.4140625" bestFit="1" customWidth="1"/>
    <col min="20" max="20" width="27" bestFit="1" customWidth="1"/>
    <col min="21" max="21" width="21.58203125" bestFit="1" customWidth="1"/>
    <col min="22" max="22" width="26.6640625" bestFit="1" customWidth="1"/>
    <col min="23" max="23" width="18.4140625" bestFit="1" customWidth="1"/>
  </cols>
  <sheetData>
    <row r="3" spans="1:23" x14ac:dyDescent="0.25">
      <c r="A3" t="s">
        <v>1283</v>
      </c>
      <c r="B3" t="s">
        <v>1284</v>
      </c>
      <c r="C3" t="s">
        <v>1285</v>
      </c>
      <c r="D3" t="s">
        <v>1286</v>
      </c>
      <c r="E3" t="s">
        <v>1287</v>
      </c>
      <c r="F3" t="s">
        <v>1288</v>
      </c>
      <c r="G3" t="s">
        <v>1289</v>
      </c>
      <c r="H3" t="s">
        <v>1290</v>
      </c>
      <c r="I3" t="s">
        <v>1291</v>
      </c>
      <c r="J3" t="s">
        <v>1292</v>
      </c>
      <c r="K3" t="s">
        <v>1293</v>
      </c>
      <c r="L3" t="s">
        <v>1294</v>
      </c>
      <c r="M3" t="s">
        <v>1295</v>
      </c>
      <c r="N3" t="s">
        <v>1296</v>
      </c>
      <c r="O3" t="s">
        <v>1297</v>
      </c>
      <c r="P3" t="s">
        <v>1298</v>
      </c>
      <c r="Q3" t="s">
        <v>1299</v>
      </c>
      <c r="R3" t="s">
        <v>1300</v>
      </c>
      <c r="S3" t="s">
        <v>1301</v>
      </c>
      <c r="T3" t="s">
        <v>1302</v>
      </c>
      <c r="U3" t="s">
        <v>1303</v>
      </c>
      <c r="V3" t="s">
        <v>1304</v>
      </c>
      <c r="W3" t="s">
        <v>1305</v>
      </c>
    </row>
    <row r="4" spans="1:23" x14ac:dyDescent="0.25">
      <c r="A4" s="282" t="s">
        <v>1306</v>
      </c>
      <c r="B4" s="283">
        <v>25778779.219999999</v>
      </c>
      <c r="C4" s="283">
        <v>256188.07999999996</v>
      </c>
      <c r="D4" s="283">
        <v>26034967.299999997</v>
      </c>
      <c r="E4" s="283">
        <v>26034967.299999997</v>
      </c>
      <c r="F4" s="283">
        <v>0</v>
      </c>
      <c r="G4" s="283">
        <v>26034967.299999997</v>
      </c>
      <c r="H4" s="283">
        <v>3906231.44</v>
      </c>
      <c r="I4" s="283">
        <v>933912.89000000013</v>
      </c>
      <c r="J4" s="283">
        <v>829273.22999999986</v>
      </c>
      <c r="K4" s="283">
        <v>55602.81</v>
      </c>
      <c r="L4" s="283">
        <v>808.07</v>
      </c>
      <c r="M4" s="283"/>
      <c r="N4" s="283">
        <v>0</v>
      </c>
      <c r="O4" s="283">
        <v>56410.879999999997</v>
      </c>
      <c r="P4" s="283">
        <v>422802.39</v>
      </c>
      <c r="Q4" s="283">
        <v>366.42</v>
      </c>
      <c r="R4" s="283">
        <v>10120.19</v>
      </c>
      <c r="S4" s="283">
        <v>332492.94000000006</v>
      </c>
      <c r="T4" s="283">
        <v>6505782.8600000003</v>
      </c>
      <c r="U4" s="283">
        <v>14172.48</v>
      </c>
      <c r="V4" s="283">
        <v>0</v>
      </c>
      <c r="W4" s="283">
        <v>19529184.439999994</v>
      </c>
    </row>
    <row r="5" spans="1:23" x14ac:dyDescent="0.25">
      <c r="A5" s="282" t="s">
        <v>514</v>
      </c>
      <c r="B5" s="283">
        <v>58131915.720000006</v>
      </c>
      <c r="C5" s="283">
        <v>11145320.83</v>
      </c>
      <c r="D5" s="283">
        <v>69277236.549999997</v>
      </c>
      <c r="E5" s="283">
        <v>69277236.549999997</v>
      </c>
      <c r="F5" s="283">
        <v>75</v>
      </c>
      <c r="G5" s="283">
        <v>69277311.549999997</v>
      </c>
      <c r="H5" s="283">
        <v>8899970.879999999</v>
      </c>
      <c r="I5" s="283">
        <v>2181899.7599999998</v>
      </c>
      <c r="J5" s="283">
        <v>46500</v>
      </c>
      <c r="K5" s="283">
        <v>97457.084080000015</v>
      </c>
      <c r="L5" s="283">
        <v>2430.16</v>
      </c>
      <c r="M5" s="283"/>
      <c r="N5" s="283">
        <v>0</v>
      </c>
      <c r="O5" s="283">
        <v>99887.244080000019</v>
      </c>
      <c r="P5" s="283">
        <v>617428.3899999999</v>
      </c>
      <c r="Q5" s="283">
        <v>1542.03</v>
      </c>
      <c r="R5" s="283">
        <v>2269.6799999999994</v>
      </c>
      <c r="S5" s="283">
        <v>116713.78</v>
      </c>
      <c r="T5" s="283">
        <v>11987357.194080001</v>
      </c>
      <c r="U5" s="283">
        <v>21145.43</v>
      </c>
      <c r="V5" s="283">
        <v>0</v>
      </c>
      <c r="W5" s="283">
        <v>57289954.355919994</v>
      </c>
    </row>
    <row r="6" spans="1:23" x14ac:dyDescent="0.25">
      <c r="A6" s="282" t="s">
        <v>1307</v>
      </c>
      <c r="B6" s="283"/>
      <c r="C6" s="283">
        <v>0</v>
      </c>
      <c r="D6" s="283"/>
      <c r="E6" s="283"/>
      <c r="F6" s="283"/>
      <c r="G6" s="283"/>
      <c r="H6" s="283"/>
      <c r="I6" s="283"/>
      <c r="J6" s="283"/>
      <c r="K6" s="283">
        <v>36414.53284</v>
      </c>
      <c r="L6" s="283"/>
      <c r="M6" s="283"/>
      <c r="N6" s="283"/>
      <c r="O6" s="283">
        <v>36414.53284</v>
      </c>
      <c r="P6" s="283"/>
      <c r="Q6" s="283"/>
      <c r="R6" s="283"/>
      <c r="S6" s="283"/>
      <c r="T6" s="283">
        <v>36414.53284</v>
      </c>
      <c r="U6" s="283"/>
      <c r="V6" s="283"/>
      <c r="W6" s="283">
        <v>-36414.53284</v>
      </c>
    </row>
    <row r="7" spans="1:23" x14ac:dyDescent="0.25">
      <c r="A7" s="282" t="s">
        <v>1308</v>
      </c>
      <c r="B7" s="283">
        <v>101668853.34999999</v>
      </c>
      <c r="C7" s="283">
        <v>146007841.93000001</v>
      </c>
      <c r="D7" s="283">
        <v>247676695.27999997</v>
      </c>
      <c r="E7" s="283">
        <v>247676695.27999997</v>
      </c>
      <c r="F7" s="283">
        <v>3382.3500000000004</v>
      </c>
      <c r="G7" s="283">
        <v>247680077.63</v>
      </c>
      <c r="H7" s="283">
        <v>7564080.6999999993</v>
      </c>
      <c r="I7" s="283">
        <v>1842400.94</v>
      </c>
      <c r="J7" s="283">
        <v>1337596.1300000001</v>
      </c>
      <c r="K7" s="283">
        <v>1085165.96316</v>
      </c>
      <c r="L7" s="283">
        <v>200885.72999999995</v>
      </c>
      <c r="M7" s="283"/>
      <c r="N7" s="283">
        <v>0</v>
      </c>
      <c r="O7" s="283">
        <v>1286051.69316</v>
      </c>
      <c r="P7" s="283">
        <v>12839275.740000002</v>
      </c>
      <c r="Q7" s="283">
        <v>2976.09</v>
      </c>
      <c r="R7" s="283">
        <v>271736.24</v>
      </c>
      <c r="S7" s="283">
        <v>4260880.6199999992</v>
      </c>
      <c r="T7" s="283">
        <v>29436108.473159999</v>
      </c>
      <c r="U7" s="283">
        <v>31110.320000000003</v>
      </c>
      <c r="V7" s="283">
        <v>0</v>
      </c>
      <c r="W7" s="283">
        <v>218243969.15683997</v>
      </c>
    </row>
    <row r="8" spans="1:23" x14ac:dyDescent="0.25">
      <c r="A8" s="282" t="s">
        <v>1309</v>
      </c>
      <c r="B8" s="283">
        <v>4907091.3099999996</v>
      </c>
      <c r="C8" s="283">
        <v>19318078.82</v>
      </c>
      <c r="D8" s="283">
        <v>24225170.130000003</v>
      </c>
      <c r="E8" s="283">
        <v>24225170.130000003</v>
      </c>
      <c r="F8" s="283">
        <v>0</v>
      </c>
      <c r="G8" s="283">
        <v>24225170.130000003</v>
      </c>
      <c r="H8" s="283">
        <v>2685241.8699999996</v>
      </c>
      <c r="I8" s="283">
        <v>604691.06999999995</v>
      </c>
      <c r="J8" s="283">
        <v>0</v>
      </c>
      <c r="K8" s="283">
        <v>9158.59</v>
      </c>
      <c r="L8" s="283">
        <v>0</v>
      </c>
      <c r="M8" s="283"/>
      <c r="N8" s="283">
        <v>0</v>
      </c>
      <c r="O8" s="283">
        <v>9158.59</v>
      </c>
      <c r="P8" s="283">
        <v>212004.52999999997</v>
      </c>
      <c r="Q8" s="283">
        <v>878.76</v>
      </c>
      <c r="R8" s="283">
        <v>596.96</v>
      </c>
      <c r="S8" s="283">
        <v>45818.869999999988</v>
      </c>
      <c r="T8" s="283">
        <v>3568075.1199999996</v>
      </c>
      <c r="U8" s="283">
        <v>9684.4699999999993</v>
      </c>
      <c r="V8" s="283">
        <v>0</v>
      </c>
      <c r="W8" s="283">
        <v>20657095.009999998</v>
      </c>
    </row>
    <row r="9" spans="1:23" x14ac:dyDescent="0.25">
      <c r="A9" s="282" t="s">
        <v>1310</v>
      </c>
      <c r="B9" s="283">
        <v>0</v>
      </c>
      <c r="C9" s="283">
        <v>0</v>
      </c>
      <c r="D9" s="283">
        <v>0</v>
      </c>
      <c r="E9" s="283">
        <v>0</v>
      </c>
      <c r="F9" s="283">
        <v>-166.95</v>
      </c>
      <c r="G9" s="283">
        <v>-166.95</v>
      </c>
      <c r="H9" s="283">
        <v>757895.45</v>
      </c>
      <c r="I9" s="283">
        <v>266276.32</v>
      </c>
      <c r="J9" s="283">
        <v>0</v>
      </c>
      <c r="K9" s="283">
        <v>39662.940553559994</v>
      </c>
      <c r="L9" s="283">
        <v>178.98</v>
      </c>
      <c r="M9" s="283"/>
      <c r="N9" s="283">
        <v>0</v>
      </c>
      <c r="O9" s="283">
        <v>39841.92055355999</v>
      </c>
      <c r="P9" s="283">
        <v>-118314.37000000017</v>
      </c>
      <c r="Q9" s="283">
        <v>0</v>
      </c>
      <c r="R9" s="283">
        <v>5142.32</v>
      </c>
      <c r="S9" s="283">
        <v>215075.74</v>
      </c>
      <c r="T9" s="283">
        <v>1229403.9705535599</v>
      </c>
      <c r="U9" s="283">
        <v>63486.590000000004</v>
      </c>
      <c r="V9" s="283">
        <v>0</v>
      </c>
      <c r="W9" s="283">
        <v>-1229570.9205535599</v>
      </c>
    </row>
    <row r="10" spans="1:23" x14ac:dyDescent="0.25">
      <c r="A10" s="282" t="s">
        <v>1311</v>
      </c>
      <c r="B10" s="283">
        <v>4243670.37</v>
      </c>
      <c r="C10" s="283">
        <v>429530.19</v>
      </c>
      <c r="D10" s="283">
        <v>4673200.5599999996</v>
      </c>
      <c r="E10" s="283">
        <v>4673200.5599999996</v>
      </c>
      <c r="F10" s="283">
        <v>0</v>
      </c>
      <c r="G10" s="283">
        <v>4673200.5599999996</v>
      </c>
      <c r="H10" s="283">
        <v>403961.02000000008</v>
      </c>
      <c r="I10" s="283">
        <v>91343.489999999991</v>
      </c>
      <c r="J10" s="283">
        <v>0</v>
      </c>
      <c r="K10" s="283">
        <v>0</v>
      </c>
      <c r="L10" s="283">
        <v>0</v>
      </c>
      <c r="M10" s="283"/>
      <c r="N10" s="283">
        <v>0</v>
      </c>
      <c r="O10" s="283">
        <v>0</v>
      </c>
      <c r="P10" s="283">
        <v>191285.38999999998</v>
      </c>
      <c r="Q10" s="283">
        <v>97.38</v>
      </c>
      <c r="R10" s="283">
        <v>0</v>
      </c>
      <c r="S10" s="283">
        <v>14939.41</v>
      </c>
      <c r="T10" s="283">
        <v>708533.97</v>
      </c>
      <c r="U10" s="283">
        <v>6907.28</v>
      </c>
      <c r="V10" s="283">
        <v>0</v>
      </c>
      <c r="W10" s="283">
        <v>3964666.5900000003</v>
      </c>
    </row>
    <row r="11" spans="1:23" x14ac:dyDescent="0.25">
      <c r="A11" s="282" t="s">
        <v>1312</v>
      </c>
      <c r="B11" s="283">
        <v>26186106.489999998</v>
      </c>
      <c r="C11" s="283">
        <v>16853754.66</v>
      </c>
      <c r="D11" s="283">
        <v>43039861.150000006</v>
      </c>
      <c r="E11" s="283">
        <v>43039861.150000006</v>
      </c>
      <c r="F11" s="283">
        <v>86188.63</v>
      </c>
      <c r="G11" s="283">
        <v>43126049.780000001</v>
      </c>
      <c r="H11" s="283">
        <v>1319694.6599999999</v>
      </c>
      <c r="I11" s="283">
        <v>367586.00999999995</v>
      </c>
      <c r="J11" s="283">
        <v>15948.03</v>
      </c>
      <c r="K11" s="283">
        <v>848042.92524000001</v>
      </c>
      <c r="L11" s="283">
        <v>15029.34</v>
      </c>
      <c r="M11" s="283"/>
      <c r="N11" s="283">
        <v>0</v>
      </c>
      <c r="O11" s="283">
        <v>863072.26523999998</v>
      </c>
      <c r="P11" s="283">
        <v>1278542.0899999999</v>
      </c>
      <c r="Q11" s="283">
        <v>97.38</v>
      </c>
      <c r="R11" s="283">
        <v>75491.98000000001</v>
      </c>
      <c r="S11" s="283">
        <v>190815.43</v>
      </c>
      <c r="T11" s="283">
        <v>4187752.7552399994</v>
      </c>
      <c r="U11" s="283">
        <v>76504.91</v>
      </c>
      <c r="V11" s="283">
        <v>0</v>
      </c>
      <c r="W11" s="283">
        <v>38938297.024759993</v>
      </c>
    </row>
    <row r="12" spans="1:23" x14ac:dyDescent="0.25">
      <c r="A12" s="282" t="s">
        <v>1313</v>
      </c>
      <c r="B12" s="283">
        <v>3778688.01</v>
      </c>
      <c r="C12" s="283">
        <v>13849239.529999997</v>
      </c>
      <c r="D12" s="283">
        <v>17627927.539999999</v>
      </c>
      <c r="E12" s="283">
        <v>17627927.539999999</v>
      </c>
      <c r="F12" s="283">
        <v>0</v>
      </c>
      <c r="G12" s="283">
        <v>17627927.539999999</v>
      </c>
      <c r="H12" s="283">
        <v>373806.95</v>
      </c>
      <c r="I12" s="283">
        <v>86734.010000000009</v>
      </c>
      <c r="J12" s="283">
        <v>0</v>
      </c>
      <c r="K12" s="283">
        <v>136683.96</v>
      </c>
      <c r="L12" s="283">
        <v>3906</v>
      </c>
      <c r="M12" s="283"/>
      <c r="N12" s="283">
        <v>0</v>
      </c>
      <c r="O12" s="283">
        <v>140589.96</v>
      </c>
      <c r="P12" s="283">
        <v>45364.99</v>
      </c>
      <c r="Q12" s="283">
        <v>0</v>
      </c>
      <c r="R12" s="283">
        <v>452.13</v>
      </c>
      <c r="S12" s="283">
        <v>6707.62</v>
      </c>
      <c r="T12" s="283">
        <v>653827.49000000011</v>
      </c>
      <c r="U12" s="283">
        <v>171.83</v>
      </c>
      <c r="V12" s="283">
        <v>0</v>
      </c>
      <c r="W12" s="283">
        <v>16974100.050000001</v>
      </c>
    </row>
    <row r="13" spans="1:23" x14ac:dyDescent="0.25">
      <c r="A13" s="282" t="s">
        <v>1314</v>
      </c>
      <c r="B13" s="283">
        <v>21868049.75</v>
      </c>
      <c r="C13" s="283">
        <v>58521303.590000004</v>
      </c>
      <c r="D13" s="283">
        <v>80389353.340000004</v>
      </c>
      <c r="E13" s="283">
        <v>80389353.340000004</v>
      </c>
      <c r="F13" s="283">
        <v>0</v>
      </c>
      <c r="G13" s="283">
        <v>80389353.340000004</v>
      </c>
      <c r="H13" s="283">
        <v>640833.12000000011</v>
      </c>
      <c r="I13" s="283">
        <v>142606.75</v>
      </c>
      <c r="J13" s="283">
        <v>0</v>
      </c>
      <c r="K13" s="283">
        <v>212217.84</v>
      </c>
      <c r="L13" s="283">
        <v>0</v>
      </c>
      <c r="M13" s="283"/>
      <c r="N13" s="283">
        <v>0</v>
      </c>
      <c r="O13" s="283">
        <v>212217.84</v>
      </c>
      <c r="P13" s="283">
        <v>75783.48000000001</v>
      </c>
      <c r="Q13" s="283">
        <v>0</v>
      </c>
      <c r="R13" s="283">
        <v>0</v>
      </c>
      <c r="S13" s="283">
        <v>4305.45</v>
      </c>
      <c r="T13" s="283">
        <v>1075961.42</v>
      </c>
      <c r="U13" s="283">
        <v>214.78</v>
      </c>
      <c r="V13" s="283">
        <v>0</v>
      </c>
      <c r="W13" s="283">
        <v>79313391.920000002</v>
      </c>
    </row>
    <row r="14" spans="1:23" x14ac:dyDescent="0.25">
      <c r="A14" s="282" t="s">
        <v>1315</v>
      </c>
      <c r="B14" s="283">
        <v>12314249.23</v>
      </c>
      <c r="C14" s="283">
        <v>23081243.570000004</v>
      </c>
      <c r="D14" s="283">
        <v>35395492.799999997</v>
      </c>
      <c r="E14" s="283">
        <v>35395492.799999997</v>
      </c>
      <c r="F14" s="283">
        <v>0</v>
      </c>
      <c r="G14" s="283">
        <v>35395492.799999997</v>
      </c>
      <c r="H14" s="283">
        <v>1830277.5000000002</v>
      </c>
      <c r="I14" s="283">
        <v>440648.99000000005</v>
      </c>
      <c r="J14" s="283">
        <v>31323.599999999999</v>
      </c>
      <c r="K14" s="283">
        <v>611070.14</v>
      </c>
      <c r="L14" s="283">
        <v>3333.13</v>
      </c>
      <c r="M14" s="283"/>
      <c r="N14" s="283">
        <v>0</v>
      </c>
      <c r="O14" s="283">
        <v>614403.27</v>
      </c>
      <c r="P14" s="283">
        <v>205491.38</v>
      </c>
      <c r="Q14" s="283">
        <v>292.14</v>
      </c>
      <c r="R14" s="283">
        <v>58933</v>
      </c>
      <c r="S14" s="283">
        <v>538325.19999999995</v>
      </c>
      <c r="T14" s="283">
        <v>3728618.8600000003</v>
      </c>
      <c r="U14" s="283">
        <v>8923.7799999999988</v>
      </c>
      <c r="V14" s="283">
        <v>0</v>
      </c>
      <c r="W14" s="283">
        <v>31666873.940000005</v>
      </c>
    </row>
    <row r="15" spans="1:23" x14ac:dyDescent="0.25">
      <c r="A15" s="282" t="s">
        <v>1316</v>
      </c>
      <c r="B15" s="283">
        <v>1499339.1400000001</v>
      </c>
      <c r="C15" s="283">
        <v>7877080.7899999991</v>
      </c>
      <c r="D15" s="283">
        <v>9376419.9299999997</v>
      </c>
      <c r="E15" s="283">
        <v>9376419.9299999997</v>
      </c>
      <c r="F15" s="283">
        <v>0</v>
      </c>
      <c r="G15" s="283">
        <v>9376419.9299999997</v>
      </c>
      <c r="H15" s="283">
        <v>262789.24</v>
      </c>
      <c r="I15" s="283">
        <v>60398.909999999996</v>
      </c>
      <c r="J15" s="283">
        <v>0</v>
      </c>
      <c r="K15" s="283">
        <v>42767.459999999992</v>
      </c>
      <c r="L15" s="283">
        <v>0</v>
      </c>
      <c r="M15" s="283"/>
      <c r="N15" s="283">
        <v>0</v>
      </c>
      <c r="O15" s="283">
        <v>42767.459999999992</v>
      </c>
      <c r="P15" s="283">
        <v>297671.37000000005</v>
      </c>
      <c r="Q15" s="283">
        <v>0</v>
      </c>
      <c r="R15" s="283">
        <v>505.02</v>
      </c>
      <c r="S15" s="283">
        <v>6955.38</v>
      </c>
      <c r="T15" s="283">
        <v>671519.08000000007</v>
      </c>
      <c r="U15" s="283">
        <v>431.7</v>
      </c>
      <c r="V15" s="283">
        <v>0</v>
      </c>
      <c r="W15" s="283">
        <v>8704900.8499999996</v>
      </c>
    </row>
    <row r="16" spans="1:23" x14ac:dyDescent="0.25">
      <c r="A16" s="282" t="s">
        <v>537</v>
      </c>
      <c r="B16" s="283">
        <v>60003651.420000009</v>
      </c>
      <c r="C16" s="283">
        <v>55538554.599999994</v>
      </c>
      <c r="D16" s="283">
        <v>115542206.01999998</v>
      </c>
      <c r="E16" s="283">
        <v>115527642.32999998</v>
      </c>
      <c r="F16" s="283">
        <v>6071484.2000000011</v>
      </c>
      <c r="G16" s="283">
        <v>121599126.52999997</v>
      </c>
      <c r="H16" s="283">
        <v>2967882.2899999996</v>
      </c>
      <c r="I16" s="283">
        <v>655160.67999999993</v>
      </c>
      <c r="J16" s="283">
        <v>0</v>
      </c>
      <c r="K16" s="283">
        <v>387871.67999999993</v>
      </c>
      <c r="L16" s="283">
        <v>5574.81</v>
      </c>
      <c r="M16" s="283"/>
      <c r="N16" s="283">
        <v>0</v>
      </c>
      <c r="O16" s="283">
        <v>393446.48999999993</v>
      </c>
      <c r="P16" s="283">
        <v>7485165.7499999991</v>
      </c>
      <c r="Q16" s="283">
        <v>292.14</v>
      </c>
      <c r="R16" s="283">
        <v>120417.19</v>
      </c>
      <c r="S16" s="283">
        <v>174862.09000000003</v>
      </c>
      <c r="T16" s="283">
        <v>15789741.75</v>
      </c>
      <c r="U16" s="283">
        <v>3992515.1199999996</v>
      </c>
      <c r="V16" s="283">
        <v>0</v>
      </c>
      <c r="W16" s="283">
        <v>105809384.77999999</v>
      </c>
    </row>
    <row r="17" spans="1:23" x14ac:dyDescent="0.25">
      <c r="A17" s="282" t="s">
        <v>1317</v>
      </c>
      <c r="B17" s="283">
        <v>17776333.25</v>
      </c>
      <c r="C17" s="283">
        <v>2123087.8400000003</v>
      </c>
      <c r="D17" s="283">
        <v>19899421.089999996</v>
      </c>
      <c r="E17" s="283">
        <v>19899421.089999996</v>
      </c>
      <c r="F17" s="283">
        <v>0</v>
      </c>
      <c r="G17" s="283">
        <v>19899421.089999996</v>
      </c>
      <c r="H17" s="283">
        <v>1121764.7000000002</v>
      </c>
      <c r="I17" s="283">
        <v>283762.97000000003</v>
      </c>
      <c r="J17" s="283">
        <v>5838</v>
      </c>
      <c r="K17" s="283">
        <v>1898.6600000000003</v>
      </c>
      <c r="L17" s="283">
        <v>5310.69</v>
      </c>
      <c r="M17" s="283"/>
      <c r="N17" s="283">
        <v>0</v>
      </c>
      <c r="O17" s="283">
        <v>7209.35</v>
      </c>
      <c r="P17" s="283">
        <v>255223.48999999996</v>
      </c>
      <c r="Q17" s="283">
        <v>500.15</v>
      </c>
      <c r="R17" s="283">
        <v>8385.9399999999987</v>
      </c>
      <c r="S17" s="283">
        <v>13429.42</v>
      </c>
      <c r="T17" s="283">
        <v>1702960.3900000004</v>
      </c>
      <c r="U17" s="283">
        <v>6846.37</v>
      </c>
      <c r="V17" s="283">
        <v>0</v>
      </c>
      <c r="W17" s="283">
        <v>18196460.700000003</v>
      </c>
    </row>
    <row r="18" spans="1:23" x14ac:dyDescent="0.25">
      <c r="A18" s="282" t="s">
        <v>1318</v>
      </c>
      <c r="B18" s="283">
        <v>1618232.55</v>
      </c>
      <c r="C18" s="283">
        <v>98381.580000000016</v>
      </c>
      <c r="D18" s="283">
        <v>1716614.13</v>
      </c>
      <c r="E18" s="283">
        <v>1716614.13</v>
      </c>
      <c r="F18" s="283">
        <v>47351.66</v>
      </c>
      <c r="G18" s="283">
        <v>1763965.7899999998</v>
      </c>
      <c r="H18" s="283">
        <v>0</v>
      </c>
      <c r="I18" s="283">
        <v>0</v>
      </c>
      <c r="J18" s="283">
        <v>0</v>
      </c>
      <c r="K18" s="283">
        <v>513268.47</v>
      </c>
      <c r="L18" s="283">
        <v>69.94</v>
      </c>
      <c r="M18" s="283"/>
      <c r="N18" s="283">
        <v>0</v>
      </c>
      <c r="O18" s="283">
        <v>513338.41</v>
      </c>
      <c r="P18" s="283">
        <v>51010.239999999998</v>
      </c>
      <c r="Q18" s="283">
        <v>0</v>
      </c>
      <c r="R18" s="283">
        <v>0</v>
      </c>
      <c r="S18" s="283">
        <v>0</v>
      </c>
      <c r="T18" s="283">
        <v>564348.64999999991</v>
      </c>
      <c r="U18" s="283">
        <v>0</v>
      </c>
      <c r="V18" s="283">
        <v>0</v>
      </c>
      <c r="W18" s="283">
        <v>1199617.1399999999</v>
      </c>
    </row>
    <row r="19" spans="1:23" x14ac:dyDescent="0.25">
      <c r="A19" s="282" t="s">
        <v>540</v>
      </c>
      <c r="B19" s="283">
        <v>2297499.4400000004</v>
      </c>
      <c r="C19" s="283">
        <v>5654406.0499999998</v>
      </c>
      <c r="D19" s="283">
        <v>7951905.4900000002</v>
      </c>
      <c r="E19" s="283">
        <v>7951905.4900000002</v>
      </c>
      <c r="F19" s="283">
        <v>0</v>
      </c>
      <c r="G19" s="283">
        <v>7951905.4900000002</v>
      </c>
      <c r="H19" s="283">
        <v>1057912.47</v>
      </c>
      <c r="I19" s="283">
        <v>253460.47000000003</v>
      </c>
      <c r="J19" s="283">
        <v>0</v>
      </c>
      <c r="K19" s="283">
        <v>4416.6499999999996</v>
      </c>
      <c r="L19" s="283">
        <v>850</v>
      </c>
      <c r="M19" s="283"/>
      <c r="N19" s="283">
        <v>0</v>
      </c>
      <c r="O19" s="283">
        <v>5266.65</v>
      </c>
      <c r="P19" s="283">
        <v>12656.660000000002</v>
      </c>
      <c r="Q19" s="283">
        <v>0</v>
      </c>
      <c r="R19" s="283">
        <v>225685.65000000002</v>
      </c>
      <c r="S19" s="283">
        <v>4138.7300000000005</v>
      </c>
      <c r="T19" s="283">
        <v>1563392.08</v>
      </c>
      <c r="U19" s="283">
        <v>4271.4500000000007</v>
      </c>
      <c r="V19" s="283">
        <v>0</v>
      </c>
      <c r="W19" s="283">
        <v>6388513.4099999992</v>
      </c>
    </row>
    <row r="20" spans="1:23" x14ac:dyDescent="0.25">
      <c r="A20" s="282" t="s">
        <v>1319</v>
      </c>
      <c r="B20" s="283">
        <v>25474474.689999998</v>
      </c>
      <c r="C20" s="283">
        <v>83906657.730000019</v>
      </c>
      <c r="D20" s="283">
        <v>109381132.41999999</v>
      </c>
      <c r="E20" s="283">
        <v>109381132.41999999</v>
      </c>
      <c r="F20" s="283">
        <v>1059</v>
      </c>
      <c r="G20" s="283">
        <v>109382191.41999999</v>
      </c>
      <c r="H20" s="283">
        <v>4008506.8200000008</v>
      </c>
      <c r="I20" s="283">
        <v>876065.33000000007</v>
      </c>
      <c r="J20" s="283">
        <v>1099596.73</v>
      </c>
      <c r="K20" s="283">
        <v>1364745.42</v>
      </c>
      <c r="L20" s="283">
        <v>5530.3499999999995</v>
      </c>
      <c r="M20" s="283"/>
      <c r="N20" s="283">
        <v>0</v>
      </c>
      <c r="O20" s="283">
        <v>1370275.77</v>
      </c>
      <c r="P20" s="283">
        <v>694138.99</v>
      </c>
      <c r="Q20" s="283">
        <v>447.6</v>
      </c>
      <c r="R20" s="283">
        <v>36897.37000000001</v>
      </c>
      <c r="S20" s="283">
        <v>287164.90999999992</v>
      </c>
      <c r="T20" s="283">
        <v>8398904.8399999999</v>
      </c>
      <c r="U20" s="283">
        <v>25811.32</v>
      </c>
      <c r="V20" s="283">
        <v>0</v>
      </c>
      <c r="W20" s="283">
        <v>100983286.57999998</v>
      </c>
    </row>
    <row r="21" spans="1:23" x14ac:dyDescent="0.25">
      <c r="A21" s="282" t="s">
        <v>545</v>
      </c>
      <c r="B21" s="283">
        <v>9620.92</v>
      </c>
      <c r="C21" s="283">
        <v>64719993.859999992</v>
      </c>
      <c r="D21" s="283">
        <v>64729614.779999994</v>
      </c>
      <c r="E21" s="283">
        <v>29691007.639999993</v>
      </c>
      <c r="F21" s="283">
        <v>975893.66999999993</v>
      </c>
      <c r="G21" s="283">
        <v>30666901.309999995</v>
      </c>
      <c r="H21" s="283">
        <v>24901500.690000001</v>
      </c>
      <c r="I21" s="283">
        <v>4523718.3199999994</v>
      </c>
      <c r="J21" s="283">
        <v>453477.68999999994</v>
      </c>
      <c r="K21" s="283">
        <v>1521943.07</v>
      </c>
      <c r="L21" s="283">
        <v>27305.02</v>
      </c>
      <c r="M21" s="283">
        <v>171245.86</v>
      </c>
      <c r="N21" s="283">
        <v>22279.37</v>
      </c>
      <c r="O21" s="283">
        <v>1742773.3200000003</v>
      </c>
      <c r="P21" s="283">
        <v>1385475.1</v>
      </c>
      <c r="Q21" s="283">
        <v>89665.9</v>
      </c>
      <c r="R21" s="283">
        <v>2898582.39</v>
      </c>
      <c r="S21" s="283">
        <v>1578874.63</v>
      </c>
      <c r="T21" s="283">
        <v>39039204.170000002</v>
      </c>
      <c r="U21" s="283">
        <v>877184.08</v>
      </c>
      <c r="V21" s="283">
        <v>-202535.89</v>
      </c>
      <c r="W21" s="283">
        <v>-8574838.7500000093</v>
      </c>
    </row>
    <row r="22" spans="1:23" x14ac:dyDescent="0.25">
      <c r="A22" s="282" t="s">
        <v>1320</v>
      </c>
      <c r="B22" s="283">
        <v>892947.96</v>
      </c>
      <c r="C22" s="283">
        <v>1476456.32</v>
      </c>
      <c r="D22" s="283">
        <v>2369404.2799999998</v>
      </c>
      <c r="E22" s="283">
        <v>2369404.2799999998</v>
      </c>
      <c r="F22" s="283">
        <v>0</v>
      </c>
      <c r="G22" s="283">
        <v>2369404.2799999998</v>
      </c>
      <c r="H22" s="283">
        <v>298056.03000000003</v>
      </c>
      <c r="I22" s="283">
        <v>67425.38</v>
      </c>
      <c r="J22" s="283">
        <v>0</v>
      </c>
      <c r="K22" s="283">
        <v>0</v>
      </c>
      <c r="L22" s="283">
        <v>0</v>
      </c>
      <c r="M22" s="283"/>
      <c r="N22" s="283">
        <v>0</v>
      </c>
      <c r="O22" s="283">
        <v>0</v>
      </c>
      <c r="P22" s="283">
        <v>870.88</v>
      </c>
      <c r="Q22" s="283">
        <v>0</v>
      </c>
      <c r="R22" s="283">
        <v>0</v>
      </c>
      <c r="S22" s="283">
        <v>70425.3</v>
      </c>
      <c r="T22" s="283">
        <v>438501.73999999987</v>
      </c>
      <c r="U22" s="283">
        <v>1724.1499999999999</v>
      </c>
      <c r="V22" s="283">
        <v>0</v>
      </c>
      <c r="W22" s="283">
        <v>1930902.5399999996</v>
      </c>
    </row>
    <row r="23" spans="1:23" x14ac:dyDescent="0.25">
      <c r="A23" s="282" t="s">
        <v>1321</v>
      </c>
      <c r="B23" s="283">
        <v>423377.05</v>
      </c>
      <c r="C23" s="283">
        <v>277880.85000000003</v>
      </c>
      <c r="D23" s="283">
        <v>701257.89999999991</v>
      </c>
      <c r="E23" s="283">
        <v>701257.89999999991</v>
      </c>
      <c r="F23" s="283">
        <v>0</v>
      </c>
      <c r="G23" s="283">
        <v>701257.89999999991</v>
      </c>
      <c r="H23" s="283">
        <v>92253.530000000013</v>
      </c>
      <c r="I23" s="283">
        <v>21721.639999999996</v>
      </c>
      <c r="J23" s="283">
        <v>0</v>
      </c>
      <c r="K23" s="283">
        <v>0</v>
      </c>
      <c r="L23" s="283">
        <v>0</v>
      </c>
      <c r="M23" s="283"/>
      <c r="N23" s="283">
        <v>0</v>
      </c>
      <c r="O23" s="283">
        <v>0</v>
      </c>
      <c r="P23" s="283">
        <v>20.65</v>
      </c>
      <c r="Q23" s="283">
        <v>0</v>
      </c>
      <c r="R23" s="283">
        <v>0</v>
      </c>
      <c r="S23" s="283">
        <v>131.82</v>
      </c>
      <c r="T23" s="283">
        <v>114172.07</v>
      </c>
      <c r="U23" s="283">
        <v>44.43</v>
      </c>
      <c r="V23" s="283">
        <v>0</v>
      </c>
      <c r="W23" s="283">
        <v>587085.82999999996</v>
      </c>
    </row>
    <row r="24" spans="1:23" x14ac:dyDescent="0.25">
      <c r="A24" s="282" t="s">
        <v>1322</v>
      </c>
      <c r="B24" s="283">
        <v>248095.63999999998</v>
      </c>
      <c r="C24" s="283">
        <v>3360584.5200000005</v>
      </c>
      <c r="D24" s="283">
        <v>3608680.1599999997</v>
      </c>
      <c r="E24" s="283">
        <v>3608680.1599999997</v>
      </c>
      <c r="F24" s="283">
        <v>0</v>
      </c>
      <c r="G24" s="283">
        <v>3608680.1599999997</v>
      </c>
      <c r="H24" s="283">
        <v>272480.35000000003</v>
      </c>
      <c r="I24" s="283">
        <v>74236.92</v>
      </c>
      <c r="J24" s="283">
        <v>36960</v>
      </c>
      <c r="K24" s="283">
        <v>954221.24983999995</v>
      </c>
      <c r="L24" s="283">
        <v>1747.53</v>
      </c>
      <c r="M24" s="283"/>
      <c r="N24" s="283">
        <v>0</v>
      </c>
      <c r="O24" s="283">
        <v>955968.77983999997</v>
      </c>
      <c r="P24" s="283">
        <v>38705.74</v>
      </c>
      <c r="Q24" s="283">
        <v>1596.81</v>
      </c>
      <c r="R24" s="283">
        <v>139427.66999999998</v>
      </c>
      <c r="S24" s="283">
        <v>17742.509999999998</v>
      </c>
      <c r="T24" s="283">
        <v>1546899.9398399999</v>
      </c>
      <c r="U24" s="283">
        <v>9781.16</v>
      </c>
      <c r="V24" s="283">
        <v>0</v>
      </c>
      <c r="W24" s="283">
        <v>2061780.2201599998</v>
      </c>
    </row>
    <row r="25" spans="1:23" x14ac:dyDescent="0.25">
      <c r="A25" s="282" t="s">
        <v>1323</v>
      </c>
      <c r="B25" s="283"/>
      <c r="C25" s="283">
        <v>0</v>
      </c>
      <c r="D25" s="283"/>
      <c r="E25" s="283"/>
      <c r="F25" s="283"/>
      <c r="G25" s="283"/>
      <c r="H25" s="283"/>
      <c r="I25" s="283"/>
      <c r="J25" s="283"/>
      <c r="K25" s="283">
        <v>59244.906239999989</v>
      </c>
      <c r="L25" s="283"/>
      <c r="M25" s="283"/>
      <c r="N25" s="283"/>
      <c r="O25" s="283">
        <v>59244.906239999989</v>
      </c>
      <c r="P25" s="283"/>
      <c r="Q25" s="283"/>
      <c r="R25" s="283"/>
      <c r="S25" s="283"/>
      <c r="T25" s="283">
        <v>59244.906239999989</v>
      </c>
      <c r="U25" s="283"/>
      <c r="V25" s="283"/>
      <c r="W25" s="283">
        <v>-59244.906239999989</v>
      </c>
    </row>
    <row r="26" spans="1:23" x14ac:dyDescent="0.25">
      <c r="A26" s="282" t="s">
        <v>559</v>
      </c>
      <c r="B26" s="283">
        <v>0</v>
      </c>
      <c r="C26" s="283">
        <v>0</v>
      </c>
      <c r="D26" s="283">
        <v>0</v>
      </c>
      <c r="E26" s="283">
        <v>0</v>
      </c>
      <c r="F26" s="283">
        <v>915548.43</v>
      </c>
      <c r="G26" s="283">
        <v>915548.43</v>
      </c>
      <c r="H26" s="283">
        <v>1288781.7999999998</v>
      </c>
      <c r="I26" s="283">
        <v>504932.37</v>
      </c>
      <c r="J26" s="283">
        <v>0</v>
      </c>
      <c r="K26" s="283">
        <v>508216.23000000004</v>
      </c>
      <c r="L26" s="283">
        <v>42909.760000000002</v>
      </c>
      <c r="M26" s="283"/>
      <c r="N26" s="283">
        <v>0</v>
      </c>
      <c r="O26" s="283">
        <v>551125.99</v>
      </c>
      <c r="P26" s="283">
        <v>692637.77999999991</v>
      </c>
      <c r="Q26" s="283">
        <v>97.38</v>
      </c>
      <c r="R26" s="283">
        <v>6533.329999999999</v>
      </c>
      <c r="S26" s="283">
        <v>200576.25</v>
      </c>
      <c r="T26" s="283">
        <v>3277566.4799999995</v>
      </c>
      <c r="U26" s="283">
        <v>32881.58</v>
      </c>
      <c r="V26" s="283">
        <v>0</v>
      </c>
      <c r="W26" s="283">
        <v>-2362018.0499999993</v>
      </c>
    </row>
    <row r="27" spans="1:23" x14ac:dyDescent="0.25">
      <c r="A27" s="282" t="s">
        <v>1324</v>
      </c>
      <c r="B27" s="283">
        <v>0</v>
      </c>
      <c r="C27" s="283">
        <v>0</v>
      </c>
      <c r="D27" s="283">
        <v>0</v>
      </c>
      <c r="E27" s="283">
        <v>0</v>
      </c>
      <c r="F27" s="283">
        <v>0</v>
      </c>
      <c r="G27" s="283">
        <v>0</v>
      </c>
      <c r="H27" s="283">
        <v>52075.25</v>
      </c>
      <c r="I27" s="283">
        <v>21258.87</v>
      </c>
      <c r="J27" s="283">
        <v>0</v>
      </c>
      <c r="K27" s="283">
        <v>19998.739999999991</v>
      </c>
      <c r="L27" s="283">
        <v>0</v>
      </c>
      <c r="M27" s="283"/>
      <c r="N27" s="283">
        <v>0</v>
      </c>
      <c r="O27" s="283">
        <v>19998.739999999991</v>
      </c>
      <c r="P27" s="283">
        <v>0</v>
      </c>
      <c r="Q27" s="283">
        <v>0</v>
      </c>
      <c r="R27" s="283">
        <v>0</v>
      </c>
      <c r="S27" s="283">
        <v>12683.819999999998</v>
      </c>
      <c r="T27" s="283">
        <v>106016.68</v>
      </c>
      <c r="U27" s="283">
        <v>0</v>
      </c>
      <c r="V27" s="283">
        <v>0</v>
      </c>
      <c r="W27" s="283">
        <v>-106016.68</v>
      </c>
    </row>
    <row r="28" spans="1:23" x14ac:dyDescent="0.25">
      <c r="A28" s="282" t="s">
        <v>1325</v>
      </c>
      <c r="B28" s="283">
        <v>0</v>
      </c>
      <c r="C28" s="283">
        <v>0</v>
      </c>
      <c r="D28" s="283">
        <v>0</v>
      </c>
      <c r="E28" s="283">
        <v>0</v>
      </c>
      <c r="F28" s="283">
        <v>0</v>
      </c>
      <c r="G28" s="283">
        <v>0</v>
      </c>
      <c r="H28" s="283">
        <v>164079.08999999997</v>
      </c>
      <c r="I28" s="283">
        <v>61302.600000000013</v>
      </c>
      <c r="J28" s="283">
        <v>0</v>
      </c>
      <c r="K28" s="283">
        <v>0</v>
      </c>
      <c r="L28" s="283">
        <v>0</v>
      </c>
      <c r="M28" s="283"/>
      <c r="N28" s="283">
        <v>0</v>
      </c>
      <c r="O28" s="283">
        <v>0</v>
      </c>
      <c r="P28" s="283">
        <v>0</v>
      </c>
      <c r="Q28" s="283">
        <v>389.52</v>
      </c>
      <c r="R28" s="283">
        <v>0</v>
      </c>
      <c r="S28" s="283">
        <v>0</v>
      </c>
      <c r="T28" s="283">
        <v>225857.11999999997</v>
      </c>
      <c r="U28" s="283">
        <v>85.91</v>
      </c>
      <c r="V28" s="283">
        <v>0</v>
      </c>
      <c r="W28" s="283">
        <v>-225857.11999999997</v>
      </c>
    </row>
    <row r="29" spans="1:23" x14ac:dyDescent="0.25">
      <c r="A29" s="282" t="s">
        <v>564</v>
      </c>
      <c r="B29" s="283">
        <v>0</v>
      </c>
      <c r="C29" s="283">
        <v>0</v>
      </c>
      <c r="D29" s="283">
        <v>0</v>
      </c>
      <c r="E29" s="283">
        <v>0</v>
      </c>
      <c r="F29" s="283">
        <v>59.54</v>
      </c>
      <c r="G29" s="283">
        <v>59.54</v>
      </c>
      <c r="H29" s="283">
        <v>421589.56000000006</v>
      </c>
      <c r="I29" s="283">
        <v>119194.34999999999</v>
      </c>
      <c r="J29" s="283">
        <v>0</v>
      </c>
      <c r="K29" s="283">
        <v>3158912.5670799995</v>
      </c>
      <c r="L29" s="283">
        <v>882369.10000000009</v>
      </c>
      <c r="M29" s="283"/>
      <c r="N29" s="283">
        <v>0</v>
      </c>
      <c r="O29" s="283">
        <v>4041281.6670799996</v>
      </c>
      <c r="P29" s="283">
        <v>45325.35</v>
      </c>
      <c r="Q29" s="283">
        <v>1203913.8600000001</v>
      </c>
      <c r="R29" s="283">
        <v>2828.82</v>
      </c>
      <c r="S29" s="283">
        <v>247539.13999999996</v>
      </c>
      <c r="T29" s="283">
        <v>6085365.6970800012</v>
      </c>
      <c r="U29" s="283">
        <v>3692.95</v>
      </c>
      <c r="V29" s="283">
        <v>0</v>
      </c>
      <c r="W29" s="283">
        <v>-6085306.1570800003</v>
      </c>
    </row>
    <row r="30" spans="1:23" x14ac:dyDescent="0.25">
      <c r="A30" s="282" t="s">
        <v>565</v>
      </c>
      <c r="B30" s="283">
        <v>0</v>
      </c>
      <c r="C30" s="283">
        <v>0</v>
      </c>
      <c r="D30" s="283">
        <v>0</v>
      </c>
      <c r="E30" s="283">
        <v>0</v>
      </c>
      <c r="F30" s="283">
        <v>0</v>
      </c>
      <c r="G30" s="283">
        <v>0</v>
      </c>
      <c r="H30" s="283">
        <v>1111157.6499999999</v>
      </c>
      <c r="I30" s="283">
        <v>440189.69999999995</v>
      </c>
      <c r="J30" s="283">
        <v>0</v>
      </c>
      <c r="K30" s="283">
        <v>76406.040000000008</v>
      </c>
      <c r="L30" s="283">
        <v>34611.26</v>
      </c>
      <c r="M30" s="283"/>
      <c r="N30" s="283">
        <v>0</v>
      </c>
      <c r="O30" s="283">
        <v>111017.30000000002</v>
      </c>
      <c r="P30" s="283">
        <v>203614.63000000003</v>
      </c>
      <c r="Q30" s="283">
        <v>966.53</v>
      </c>
      <c r="R30" s="283">
        <v>462.06</v>
      </c>
      <c r="S30" s="283">
        <v>50731.38</v>
      </c>
      <c r="T30" s="283">
        <v>1918199.6400000004</v>
      </c>
      <c r="U30" s="283">
        <v>60.390000000000015</v>
      </c>
      <c r="V30" s="283">
        <v>0</v>
      </c>
      <c r="W30" s="283">
        <v>-1918199.6400000004</v>
      </c>
    </row>
    <row r="31" spans="1:23" x14ac:dyDescent="0.25">
      <c r="A31" s="282" t="s">
        <v>1326</v>
      </c>
      <c r="B31" s="283"/>
      <c r="C31" s="283">
        <v>0</v>
      </c>
      <c r="D31" s="283"/>
      <c r="E31" s="283"/>
      <c r="F31" s="283"/>
      <c r="G31" s="283"/>
      <c r="H31" s="283"/>
      <c r="I31" s="283"/>
      <c r="J31" s="283"/>
      <c r="K31" s="283">
        <v>255043.22668000002</v>
      </c>
      <c r="L31" s="283"/>
      <c r="M31" s="283"/>
      <c r="N31" s="283"/>
      <c r="O31" s="283">
        <v>255043.22668000002</v>
      </c>
      <c r="P31" s="283"/>
      <c r="Q31" s="283"/>
      <c r="R31" s="283"/>
      <c r="S31" s="283"/>
      <c r="T31" s="283">
        <v>255043.22668000002</v>
      </c>
      <c r="U31" s="283"/>
      <c r="V31" s="283"/>
      <c r="W31" s="283">
        <v>-255043.22668000002</v>
      </c>
    </row>
    <row r="32" spans="1:23" x14ac:dyDescent="0.25">
      <c r="A32" s="282" t="s">
        <v>567</v>
      </c>
      <c r="B32" s="283"/>
      <c r="C32" s="283">
        <v>0</v>
      </c>
      <c r="D32" s="283"/>
      <c r="E32" s="283"/>
      <c r="F32" s="283"/>
      <c r="G32" s="283"/>
      <c r="H32" s="283"/>
      <c r="I32" s="283"/>
      <c r="J32" s="283"/>
      <c r="K32" s="283">
        <v>704940.06568</v>
      </c>
      <c r="L32" s="283"/>
      <c r="M32" s="283"/>
      <c r="N32" s="283"/>
      <c r="O32" s="283">
        <v>704940.06568</v>
      </c>
      <c r="P32" s="283"/>
      <c r="Q32" s="283"/>
      <c r="R32" s="283"/>
      <c r="S32" s="283"/>
      <c r="T32" s="283">
        <v>704940.06568</v>
      </c>
      <c r="U32" s="283"/>
      <c r="V32" s="283"/>
      <c r="W32" s="283">
        <v>-704940.06568</v>
      </c>
    </row>
    <row r="33" spans="1:23" x14ac:dyDescent="0.25">
      <c r="A33" s="282" t="s">
        <v>1327</v>
      </c>
      <c r="B33" s="283">
        <v>0</v>
      </c>
      <c r="C33" s="283">
        <v>0</v>
      </c>
      <c r="D33" s="283">
        <v>0</v>
      </c>
      <c r="E33" s="283">
        <v>0</v>
      </c>
      <c r="F33" s="283">
        <v>122978.27</v>
      </c>
      <c r="G33" s="283">
        <v>122978.27</v>
      </c>
      <c r="H33" s="283">
        <v>6704.25</v>
      </c>
      <c r="I33" s="283">
        <v>3034.73</v>
      </c>
      <c r="J33" s="283">
        <v>0</v>
      </c>
      <c r="K33" s="283">
        <v>301.10000000000002</v>
      </c>
      <c r="L33" s="283">
        <v>517.15</v>
      </c>
      <c r="M33" s="283"/>
      <c r="N33" s="283">
        <v>0</v>
      </c>
      <c r="O33" s="283">
        <v>818.25</v>
      </c>
      <c r="P33" s="283">
        <v>73564.749999999985</v>
      </c>
      <c r="Q33" s="283">
        <v>0</v>
      </c>
      <c r="R33" s="283">
        <v>423.06</v>
      </c>
      <c r="S33" s="283">
        <v>8942.4399999999987</v>
      </c>
      <c r="T33" s="283">
        <v>94417.879999999976</v>
      </c>
      <c r="U33" s="283">
        <v>930.39999999999986</v>
      </c>
      <c r="V33" s="283">
        <v>0</v>
      </c>
      <c r="W33" s="283">
        <v>28560.390000000014</v>
      </c>
    </row>
    <row r="34" spans="1:23" x14ac:dyDescent="0.25">
      <c r="A34" s="282" t="s">
        <v>569</v>
      </c>
      <c r="B34" s="283"/>
      <c r="C34" s="283">
        <v>0</v>
      </c>
      <c r="D34" s="283"/>
      <c r="E34" s="283"/>
      <c r="F34" s="283"/>
      <c r="G34" s="283"/>
      <c r="H34" s="283"/>
      <c r="I34" s="283"/>
      <c r="J34" s="283"/>
      <c r="K34" s="283">
        <v>327218.36479999992</v>
      </c>
      <c r="L34" s="283"/>
      <c r="M34" s="283"/>
      <c r="N34" s="283"/>
      <c r="O34" s="283">
        <v>327218.36479999992</v>
      </c>
      <c r="P34" s="283"/>
      <c r="Q34" s="283"/>
      <c r="R34" s="283"/>
      <c r="S34" s="283"/>
      <c r="T34" s="283">
        <v>327218.36479999992</v>
      </c>
      <c r="U34" s="283"/>
      <c r="V34" s="283"/>
      <c r="W34" s="283">
        <v>-327218.36479999992</v>
      </c>
    </row>
    <row r="35" spans="1:23" x14ac:dyDescent="0.25">
      <c r="A35" s="282" t="s">
        <v>1328</v>
      </c>
      <c r="B35" s="283"/>
      <c r="C35" s="283">
        <v>0</v>
      </c>
      <c r="D35" s="283"/>
      <c r="E35" s="283"/>
      <c r="F35" s="283"/>
      <c r="G35" s="283"/>
      <c r="H35" s="283"/>
      <c r="I35" s="283"/>
      <c r="J35" s="283"/>
      <c r="K35" s="283">
        <v>1676417.358254964</v>
      </c>
      <c r="L35" s="283"/>
      <c r="M35" s="283"/>
      <c r="N35" s="283"/>
      <c r="O35" s="283">
        <v>1676417.358254964</v>
      </c>
      <c r="P35" s="283"/>
      <c r="Q35" s="283"/>
      <c r="R35" s="283"/>
      <c r="S35" s="283"/>
      <c r="T35" s="283">
        <v>1676417.358254964</v>
      </c>
      <c r="U35" s="283"/>
      <c r="V35" s="283"/>
      <c r="W35" s="283">
        <v>-1676417.358254964</v>
      </c>
    </row>
    <row r="36" spans="1:23" x14ac:dyDescent="0.25">
      <c r="A36" s="282" t="s">
        <v>571</v>
      </c>
      <c r="B36" s="283">
        <v>0</v>
      </c>
      <c r="C36" s="283">
        <v>0</v>
      </c>
      <c r="D36" s="283">
        <v>0</v>
      </c>
      <c r="E36" s="283">
        <v>0</v>
      </c>
      <c r="F36" s="283">
        <v>0</v>
      </c>
      <c r="G36" s="283">
        <v>0</v>
      </c>
      <c r="H36" s="283">
        <v>0</v>
      </c>
      <c r="I36" s="283">
        <v>0</v>
      </c>
      <c r="J36" s="283">
        <v>0</v>
      </c>
      <c r="K36" s="283">
        <v>1845783.9781200001</v>
      </c>
      <c r="L36" s="283">
        <v>0</v>
      </c>
      <c r="M36" s="283"/>
      <c r="N36" s="283">
        <v>0</v>
      </c>
      <c r="O36" s="283">
        <v>1845783.9781200001</v>
      </c>
      <c r="P36" s="283">
        <v>17669.960000000003</v>
      </c>
      <c r="Q36" s="283">
        <v>84.37</v>
      </c>
      <c r="R36" s="283">
        <v>8898.6200000000008</v>
      </c>
      <c r="S36" s="283">
        <v>19992.489999999998</v>
      </c>
      <c r="T36" s="283">
        <v>1893980.11812</v>
      </c>
      <c r="U36" s="283">
        <v>1550.6999999999998</v>
      </c>
      <c r="V36" s="283">
        <v>0</v>
      </c>
      <c r="W36" s="283">
        <v>-1893980.11812</v>
      </c>
    </row>
    <row r="37" spans="1:23" x14ac:dyDescent="0.25">
      <c r="A37" s="282" t="s">
        <v>1329</v>
      </c>
      <c r="B37" s="283">
        <v>0</v>
      </c>
      <c r="C37" s="283">
        <v>0</v>
      </c>
      <c r="D37" s="283">
        <v>0</v>
      </c>
      <c r="E37" s="283">
        <v>0</v>
      </c>
      <c r="F37" s="283">
        <v>61.83</v>
      </c>
      <c r="G37" s="283">
        <v>61.83</v>
      </c>
      <c r="H37" s="283">
        <v>1689295.35</v>
      </c>
      <c r="I37" s="283">
        <v>377925.04</v>
      </c>
      <c r="J37" s="283">
        <v>0</v>
      </c>
      <c r="K37" s="283">
        <v>2438718.9436894194</v>
      </c>
      <c r="L37" s="283">
        <v>5296.2199999999993</v>
      </c>
      <c r="M37" s="283"/>
      <c r="N37" s="283">
        <v>0</v>
      </c>
      <c r="O37" s="283">
        <v>2444015.1636894196</v>
      </c>
      <c r="P37" s="283">
        <v>98404.800000000003</v>
      </c>
      <c r="Q37" s="283">
        <v>124.91</v>
      </c>
      <c r="R37" s="283">
        <v>75889.63</v>
      </c>
      <c r="S37" s="283">
        <v>859444.37</v>
      </c>
      <c r="T37" s="283">
        <v>5665323.6636894206</v>
      </c>
      <c r="U37" s="283">
        <v>120224.4</v>
      </c>
      <c r="V37" s="283">
        <v>0</v>
      </c>
      <c r="W37" s="283">
        <v>-5665261.8336894205</v>
      </c>
    </row>
    <row r="38" spans="1:23" x14ac:dyDescent="0.25">
      <c r="A38" s="282" t="s">
        <v>574</v>
      </c>
      <c r="B38" s="283"/>
      <c r="C38" s="283">
        <v>0</v>
      </c>
      <c r="D38" s="283"/>
      <c r="E38" s="283"/>
      <c r="F38" s="283"/>
      <c r="G38" s="283"/>
      <c r="H38" s="283"/>
      <c r="I38" s="283"/>
      <c r="J38" s="283"/>
      <c r="K38" s="283">
        <v>193367.18455999999</v>
      </c>
      <c r="L38" s="283"/>
      <c r="M38" s="283"/>
      <c r="N38" s="283"/>
      <c r="O38" s="283">
        <v>193367.18455999999</v>
      </c>
      <c r="P38" s="283"/>
      <c r="Q38" s="283"/>
      <c r="R38" s="283"/>
      <c r="S38" s="283"/>
      <c r="T38" s="283">
        <v>193367.18455999999</v>
      </c>
      <c r="U38" s="283"/>
      <c r="V38" s="283"/>
      <c r="W38" s="283">
        <v>-193367.18455999999</v>
      </c>
    </row>
    <row r="39" spans="1:23" x14ac:dyDescent="0.25">
      <c r="A39" s="282" t="s">
        <v>1330</v>
      </c>
      <c r="B39" s="283"/>
      <c r="C39" s="283">
        <v>0</v>
      </c>
      <c r="D39" s="283"/>
      <c r="E39" s="283"/>
      <c r="F39" s="283"/>
      <c r="G39" s="283"/>
      <c r="H39" s="283"/>
      <c r="I39" s="283"/>
      <c r="J39" s="283"/>
      <c r="K39" s="283">
        <v>1019053.60304</v>
      </c>
      <c r="L39" s="283"/>
      <c r="M39" s="283"/>
      <c r="N39" s="283"/>
      <c r="O39" s="283">
        <v>1019053.60304</v>
      </c>
      <c r="P39" s="283"/>
      <c r="Q39" s="283"/>
      <c r="R39" s="283"/>
      <c r="S39" s="283"/>
      <c r="T39" s="283">
        <v>1019053.60304</v>
      </c>
      <c r="U39" s="283"/>
      <c r="V39" s="283"/>
      <c r="W39" s="283">
        <v>-1019053.60304</v>
      </c>
    </row>
    <row r="40" spans="1:23" x14ac:dyDescent="0.25">
      <c r="A40" s="282" t="s">
        <v>577</v>
      </c>
      <c r="B40" s="283">
        <v>0</v>
      </c>
      <c r="C40" s="283">
        <v>0</v>
      </c>
      <c r="D40" s="283">
        <v>0</v>
      </c>
      <c r="E40" s="283">
        <v>0</v>
      </c>
      <c r="F40" s="283">
        <v>0</v>
      </c>
      <c r="G40" s="283">
        <v>0</v>
      </c>
      <c r="H40" s="283">
        <v>0</v>
      </c>
      <c r="I40" s="283">
        <v>21.429999999937991</v>
      </c>
      <c r="J40" s="283">
        <v>0</v>
      </c>
      <c r="K40" s="283">
        <v>404154.83756000001</v>
      </c>
      <c r="L40" s="283">
        <v>0</v>
      </c>
      <c r="M40" s="283"/>
      <c r="N40" s="283">
        <v>0</v>
      </c>
      <c r="O40" s="283">
        <v>404154.83756000001</v>
      </c>
      <c r="P40" s="283">
        <v>0</v>
      </c>
      <c r="Q40" s="283">
        <v>0</v>
      </c>
      <c r="R40" s="283">
        <v>0</v>
      </c>
      <c r="S40" s="283">
        <v>0</v>
      </c>
      <c r="T40" s="283">
        <v>404176.26755999995</v>
      </c>
      <c r="U40" s="283">
        <v>0</v>
      </c>
      <c r="V40" s="283">
        <v>0</v>
      </c>
      <c r="W40" s="283">
        <v>-404176.26755999995</v>
      </c>
    </row>
    <row r="41" spans="1:23" x14ac:dyDescent="0.25">
      <c r="A41" s="282" t="s">
        <v>1331</v>
      </c>
      <c r="B41" s="283"/>
      <c r="C41" s="283">
        <v>0</v>
      </c>
      <c r="D41" s="283"/>
      <c r="E41" s="283"/>
      <c r="F41" s="283"/>
      <c r="G41" s="283"/>
      <c r="H41" s="283"/>
      <c r="I41" s="283"/>
      <c r="J41" s="283"/>
      <c r="K41" s="283">
        <v>53429.914439999986</v>
      </c>
      <c r="L41" s="283"/>
      <c r="M41" s="283"/>
      <c r="N41" s="283"/>
      <c r="O41" s="283">
        <v>53429.914439999986</v>
      </c>
      <c r="P41" s="283"/>
      <c r="Q41" s="283"/>
      <c r="R41" s="283"/>
      <c r="S41" s="283"/>
      <c r="T41" s="283">
        <v>53429.914439999986</v>
      </c>
      <c r="U41" s="283"/>
      <c r="V41" s="283"/>
      <c r="W41" s="283">
        <v>-53429.914439999986</v>
      </c>
    </row>
    <row r="42" spans="1:23" x14ac:dyDescent="0.25">
      <c r="A42" s="282" t="s">
        <v>1332</v>
      </c>
      <c r="B42" s="283"/>
      <c r="C42" s="283">
        <v>0</v>
      </c>
      <c r="D42" s="283"/>
      <c r="E42" s="283"/>
      <c r="F42" s="283"/>
      <c r="G42" s="283"/>
      <c r="H42" s="283"/>
      <c r="I42" s="283"/>
      <c r="J42" s="283"/>
      <c r="K42" s="283">
        <v>91478.531639999987</v>
      </c>
      <c r="L42" s="283"/>
      <c r="M42" s="283"/>
      <c r="N42" s="283"/>
      <c r="O42" s="283">
        <v>91478.531639999987</v>
      </c>
      <c r="P42" s="283"/>
      <c r="Q42" s="283"/>
      <c r="R42" s="283"/>
      <c r="S42" s="283"/>
      <c r="T42" s="283">
        <v>91478.531639999987</v>
      </c>
      <c r="U42" s="283"/>
      <c r="V42" s="283"/>
      <c r="W42" s="283">
        <v>-91478.531639999987</v>
      </c>
    </row>
    <row r="43" spans="1:23" x14ac:dyDescent="0.25">
      <c r="A43" s="282" t="s">
        <v>579</v>
      </c>
      <c r="B43" s="283"/>
      <c r="C43" s="283">
        <v>0</v>
      </c>
      <c r="D43" s="283"/>
      <c r="E43" s="283"/>
      <c r="F43" s="283"/>
      <c r="G43" s="283"/>
      <c r="H43" s="283"/>
      <c r="I43" s="283"/>
      <c r="J43" s="283"/>
      <c r="K43" s="283">
        <v>31867.568360000008</v>
      </c>
      <c r="L43" s="283"/>
      <c r="M43" s="283"/>
      <c r="N43" s="283"/>
      <c r="O43" s="283">
        <v>31867.568360000008</v>
      </c>
      <c r="P43" s="283"/>
      <c r="Q43" s="283"/>
      <c r="R43" s="283"/>
      <c r="S43" s="283"/>
      <c r="T43" s="283">
        <v>31867.568360000008</v>
      </c>
      <c r="U43" s="283"/>
      <c r="V43" s="283"/>
      <c r="W43" s="283">
        <v>-31867.568360000008</v>
      </c>
    </row>
    <row r="44" spans="1:23" x14ac:dyDescent="0.25">
      <c r="A44" s="282" t="s">
        <v>580</v>
      </c>
      <c r="B44" s="283"/>
      <c r="C44" s="283">
        <v>0</v>
      </c>
      <c r="D44" s="283"/>
      <c r="E44" s="283"/>
      <c r="F44" s="283"/>
      <c r="G44" s="283"/>
      <c r="H44" s="283"/>
      <c r="I44" s="283"/>
      <c r="J44" s="283"/>
      <c r="K44" s="283">
        <v>2395212.8505677478</v>
      </c>
      <c r="L44" s="283"/>
      <c r="M44" s="283"/>
      <c r="N44" s="283"/>
      <c r="O44" s="283">
        <v>2395212.8505677478</v>
      </c>
      <c r="P44" s="283"/>
      <c r="Q44" s="283"/>
      <c r="R44" s="283"/>
      <c r="S44" s="283"/>
      <c r="T44" s="283">
        <v>2395212.8505677478</v>
      </c>
      <c r="U44" s="283"/>
      <c r="V44" s="283"/>
      <c r="W44" s="283">
        <v>-2395212.8505677478</v>
      </c>
    </row>
    <row r="45" spans="1:23" x14ac:dyDescent="0.25">
      <c r="A45" s="282" t="s">
        <v>581</v>
      </c>
      <c r="B45" s="283"/>
      <c r="C45" s="283">
        <v>0</v>
      </c>
      <c r="D45" s="283"/>
      <c r="E45" s="283"/>
      <c r="F45" s="283"/>
      <c r="G45" s="283"/>
      <c r="H45" s="283"/>
      <c r="I45" s="283"/>
      <c r="J45" s="283"/>
      <c r="K45" s="283">
        <v>467174.57398737996</v>
      </c>
      <c r="L45" s="283"/>
      <c r="M45" s="283"/>
      <c r="N45" s="283"/>
      <c r="O45" s="283">
        <v>467174.57398737996</v>
      </c>
      <c r="P45" s="283"/>
      <c r="Q45" s="283"/>
      <c r="R45" s="283"/>
      <c r="S45" s="283"/>
      <c r="T45" s="283">
        <v>467174.57398737996</v>
      </c>
      <c r="U45" s="283"/>
      <c r="V45" s="283"/>
      <c r="W45" s="283">
        <v>-467174.57398737996</v>
      </c>
    </row>
    <row r="46" spans="1:23" x14ac:dyDescent="0.25">
      <c r="A46" s="282" t="s">
        <v>1333</v>
      </c>
      <c r="B46" s="283"/>
      <c r="C46" s="283">
        <v>0</v>
      </c>
      <c r="D46" s="283"/>
      <c r="E46" s="283"/>
      <c r="F46" s="283"/>
      <c r="G46" s="283"/>
      <c r="H46" s="283"/>
      <c r="I46" s="283"/>
      <c r="J46" s="283"/>
      <c r="K46" s="283">
        <v>794764.12691334391</v>
      </c>
      <c r="L46" s="283"/>
      <c r="M46" s="283"/>
      <c r="N46" s="283"/>
      <c r="O46" s="283">
        <v>794764.12691334391</v>
      </c>
      <c r="P46" s="283"/>
      <c r="Q46" s="283"/>
      <c r="R46" s="283"/>
      <c r="S46" s="283"/>
      <c r="T46" s="283">
        <v>794764.12691334391</v>
      </c>
      <c r="U46" s="283"/>
      <c r="V46" s="283"/>
      <c r="W46" s="283">
        <v>-794764.12691334391</v>
      </c>
    </row>
    <row r="47" spans="1:23" x14ac:dyDescent="0.25">
      <c r="A47" s="282" t="s">
        <v>1334</v>
      </c>
      <c r="B47" s="283">
        <v>0</v>
      </c>
      <c r="C47" s="283">
        <v>0</v>
      </c>
      <c r="D47" s="283">
        <v>0</v>
      </c>
      <c r="E47" s="283">
        <v>0</v>
      </c>
      <c r="F47" s="283">
        <v>0</v>
      </c>
      <c r="G47" s="283">
        <v>0</v>
      </c>
      <c r="H47" s="283">
        <v>1197675.1099999996</v>
      </c>
      <c r="I47" s="283">
        <v>288224.64000000001</v>
      </c>
      <c r="J47" s="283">
        <v>0</v>
      </c>
      <c r="K47" s="283">
        <v>85825.63</v>
      </c>
      <c r="L47" s="283">
        <v>0</v>
      </c>
      <c r="M47" s="283"/>
      <c r="N47" s="283">
        <v>0</v>
      </c>
      <c r="O47" s="283">
        <v>85825.63</v>
      </c>
      <c r="P47" s="283">
        <v>1246.93</v>
      </c>
      <c r="Q47" s="283">
        <v>592.17999999999995</v>
      </c>
      <c r="R47" s="283">
        <v>402.06</v>
      </c>
      <c r="S47" s="283">
        <v>1605.39</v>
      </c>
      <c r="T47" s="283">
        <v>1576066.85</v>
      </c>
      <c r="U47" s="283">
        <v>494.90999999999997</v>
      </c>
      <c r="V47" s="283">
        <v>0</v>
      </c>
      <c r="W47" s="283">
        <v>-1576066.85</v>
      </c>
    </row>
    <row r="48" spans="1:23" x14ac:dyDescent="0.25">
      <c r="A48" s="282" t="s">
        <v>1335</v>
      </c>
      <c r="B48" s="283">
        <v>0</v>
      </c>
      <c r="C48" s="283">
        <v>0</v>
      </c>
      <c r="D48" s="283">
        <v>0</v>
      </c>
      <c r="E48" s="283">
        <v>0</v>
      </c>
      <c r="F48" s="283">
        <v>0</v>
      </c>
      <c r="G48" s="283">
        <v>0</v>
      </c>
      <c r="H48" s="283">
        <v>182183.72000000003</v>
      </c>
      <c r="I48" s="283">
        <v>42484.179999999993</v>
      </c>
      <c r="J48" s="283">
        <v>0</v>
      </c>
      <c r="K48" s="283">
        <v>282822.08928000001</v>
      </c>
      <c r="L48" s="283">
        <v>0</v>
      </c>
      <c r="M48" s="283"/>
      <c r="N48" s="283">
        <v>0</v>
      </c>
      <c r="O48" s="283">
        <v>282822.08928000001</v>
      </c>
      <c r="P48" s="283">
        <v>0</v>
      </c>
      <c r="Q48" s="283">
        <v>0</v>
      </c>
      <c r="R48" s="283">
        <v>0</v>
      </c>
      <c r="S48" s="283">
        <v>0</v>
      </c>
      <c r="T48" s="283">
        <v>507489.98927999998</v>
      </c>
      <c r="U48" s="283">
        <v>0</v>
      </c>
      <c r="V48" s="283">
        <v>0</v>
      </c>
      <c r="W48" s="283">
        <v>-507489.98927999998</v>
      </c>
    </row>
    <row r="49" spans="1:23" x14ac:dyDescent="0.25">
      <c r="A49" s="282" t="s">
        <v>1336</v>
      </c>
      <c r="B49" s="283"/>
      <c r="C49" s="283">
        <v>0</v>
      </c>
      <c r="D49" s="283"/>
      <c r="E49" s="283"/>
      <c r="F49" s="283"/>
      <c r="G49" s="283"/>
      <c r="H49" s="283"/>
      <c r="I49" s="283"/>
      <c r="J49" s="283"/>
      <c r="K49" s="283">
        <v>34213.396519999995</v>
      </c>
      <c r="L49" s="283"/>
      <c r="M49" s="283"/>
      <c r="N49" s="283"/>
      <c r="O49" s="283">
        <v>34213.396519999995</v>
      </c>
      <c r="P49" s="283"/>
      <c r="Q49" s="283"/>
      <c r="R49" s="283"/>
      <c r="S49" s="283"/>
      <c r="T49" s="283">
        <v>34213.396519999995</v>
      </c>
      <c r="U49" s="283"/>
      <c r="V49" s="283"/>
      <c r="W49" s="283">
        <v>-34213.396519999995</v>
      </c>
    </row>
    <row r="50" spans="1:23" x14ac:dyDescent="0.25">
      <c r="A50" s="282" t="s">
        <v>1337</v>
      </c>
      <c r="B50" s="283">
        <v>0</v>
      </c>
      <c r="C50" s="283">
        <v>0</v>
      </c>
      <c r="D50" s="283">
        <v>0</v>
      </c>
      <c r="E50" s="283">
        <v>372031.82</v>
      </c>
      <c r="F50" s="283">
        <v>0</v>
      </c>
      <c r="G50" s="283">
        <v>372031.82</v>
      </c>
      <c r="H50" s="283">
        <v>16385.38</v>
      </c>
      <c r="I50" s="283">
        <v>3583.2400000000007</v>
      </c>
      <c r="J50" s="283">
        <v>0</v>
      </c>
      <c r="K50" s="283">
        <v>512482.47766289598</v>
      </c>
      <c r="L50" s="283">
        <v>0</v>
      </c>
      <c r="M50" s="283"/>
      <c r="N50" s="283">
        <v>0</v>
      </c>
      <c r="O50" s="283">
        <v>512482.47766289598</v>
      </c>
      <c r="P50" s="283">
        <v>16.989999999999998</v>
      </c>
      <c r="Q50" s="283">
        <v>0</v>
      </c>
      <c r="R50" s="283">
        <v>0</v>
      </c>
      <c r="S50" s="283">
        <v>0</v>
      </c>
      <c r="T50" s="283">
        <v>532468.08766289602</v>
      </c>
      <c r="U50" s="283">
        <v>0</v>
      </c>
      <c r="V50" s="283">
        <v>0</v>
      </c>
      <c r="W50" s="283">
        <v>-161202.58766289591</v>
      </c>
    </row>
    <row r="51" spans="1:23" x14ac:dyDescent="0.25">
      <c r="A51" s="282" t="s">
        <v>1338</v>
      </c>
      <c r="B51" s="283">
        <v>-254612.5</v>
      </c>
      <c r="C51" s="283">
        <v>193119.57</v>
      </c>
      <c r="D51" s="283">
        <v>-61492.929999999993</v>
      </c>
      <c r="E51" s="283">
        <v>-668182035.7299999</v>
      </c>
      <c r="F51" s="283">
        <v>39008.050000000003</v>
      </c>
      <c r="G51" s="283">
        <v>-668143027.67999995</v>
      </c>
      <c r="H51" s="283">
        <v>61900</v>
      </c>
      <c r="I51" s="283">
        <v>0</v>
      </c>
      <c r="J51" s="283">
        <v>2935839.31</v>
      </c>
      <c r="K51" s="283">
        <v>8127504.7792106848</v>
      </c>
      <c r="L51" s="283">
        <v>11099.97</v>
      </c>
      <c r="M51" s="283">
        <v>1397148</v>
      </c>
      <c r="N51" s="283">
        <v>0</v>
      </c>
      <c r="O51" s="283">
        <v>9535752.7492106855</v>
      </c>
      <c r="P51" s="283">
        <v>47196.87000000001</v>
      </c>
      <c r="Q51" s="283">
        <v>0</v>
      </c>
      <c r="R51" s="283">
        <v>-38076.269999999975</v>
      </c>
      <c r="S51" s="283">
        <v>3474932.1300000008</v>
      </c>
      <c r="T51" s="283">
        <v>22851362.23921068</v>
      </c>
      <c r="U51" s="283">
        <v>4851455.7299999995</v>
      </c>
      <c r="V51" s="283">
        <v>115162.7999999997</v>
      </c>
      <c r="W51" s="283">
        <v>-690860327.1192106</v>
      </c>
    </row>
    <row r="52" spans="1:23" x14ac:dyDescent="0.25">
      <c r="A52" s="282" t="s">
        <v>1339</v>
      </c>
      <c r="B52" s="283">
        <v>368866363.00999999</v>
      </c>
      <c r="C52" s="296">
        <v>514688704.91000003</v>
      </c>
      <c r="D52" s="283">
        <v>883555067.91999984</v>
      </c>
      <c r="E52" s="283">
        <v>180753386.1099999</v>
      </c>
      <c r="F52" s="283">
        <v>8262923.6800000006</v>
      </c>
      <c r="G52" s="283">
        <v>189016309.78999972</v>
      </c>
      <c r="H52" s="283">
        <v>69556966.86999999</v>
      </c>
      <c r="I52" s="283">
        <v>15636201.999999998</v>
      </c>
      <c r="J52" s="283">
        <v>6792352.7199999997</v>
      </c>
      <c r="K52" s="283">
        <v>33487162.529999994</v>
      </c>
      <c r="L52" s="283">
        <v>1249763.21</v>
      </c>
      <c r="M52" s="283">
        <v>1568393.8599999999</v>
      </c>
      <c r="N52" s="283">
        <v>22279.37</v>
      </c>
      <c r="O52" s="283">
        <v>36327598.969999999</v>
      </c>
      <c r="P52" s="283">
        <v>27170280.939999994</v>
      </c>
      <c r="Q52" s="283">
        <v>1304921.55</v>
      </c>
      <c r="R52" s="283">
        <v>3912005.04</v>
      </c>
      <c r="S52" s="283">
        <v>12756247.26</v>
      </c>
      <c r="T52" s="283">
        <v>186189197.74000007</v>
      </c>
      <c r="U52" s="283">
        <v>10162308.620000001</v>
      </c>
      <c r="V52" s="283">
        <v>-87373.090000000317</v>
      </c>
      <c r="W52" s="283">
        <v>2757872.6400001049</v>
      </c>
    </row>
    <row r="53" spans="1:23" x14ac:dyDescent="0.25">
      <c r="B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1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5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St. Anthony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H-209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11567 Canterwood Blvd.N.W.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11567 Canterwood Blvd.N.W.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Gig Harbor, WA 98322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06/30/2019.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06/30/2019</v>
      </c>
      <c r="C4" s="38"/>
      <c r="D4" s="120"/>
      <c r="E4" s="70"/>
      <c r="F4" s="127" t="str">
        <f>"License Number:  "&amp;"H-"&amp;FIXED(data!C83,0)</f>
        <v>License Number:  H-209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St. Anthony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Pierce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Ketul Patel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Mike Fitzgerald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Roy Brooks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253-530-2000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253-530-2000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5254</v>
      </c>
      <c r="G23" s="21">
        <f>data!D111</f>
        <v>25207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16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96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112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112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St. Anthony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06/30/2019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3230</v>
      </c>
      <c r="C7" s="48">
        <f>data!B139</f>
        <v>16140</v>
      </c>
      <c r="D7" s="48">
        <f>data!B140</f>
        <v>0</v>
      </c>
      <c r="E7" s="48">
        <f>data!B141</f>
        <v>225888332.31</v>
      </c>
      <c r="F7" s="48">
        <f>data!B142</f>
        <v>204513945.12</v>
      </c>
      <c r="G7" s="48">
        <f>data!B141+data!B142</f>
        <v>430402277.43000001</v>
      </c>
    </row>
    <row r="8" spans="1:13" ht="20.100000000000001" customHeight="1" x14ac:dyDescent="0.25">
      <c r="A8" s="23" t="s">
        <v>297</v>
      </c>
      <c r="B8" s="48">
        <f>data!C138</f>
        <v>741</v>
      </c>
      <c r="C8" s="48">
        <f>data!C139</f>
        <v>3764</v>
      </c>
      <c r="D8" s="48">
        <f>data!C140</f>
        <v>0</v>
      </c>
      <c r="E8" s="48">
        <f>data!C141</f>
        <v>50504572.200000003</v>
      </c>
      <c r="F8" s="48">
        <f>data!C142</f>
        <v>79017159.820000008</v>
      </c>
      <c r="G8" s="48">
        <f>data!C141+data!C142</f>
        <v>129521732.02000001</v>
      </c>
    </row>
    <row r="9" spans="1:13" ht="20.100000000000001" customHeight="1" x14ac:dyDescent="0.25">
      <c r="A9" s="23" t="s">
        <v>1058</v>
      </c>
      <c r="B9" s="48">
        <f>data!D138</f>
        <v>1283</v>
      </c>
      <c r="C9" s="48">
        <f>data!D139</f>
        <v>5303</v>
      </c>
      <c r="D9" s="48">
        <f>data!D140</f>
        <v>0</v>
      </c>
      <c r="E9" s="48">
        <f>data!D141</f>
        <v>92473458.5</v>
      </c>
      <c r="F9" s="48">
        <f>data!D142</f>
        <v>231157599.93999997</v>
      </c>
      <c r="G9" s="48">
        <f>data!D141+data!D142</f>
        <v>323631058.43999994</v>
      </c>
    </row>
    <row r="10" spans="1:13" ht="20.100000000000001" customHeight="1" x14ac:dyDescent="0.25">
      <c r="A10" s="111" t="s">
        <v>203</v>
      </c>
      <c r="B10" s="48">
        <f>data!E138</f>
        <v>5254</v>
      </c>
      <c r="C10" s="48">
        <f>data!E139</f>
        <v>25207</v>
      </c>
      <c r="D10" s="48">
        <f>data!E140</f>
        <v>0</v>
      </c>
      <c r="E10" s="48">
        <f>data!E141</f>
        <v>368866363.00999999</v>
      </c>
      <c r="F10" s="48">
        <f>data!E142</f>
        <v>514688704.88</v>
      </c>
      <c r="G10" s="48">
        <f>data!E141+data!E142</f>
        <v>883555067.88999999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St. Anthony Hospital</v>
      </c>
      <c r="B3" s="30"/>
      <c r="C3" s="31" t="str">
        <f>"FYE: "&amp;data!C82</f>
        <v>FYE: 06/30/2019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4430410.9700000007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42586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731516.29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6960737.0300000012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52264.630000000005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3072663.63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346023.03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15636201.580000004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3244453.51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667551.53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3912005.04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1554917.48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175879.32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1730796.8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0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4792033.6399999997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4792033.6399999997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762492.78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762492.78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St. Anthony Hospital</v>
      </c>
      <c r="B3" s="8"/>
      <c r="C3" s="8"/>
      <c r="E3" s="11"/>
      <c r="F3" s="12" t="str">
        <f>" FYE: "&amp;data!C82</f>
        <v xml:space="preserve"> FYE: 06/30/2019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3531776</v>
      </c>
      <c r="D7" s="21">
        <f>data!C195</f>
        <v>0</v>
      </c>
      <c r="E7" s="21">
        <f>data!D195</f>
        <v>0</v>
      </c>
      <c r="F7" s="21">
        <f>data!E195</f>
        <v>3531776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2067270</v>
      </c>
      <c r="D8" s="21">
        <f>data!C196</f>
        <v>0</v>
      </c>
      <c r="E8" s="21">
        <f>data!D196</f>
        <v>0</v>
      </c>
      <c r="F8" s="21">
        <f>data!E196</f>
        <v>2067270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134516969</v>
      </c>
      <c r="D9" s="21">
        <f>data!C197</f>
        <v>0</v>
      </c>
      <c r="E9" s="21">
        <f>data!D197</f>
        <v>0</v>
      </c>
      <c r="F9" s="21">
        <f>data!E197</f>
        <v>134516969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13897123.57</v>
      </c>
      <c r="D10" s="21">
        <f>data!C198</f>
        <v>1962740.1800000002</v>
      </c>
      <c r="E10" s="21">
        <f>data!D198</f>
        <v>0</v>
      </c>
      <c r="F10" s="21">
        <f>data!E198</f>
        <v>15859863.75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1078129.21</v>
      </c>
      <c r="D11" s="21">
        <f>data!C199</f>
        <v>42044.21</v>
      </c>
      <c r="E11" s="21">
        <f>data!D199</f>
        <v>0</v>
      </c>
      <c r="F11" s="21">
        <f>data!E199</f>
        <v>1120173.42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76004854.659999996</v>
      </c>
      <c r="D12" s="21">
        <f>data!C200</f>
        <v>2512412.79</v>
      </c>
      <c r="E12" s="21">
        <f>data!D200</f>
        <v>217473.88999999998</v>
      </c>
      <c r="F12" s="21">
        <f>data!E200</f>
        <v>78299795.560000002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9363251.2200000007</v>
      </c>
      <c r="D14" s="21">
        <f>data!C202</f>
        <v>463489.16000000003</v>
      </c>
      <c r="E14" s="21">
        <f>data!D202</f>
        <v>5621.21</v>
      </c>
      <c r="F14" s="21">
        <f>data!E202</f>
        <v>9821119.1699999999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3286084.82</v>
      </c>
      <c r="D15" s="21">
        <f>data!C203</f>
        <v>-3025675.7</v>
      </c>
      <c r="E15" s="21">
        <f>data!D203</f>
        <v>0</v>
      </c>
      <c r="F15" s="21">
        <f>data!E203</f>
        <v>260409.11999999965</v>
      </c>
      <c r="M15" s="265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243745458.47999999</v>
      </c>
      <c r="D16" s="21">
        <f>data!C204</f>
        <v>1955010.6399999997</v>
      </c>
      <c r="E16" s="21">
        <f>data!D204</f>
        <v>223095.09999999998</v>
      </c>
      <c r="F16" s="21">
        <f>data!E204</f>
        <v>245477376.01999998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720337</v>
      </c>
      <c r="D24" s="21">
        <f>data!C209</f>
        <v>86929.33</v>
      </c>
      <c r="E24" s="21">
        <f>data!D209</f>
        <v>0</v>
      </c>
      <c r="F24" s="21">
        <f>data!E209</f>
        <v>807266.33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48950514</v>
      </c>
      <c r="D25" s="21">
        <f>data!C210</f>
        <v>4222037.37</v>
      </c>
      <c r="E25" s="21">
        <f>data!D210</f>
        <v>0</v>
      </c>
      <c r="F25" s="21">
        <f>data!E210</f>
        <v>53172551.369999997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1072153.6200000001</v>
      </c>
      <c r="D26" s="21">
        <f>data!C211</f>
        <v>1068081.79</v>
      </c>
      <c r="E26" s="21">
        <f>data!D211</f>
        <v>0</v>
      </c>
      <c r="F26" s="21">
        <f>data!E211</f>
        <v>2140235.41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693523.73</v>
      </c>
      <c r="D27" s="21">
        <f>data!C212</f>
        <v>68503.05</v>
      </c>
      <c r="E27" s="21">
        <f>data!D212</f>
        <v>0</v>
      </c>
      <c r="F27" s="21">
        <f>data!E212</f>
        <v>762026.78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55686074.780000001</v>
      </c>
      <c r="D28" s="21">
        <f>data!C213</f>
        <v>6408033.4699999997</v>
      </c>
      <c r="E28" s="21">
        <f>data!D213</f>
        <v>9011.5299999999988</v>
      </c>
      <c r="F28" s="21">
        <f>data!E213</f>
        <v>62085096.719999999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6063691.1299999999</v>
      </c>
      <c r="D30" s="21">
        <f>data!C215</f>
        <v>902661.77</v>
      </c>
      <c r="E30" s="21">
        <f>data!D215</f>
        <v>-1004</v>
      </c>
      <c r="F30" s="21">
        <f>data!E215</f>
        <v>6967356.9000000004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113186294.25999999</v>
      </c>
      <c r="D32" s="21">
        <f>data!C217</f>
        <v>12756246.779999999</v>
      </c>
      <c r="E32" s="21">
        <f>data!D217</f>
        <v>8007.5299999999988</v>
      </c>
      <c r="F32" s="21">
        <f>data!E217</f>
        <v>125934533.51000001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St. Anthony Hospital</v>
      </c>
      <c r="B2" s="30"/>
      <c r="C2" s="30"/>
      <c r="D2" s="31" t="str">
        <f>"FYE: "&amp;data!C82</f>
        <v>FYE: 06/30/2019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5026728.3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365587201.82000005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112273714.81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205281749.19999999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683142665.83000004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2875</v>
      </c>
      <c r="M16" s="265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2410737.52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4023959.8200000003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6434697.3399999999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1">
        <v>20</v>
      </c>
      <c r="B24" s="55">
        <v>5970</v>
      </c>
      <c r="C24" s="14" t="s">
        <v>357</v>
      </c>
      <c r="D24" s="14">
        <f>data!C238</f>
        <v>8197590.3399999999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702801681.81000006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St. Anthony Hospital</v>
      </c>
      <c r="B3" s="30"/>
      <c r="C3" s="31" t="str">
        <f>" FYE: "&amp;data!C82</f>
        <v xml:space="preserve"> FYE: 06/30/2019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-72187.25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108469307.3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86008373.980000004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1592058.4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3736244.1599999997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237054.42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5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27954103.049999993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3531776.4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2067269.5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134516969.13999999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15859863.65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1120173.95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78299793.319999993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9821119.3499999996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260409.8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245477375.10999998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125934532.73999999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119542842.36999999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1342420.52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6176.33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1348596.85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1049432.3799999999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96123.36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1145555.74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149991098.00999999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St. Anthony Hospital</v>
      </c>
      <c r="B55" s="30"/>
      <c r="C55" s="31" t="str">
        <f>"FYE: "&amp;data!C82</f>
        <v>FYE: 06/30/2019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1525797.77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5630463.8200000003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6937382.4399999995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2550917.9500000002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966089.12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17610651.100000001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1667120.5999999999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1667120.5999999999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355878.58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956894.10000000009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1312772.6800000002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966089.12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346683.56000000017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130366642.75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130366642.75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149991098.00999999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St. Anthony Hospital</v>
      </c>
      <c r="B107" s="30"/>
      <c r="C107" s="31" t="str">
        <f>" FYE: "&amp;data!C82</f>
        <v xml:space="preserve"> FYE: 06/30/2019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368866363.00999999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514688704.91000003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883555067.92000008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0" t="s">
        <v>450</v>
      </c>
      <c r="C115" s="48">
        <f>data!C363</f>
        <v>5026728.3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683142665.82999992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6434697.3399999999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8197590.3399999999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702801681.80999994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180753386.11000013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8262923.6799999997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8262923.6799999997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189016309.79000014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69556966.870000005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15636202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6792352.7199999997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27170157.09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1304921.55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36327598.969999999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12756247.26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3912005.04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1730796.8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4792033.6399999997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762492.78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5429289.3400000008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186171064.05999997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2845245.7300001681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-87373.09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2757872.6400001682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2757872.6400001682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St. Anthony Hospital</v>
      </c>
      <c r="B4" s="77"/>
      <c r="C4" s="77"/>
      <c r="D4" s="77"/>
      <c r="E4" s="77"/>
      <c r="F4" s="77"/>
      <c r="G4" s="80"/>
      <c r="H4" s="79" t="str">
        <f>"FYE: "&amp;data!C82</f>
        <v>FYE: 06/30/2019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4655</v>
      </c>
      <c r="D9" s="14">
        <f>data!D59</f>
        <v>0</v>
      </c>
      <c r="E9" s="14">
        <f>data!E59</f>
        <v>20552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42.52</v>
      </c>
      <c r="D10" s="26">
        <f>data!D60</f>
        <v>0</v>
      </c>
      <c r="E10" s="26">
        <f>data!E60</f>
        <v>154.59115865384615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3906231.44</v>
      </c>
      <c r="D11" s="14">
        <f>data!D61</f>
        <v>0</v>
      </c>
      <c r="E11" s="14">
        <f>data!E61</f>
        <v>8899970.879999999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933913</v>
      </c>
      <c r="D12" s="14">
        <f>data!D62</f>
        <v>0</v>
      </c>
      <c r="E12" s="14">
        <f>data!E62</f>
        <v>2181900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829273.22999999986</v>
      </c>
      <c r="D13" s="14">
        <f>data!D63</f>
        <v>0</v>
      </c>
      <c r="E13" s="14">
        <f>data!E63</f>
        <v>46500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422802.39</v>
      </c>
      <c r="D14" s="14">
        <f>data!D64</f>
        <v>0</v>
      </c>
      <c r="E14" s="14">
        <f>data!E64</f>
        <v>617428.3899999999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366.42</v>
      </c>
      <c r="D15" s="14">
        <f>data!D65</f>
        <v>0</v>
      </c>
      <c r="E15" s="14">
        <f>data!E65</f>
        <v>1542.03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4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56410.879999999997</v>
      </c>
      <c r="D16" s="14">
        <f>data!D66</f>
        <v>0</v>
      </c>
      <c r="E16" s="14">
        <f>data!E66</f>
        <v>391064.94435999996</v>
      </c>
      <c r="F16" s="14">
        <f>data!F66</f>
        <v>0</v>
      </c>
      <c r="G16" s="14">
        <f>data!G66</f>
        <v>36414.53284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502153</v>
      </c>
      <c r="D17" s="14">
        <f>data!D67</f>
        <v>0</v>
      </c>
      <c r="E17" s="14">
        <f>data!E67</f>
        <v>1133930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10120.19</v>
      </c>
      <c r="D18" s="14">
        <f>data!D68</f>
        <v>0</v>
      </c>
      <c r="E18" s="14">
        <f>data!E68</f>
        <v>2269.6799999999994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14172.48</v>
      </c>
      <c r="D19" s="14">
        <f>data!D69</f>
        <v>0</v>
      </c>
      <c r="E19" s="14">
        <f>data!E69</f>
        <v>21145.43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-75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6675443.0299999993</v>
      </c>
      <c r="D21" s="14">
        <f>data!D71</f>
        <v>0</v>
      </c>
      <c r="E21" s="14">
        <f>data!E71</f>
        <v>13295676.354359997</v>
      </c>
      <c r="F21" s="14">
        <f>data!F71</f>
        <v>0</v>
      </c>
      <c r="G21" s="14">
        <f>data!G71</f>
        <v>36414.53284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08"/>
      <c r="D22" s="209"/>
      <c r="E22" s="209"/>
      <c r="F22" s="209"/>
      <c r="G22" s="209"/>
      <c r="H22" s="209"/>
      <c r="I22" s="209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2705143</v>
      </c>
      <c r="D23" s="48">
        <f>+data!M669</f>
        <v>0</v>
      </c>
      <c r="E23" s="48">
        <f>+data!M670</f>
        <v>10407880</v>
      </c>
      <c r="F23" s="48">
        <f>+data!M671</f>
        <v>0</v>
      </c>
      <c r="G23" s="48">
        <f>+data!M672</f>
        <v>4219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25778779.219999999</v>
      </c>
      <c r="D24" s="14">
        <f>data!D73</f>
        <v>0</v>
      </c>
      <c r="E24" s="14">
        <f>data!E73</f>
        <v>58131915.720000006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256188.07999999996</v>
      </c>
      <c r="D25" s="14">
        <f>data!D74</f>
        <v>0</v>
      </c>
      <c r="E25" s="14">
        <f>data!E74</f>
        <v>11145320.83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26034967.299999997</v>
      </c>
      <c r="D26" s="14">
        <f>data!D75</f>
        <v>0</v>
      </c>
      <c r="E26" s="14">
        <f>data!E75</f>
        <v>69277236.550000012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09"/>
      <c r="D27" s="209"/>
      <c r="E27" s="209"/>
      <c r="F27" s="209"/>
      <c r="G27" s="209"/>
      <c r="H27" s="209"/>
      <c r="I27" s="209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13914</v>
      </c>
      <c r="D28" s="14">
        <f>data!D76</f>
        <v>0</v>
      </c>
      <c r="E28" s="14">
        <f>data!E76</f>
        <v>83423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10964</v>
      </c>
      <c r="D29" s="14">
        <f>data!D77</f>
        <v>0</v>
      </c>
      <c r="E29" s="14">
        <f>data!E77</f>
        <v>97800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4168.4349914023696</v>
      </c>
      <c r="D30" s="14">
        <f>data!D78</f>
        <v>0</v>
      </c>
      <c r="E30" s="14">
        <f>data!E78</f>
        <v>24992.335222636179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92612</v>
      </c>
      <c r="D31" s="14">
        <f>data!D79</f>
        <v>0</v>
      </c>
      <c r="E31" s="14">
        <f>data!E79</f>
        <v>345918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27.621831730769234</v>
      </c>
      <c r="D32" s="84">
        <f>data!D80</f>
        <v>0</v>
      </c>
      <c r="E32" s="84">
        <f>data!E80</f>
        <v>87.873163461538454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St. Anthony Hospital</v>
      </c>
      <c r="B36" s="77"/>
      <c r="C36" s="77"/>
      <c r="D36" s="77"/>
      <c r="E36" s="77"/>
      <c r="F36" s="77"/>
      <c r="G36" s="80"/>
      <c r="H36" s="79" t="str">
        <f>"FYE: "&amp;data!C82</f>
        <v>FYE: 06/30/2019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526663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35.915456730769236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7564080.6999999993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1842401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1337596.1300000001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12839275.740000002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2976.09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1270538.9141599999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4603322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271736.24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31110.320000000003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-3382.3500000000004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29759654.784159996</v>
      </c>
    </row>
    <row r="54" spans="1:9" ht="20.100000000000001" customHeight="1" x14ac:dyDescent="0.25">
      <c r="A54" s="23">
        <v>17</v>
      </c>
      <c r="B54" s="14" t="s">
        <v>244</v>
      </c>
      <c r="C54" s="209"/>
      <c r="D54" s="209"/>
      <c r="E54" s="209"/>
      <c r="F54" s="209"/>
      <c r="G54" s="209"/>
      <c r="H54" s="209"/>
      <c r="I54" s="209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9231456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101668853.34999999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146007841.93000001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247676695.28</v>
      </c>
    </row>
    <row r="59" spans="1:9" ht="20.100000000000001" customHeight="1" x14ac:dyDescent="0.25">
      <c r="A59" s="23" t="s">
        <v>1185</v>
      </c>
      <c r="B59" s="60"/>
      <c r="C59" s="209"/>
      <c r="D59" s="209"/>
      <c r="E59" s="209"/>
      <c r="F59" s="209"/>
      <c r="G59" s="209"/>
      <c r="H59" s="209"/>
      <c r="I59" s="209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28084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8413.5639139387768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102157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12.931831730769229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St. Anthony Hospital</v>
      </c>
      <c r="B68" s="77"/>
      <c r="C68" s="77"/>
      <c r="D68" s="77"/>
      <c r="E68" s="77"/>
      <c r="F68" s="77"/>
      <c r="G68" s="80"/>
      <c r="H68" s="79" t="str">
        <f>"FYE: "&amp;data!C82</f>
        <v>FYE: 06/30/2019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0"/>
      <c r="F72" s="210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18301</v>
      </c>
      <c r="D73" s="48">
        <f>data!R59</f>
        <v>0</v>
      </c>
      <c r="E73" s="210"/>
      <c r="F73" s="210"/>
      <c r="G73" s="14">
        <f>data!U59</f>
        <v>340068</v>
      </c>
      <c r="H73" s="14">
        <f>data!V59</f>
        <v>0</v>
      </c>
      <c r="I73" s="14">
        <f>data!W59</f>
        <v>3819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24.72447596153846</v>
      </c>
      <c r="D74" s="26">
        <f>data!R60</f>
        <v>0</v>
      </c>
      <c r="E74" s="26">
        <f>data!S60</f>
        <v>15.603336538461537</v>
      </c>
      <c r="F74" s="26">
        <f>data!T60</f>
        <v>5.5740480769230771</v>
      </c>
      <c r="G74" s="26">
        <f>data!U60</f>
        <v>18.863865384615387</v>
      </c>
      <c r="H74" s="26">
        <f>data!V60</f>
        <v>0</v>
      </c>
      <c r="I74" s="26">
        <f>data!W60</f>
        <v>3.7112211538461537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2685241.8699999996</v>
      </c>
      <c r="D75" s="14">
        <f>data!R61</f>
        <v>0</v>
      </c>
      <c r="E75" s="14">
        <f>data!S61</f>
        <v>757895.45</v>
      </c>
      <c r="F75" s="14">
        <f>data!T61</f>
        <v>403961.02000000008</v>
      </c>
      <c r="G75" s="14">
        <f>data!U61</f>
        <v>1319694.6599999999</v>
      </c>
      <c r="H75" s="14">
        <f>data!V61</f>
        <v>0</v>
      </c>
      <c r="I75" s="14">
        <f>data!W61</f>
        <v>373806.95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604691</v>
      </c>
      <c r="D76" s="14">
        <f>data!R62</f>
        <v>0</v>
      </c>
      <c r="E76" s="14">
        <f>data!S62</f>
        <v>266276</v>
      </c>
      <c r="F76" s="14">
        <f>data!T62</f>
        <v>91343</v>
      </c>
      <c r="G76" s="14">
        <f>data!U62</f>
        <v>367586</v>
      </c>
      <c r="H76" s="14">
        <f>data!V62</f>
        <v>0</v>
      </c>
      <c r="I76" s="14">
        <f>data!W62</f>
        <v>86734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15948.03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212004.52999999997</v>
      </c>
      <c r="D78" s="14">
        <f>data!R64</f>
        <v>0</v>
      </c>
      <c r="E78" s="14">
        <f>data!S64</f>
        <v>-118314.37000000017</v>
      </c>
      <c r="F78" s="14">
        <f>data!T64</f>
        <v>191285.38999999998</v>
      </c>
      <c r="G78" s="14">
        <f>data!U64</f>
        <v>1278542.0899999999</v>
      </c>
      <c r="H78" s="14">
        <f>data!V64</f>
        <v>0</v>
      </c>
      <c r="I78" s="14">
        <f>data!W64</f>
        <v>45364.99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878.76</v>
      </c>
      <c r="D79" s="14">
        <f>data!R65</f>
        <v>0</v>
      </c>
      <c r="E79" s="14">
        <f>data!S65</f>
        <v>0</v>
      </c>
      <c r="F79" s="14">
        <f>data!T65</f>
        <v>97.38</v>
      </c>
      <c r="G79" s="14">
        <f>data!U65</f>
        <v>97.38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9158.59</v>
      </c>
      <c r="D80" s="14">
        <f>data!R66</f>
        <v>0</v>
      </c>
      <c r="E80" s="14">
        <f>data!S66</f>
        <v>184478.04191355998</v>
      </c>
      <c r="F80" s="14">
        <f>data!T66</f>
        <v>65548.475439999995</v>
      </c>
      <c r="G80" s="14">
        <f>data!U66</f>
        <v>675989.64</v>
      </c>
      <c r="H80" s="14">
        <f>data!V66</f>
        <v>0</v>
      </c>
      <c r="I80" s="14">
        <f>data!W66</f>
        <v>140589.96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89972</v>
      </c>
      <c r="D81" s="14">
        <f>data!R67</f>
        <v>0</v>
      </c>
      <c r="E81" s="14">
        <f>data!S67</f>
        <v>307527</v>
      </c>
      <c r="F81" s="14">
        <f>data!T67</f>
        <v>14939</v>
      </c>
      <c r="G81" s="14">
        <f>data!U67</f>
        <v>279766</v>
      </c>
      <c r="H81" s="14">
        <f>data!V67</f>
        <v>0</v>
      </c>
      <c r="I81" s="14">
        <f>data!W67</f>
        <v>20121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596.96</v>
      </c>
      <c r="D82" s="14">
        <f>data!R68</f>
        <v>0</v>
      </c>
      <c r="E82" s="14">
        <f>data!S68</f>
        <v>5142.32</v>
      </c>
      <c r="F82" s="14">
        <f>data!T68</f>
        <v>0</v>
      </c>
      <c r="G82" s="14">
        <f>data!U68</f>
        <v>75491.98000000001</v>
      </c>
      <c r="H82" s="14">
        <f>data!V68</f>
        <v>0</v>
      </c>
      <c r="I82" s="14">
        <f>data!W68</f>
        <v>452.13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9684.4699999999993</v>
      </c>
      <c r="D83" s="14">
        <f>data!R69</f>
        <v>0</v>
      </c>
      <c r="E83" s="14">
        <f>data!S69</f>
        <v>63486.590000000004</v>
      </c>
      <c r="F83" s="14">
        <f>data!T69</f>
        <v>6907.28</v>
      </c>
      <c r="G83" s="14">
        <f>data!U69</f>
        <v>76504.91</v>
      </c>
      <c r="H83" s="14">
        <f>data!V69</f>
        <v>0</v>
      </c>
      <c r="I83" s="14">
        <f>data!W69</f>
        <v>171.83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166.95</v>
      </c>
      <c r="F84" s="14">
        <f>-data!T70</f>
        <v>0</v>
      </c>
      <c r="G84" s="14">
        <f>-data!U70</f>
        <v>-86188.63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3612228.1799999992</v>
      </c>
      <c r="D85" s="14">
        <f>data!R71</f>
        <v>0</v>
      </c>
      <c r="E85" s="14">
        <f>data!S71</f>
        <v>1466657.9819135598</v>
      </c>
      <c r="F85" s="14">
        <f>data!T71</f>
        <v>774081.54544000002</v>
      </c>
      <c r="G85" s="14">
        <f>data!U71</f>
        <v>4003432.06</v>
      </c>
      <c r="H85" s="14">
        <f>data!V71</f>
        <v>0</v>
      </c>
      <c r="I85" s="14">
        <f>data!W71</f>
        <v>667240.86</v>
      </c>
    </row>
    <row r="86" spans="1:9" ht="20.100000000000001" customHeight="1" x14ac:dyDescent="0.25">
      <c r="A86" s="23">
        <v>17</v>
      </c>
      <c r="B86" s="14" t="s">
        <v>244</v>
      </c>
      <c r="C86" s="209"/>
      <c r="D86" s="209"/>
      <c r="E86" s="209"/>
      <c r="F86" s="209"/>
      <c r="G86" s="209"/>
      <c r="H86" s="209"/>
      <c r="I86" s="209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1351733</v>
      </c>
      <c r="D87" s="48">
        <f>+data!M683</f>
        <v>0</v>
      </c>
      <c r="E87" s="48">
        <f>+data!M684</f>
        <v>789746</v>
      </c>
      <c r="F87" s="48">
        <f>+data!M685</f>
        <v>245436</v>
      </c>
      <c r="G87" s="48">
        <f>+data!M686</f>
        <v>1678660</v>
      </c>
      <c r="H87" s="48">
        <f>+data!M687</f>
        <v>0</v>
      </c>
      <c r="I87" s="48">
        <f>+data!M688</f>
        <v>420075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4907091.3099999996</v>
      </c>
      <c r="D88" s="14">
        <f>data!R73</f>
        <v>0</v>
      </c>
      <c r="E88" s="14">
        <f>data!S73</f>
        <v>0</v>
      </c>
      <c r="F88" s="14">
        <f>data!T73</f>
        <v>4243670.37</v>
      </c>
      <c r="G88" s="14">
        <f>data!U73</f>
        <v>26186106.489999998</v>
      </c>
      <c r="H88" s="14">
        <f>data!V73</f>
        <v>0</v>
      </c>
      <c r="I88" s="14">
        <f>data!W73</f>
        <v>3778688.01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19318078.82</v>
      </c>
      <c r="D89" s="14">
        <f>data!R74</f>
        <v>0</v>
      </c>
      <c r="E89" s="14">
        <f>data!S74</f>
        <v>0</v>
      </c>
      <c r="F89" s="14">
        <f>data!T74</f>
        <v>429530.19</v>
      </c>
      <c r="G89" s="14">
        <f>data!U74</f>
        <v>16853754.66</v>
      </c>
      <c r="H89" s="14">
        <f>data!V74</f>
        <v>0</v>
      </c>
      <c r="I89" s="14">
        <f>data!W74</f>
        <v>13849239.529999997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24225170.129999999</v>
      </c>
      <c r="D90" s="14">
        <f>data!R75</f>
        <v>0</v>
      </c>
      <c r="E90" s="14">
        <f>data!S75</f>
        <v>0</v>
      </c>
      <c r="F90" s="14">
        <f>data!T75</f>
        <v>4673200.5600000005</v>
      </c>
      <c r="G90" s="14">
        <f>data!U75</f>
        <v>43039861.149999999</v>
      </c>
      <c r="H90" s="14">
        <f>data!V75</f>
        <v>0</v>
      </c>
      <c r="I90" s="14">
        <f>data!W75</f>
        <v>17627927.539999999</v>
      </c>
    </row>
    <row r="91" spans="1:9" ht="20.100000000000001" customHeight="1" x14ac:dyDescent="0.25">
      <c r="A91" s="23" t="s">
        <v>1185</v>
      </c>
      <c r="B91" s="60"/>
      <c r="C91" s="209"/>
      <c r="D91" s="209"/>
      <c r="E91" s="209"/>
      <c r="F91" s="209"/>
      <c r="G91" s="209"/>
      <c r="H91" s="209"/>
      <c r="I91" s="209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3621</v>
      </c>
      <c r="D92" s="14">
        <f>data!R76</f>
        <v>0</v>
      </c>
      <c r="E92" s="14">
        <f>data!S76</f>
        <v>7582</v>
      </c>
      <c r="F92" s="14">
        <f>data!T76</f>
        <v>0</v>
      </c>
      <c r="G92" s="14">
        <f>data!U76</f>
        <v>7295</v>
      </c>
      <c r="H92" s="14">
        <f>data!V76</f>
        <v>0</v>
      </c>
      <c r="I92" s="14">
        <f>data!W76</f>
        <v>1100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1084.7997056107502</v>
      </c>
      <c r="D94" s="14">
        <f>data!R78</f>
        <v>0</v>
      </c>
      <c r="E94" s="14">
        <f>data!S78</f>
        <v>2271.4585385088949</v>
      </c>
      <c r="F94" s="14">
        <f>data!T78</f>
        <v>0</v>
      </c>
      <c r="G94" s="14">
        <f>data!U78</f>
        <v>2185.477451651594</v>
      </c>
      <c r="H94" s="14">
        <f>data!V78</f>
        <v>0</v>
      </c>
      <c r="I94" s="14">
        <f>data!W78</f>
        <v>329.54423534157007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4015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17.361932692307693</v>
      </c>
      <c r="D96" s="84">
        <f>data!R80</f>
        <v>0</v>
      </c>
      <c r="E96" s="84">
        <f>data!S80</f>
        <v>6.0096153846153849E-3</v>
      </c>
      <c r="F96" s="84">
        <f>data!T80</f>
        <v>5.0558557692307691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St. Anthony Hospital</v>
      </c>
      <c r="B100" s="77"/>
      <c r="C100" s="77"/>
      <c r="D100" s="77"/>
      <c r="E100" s="77"/>
      <c r="F100" s="77"/>
      <c r="G100" s="80"/>
      <c r="H100" s="79" t="str">
        <f>"FYE: "&amp;data!C82</f>
        <v>FYE: 06/30/2019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0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15563</v>
      </c>
      <c r="D105" s="14">
        <f>data!Y59</f>
        <v>95539</v>
      </c>
      <c r="E105" s="14">
        <f>data!Z59</f>
        <v>0</v>
      </c>
      <c r="F105" s="14">
        <f>data!AA59</f>
        <v>1601</v>
      </c>
      <c r="G105" s="210"/>
      <c r="H105" s="14">
        <f>data!AC59</f>
        <v>22619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6.2812740384615378</v>
      </c>
      <c r="D106" s="26">
        <f>data!Y60</f>
        <v>20.257798076923081</v>
      </c>
      <c r="E106" s="26">
        <f>data!Z60</f>
        <v>0</v>
      </c>
      <c r="F106" s="26">
        <f>data!AA60</f>
        <v>2.4955913461538461</v>
      </c>
      <c r="G106" s="26">
        <f>data!AB60</f>
        <v>26.926254807692306</v>
      </c>
      <c r="H106" s="26">
        <f>data!AC60</f>
        <v>12.961567307692306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640833.12000000011</v>
      </c>
      <c r="D107" s="14">
        <f>data!Y61</f>
        <v>1830277.5000000002</v>
      </c>
      <c r="E107" s="14">
        <f>data!Z61</f>
        <v>0</v>
      </c>
      <c r="F107" s="14">
        <f>data!AA61</f>
        <v>262789.24</v>
      </c>
      <c r="G107" s="14">
        <f>data!AB61</f>
        <v>2967882.2899999996</v>
      </c>
      <c r="H107" s="14">
        <f>data!AC61</f>
        <v>1121764.7000000002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142607</v>
      </c>
      <c r="D108" s="14">
        <f>data!Y62</f>
        <v>440649</v>
      </c>
      <c r="E108" s="14">
        <f>data!Z62</f>
        <v>0</v>
      </c>
      <c r="F108" s="14">
        <f>data!AA62</f>
        <v>60399</v>
      </c>
      <c r="G108" s="14">
        <f>data!AB62</f>
        <v>655161</v>
      </c>
      <c r="H108" s="14">
        <f>data!AC62</f>
        <v>283763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31323.599999999999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5838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75783.48000000001</v>
      </c>
      <c r="D110" s="14">
        <f>data!Y64</f>
        <v>205491.38</v>
      </c>
      <c r="E110" s="14">
        <f>data!Z64</f>
        <v>0</v>
      </c>
      <c r="F110" s="14">
        <f>data!AA64</f>
        <v>297671.37000000005</v>
      </c>
      <c r="G110" s="14">
        <f>data!AB64</f>
        <v>7485165.7499999991</v>
      </c>
      <c r="H110" s="14">
        <f>data!AC64</f>
        <v>255223.48999999996</v>
      </c>
      <c r="I110" s="14">
        <f>data!AD64</f>
        <v>51010.239999999998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292.14</v>
      </c>
      <c r="E111" s="14">
        <f>data!Z65</f>
        <v>0</v>
      </c>
      <c r="F111" s="14">
        <f>data!AA65</f>
        <v>0</v>
      </c>
      <c r="G111" s="14">
        <f>data!AB65</f>
        <v>292.14</v>
      </c>
      <c r="H111" s="14">
        <f>data!AC65</f>
        <v>500.15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212217.84</v>
      </c>
      <c r="D112" s="14">
        <f>data!Y66</f>
        <v>614403.27</v>
      </c>
      <c r="E112" s="14">
        <f>data!Z66</f>
        <v>0</v>
      </c>
      <c r="F112" s="14">
        <f>data!AA66</f>
        <v>42767.459999999992</v>
      </c>
      <c r="G112" s="14">
        <f>data!AB66</f>
        <v>393446.48999999993</v>
      </c>
      <c r="H112" s="14">
        <f>data!AC66</f>
        <v>7209.35</v>
      </c>
      <c r="I112" s="14">
        <f>data!AD66</f>
        <v>513338.41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16206</v>
      </c>
      <c r="D113" s="14">
        <f>data!Y67</f>
        <v>721142</v>
      </c>
      <c r="E113" s="14">
        <f>data!Z67</f>
        <v>0</v>
      </c>
      <c r="F113" s="14">
        <f>data!AA67</f>
        <v>6955</v>
      </c>
      <c r="G113" s="14">
        <f>data!AB67</f>
        <v>209430</v>
      </c>
      <c r="H113" s="14">
        <f>data!AC67</f>
        <v>21440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58933</v>
      </c>
      <c r="E114" s="14">
        <f>data!Z68</f>
        <v>0</v>
      </c>
      <c r="F114" s="14">
        <f>data!AA68</f>
        <v>505.02</v>
      </c>
      <c r="G114" s="14">
        <f>data!AB68</f>
        <v>120417.19</v>
      </c>
      <c r="H114" s="14">
        <f>data!AC68</f>
        <v>8385.9399999999987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214.78</v>
      </c>
      <c r="D115" s="14">
        <f>data!Y69</f>
        <v>8923.7799999999988</v>
      </c>
      <c r="E115" s="14">
        <f>data!Z69</f>
        <v>0</v>
      </c>
      <c r="F115" s="14">
        <f>data!AA69</f>
        <v>431.7</v>
      </c>
      <c r="G115" s="14">
        <f>data!AB69</f>
        <v>3992515.1199999996</v>
      </c>
      <c r="H115" s="14">
        <f>data!AC69</f>
        <v>6846.37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-6071484.2000000011</v>
      </c>
      <c r="H116" s="14">
        <f>-data!AC70</f>
        <v>0</v>
      </c>
      <c r="I116" s="14">
        <f>-data!AD70</f>
        <v>-47351.66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1087862.2200000002</v>
      </c>
      <c r="D117" s="14">
        <f>data!Y71</f>
        <v>3911435.67</v>
      </c>
      <c r="E117" s="14">
        <f>data!Z71</f>
        <v>0</v>
      </c>
      <c r="F117" s="14">
        <f>data!AA71</f>
        <v>671518.79</v>
      </c>
      <c r="G117" s="14">
        <f>data!AB71</f>
        <v>9752825.7799999975</v>
      </c>
      <c r="H117" s="14">
        <f>data!AC71</f>
        <v>1710971.0000000002</v>
      </c>
      <c r="I117" s="14">
        <f>data!AD71</f>
        <v>516996.99</v>
      </c>
    </row>
    <row r="118" spans="1:9" ht="20.100000000000001" customHeight="1" x14ac:dyDescent="0.25">
      <c r="A118" s="23">
        <v>17</v>
      </c>
      <c r="B118" s="14" t="s">
        <v>244</v>
      </c>
      <c r="C118" s="209"/>
      <c r="D118" s="209"/>
      <c r="E118" s="209"/>
      <c r="F118" s="209"/>
      <c r="G118" s="209"/>
      <c r="H118" s="209"/>
      <c r="I118" s="209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1346211</v>
      </c>
      <c r="D119" s="48">
        <f>+data!M690</f>
        <v>2124052</v>
      </c>
      <c r="E119" s="48">
        <f>+data!M691</f>
        <v>0</v>
      </c>
      <c r="F119" s="48">
        <f>+data!M692</f>
        <v>222212</v>
      </c>
      <c r="G119" s="48">
        <f>+data!M693</f>
        <v>3085750</v>
      </c>
      <c r="H119" s="48">
        <f>+data!M694</f>
        <v>594303</v>
      </c>
      <c r="I119" s="48">
        <f>+data!M695</f>
        <v>83732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21868049.75</v>
      </c>
      <c r="D120" s="14">
        <f>data!Y73</f>
        <v>12314249.23</v>
      </c>
      <c r="E120" s="14">
        <f>data!Z73</f>
        <v>0</v>
      </c>
      <c r="F120" s="14">
        <f>data!AA73</f>
        <v>1499339.1400000001</v>
      </c>
      <c r="G120" s="14">
        <f>data!AB73</f>
        <v>60003651.420000009</v>
      </c>
      <c r="H120" s="14">
        <f>data!AC73</f>
        <v>17776333.25</v>
      </c>
      <c r="I120" s="14">
        <f>data!AD73</f>
        <v>1618232.55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58521303.590000004</v>
      </c>
      <c r="D121" s="14">
        <f>data!Y74</f>
        <v>23081243.570000004</v>
      </c>
      <c r="E121" s="14">
        <f>data!Z74</f>
        <v>0</v>
      </c>
      <c r="F121" s="14">
        <f>data!AA74</f>
        <v>7877080.7899999991</v>
      </c>
      <c r="G121" s="14">
        <f>data!AB74</f>
        <v>55538554.599999994</v>
      </c>
      <c r="H121" s="14">
        <f>data!AC74</f>
        <v>2123087.8400000003</v>
      </c>
      <c r="I121" s="14">
        <f>data!AD74</f>
        <v>98381.580000000016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80389353.340000004</v>
      </c>
      <c r="D122" s="14">
        <f>data!Y75</f>
        <v>35395492.800000004</v>
      </c>
      <c r="E122" s="14">
        <f>data!Z75</f>
        <v>0</v>
      </c>
      <c r="F122" s="14">
        <f>data!AA75</f>
        <v>9376419.9299999997</v>
      </c>
      <c r="G122" s="14">
        <f>data!AB75</f>
        <v>115542206.02000001</v>
      </c>
      <c r="H122" s="14">
        <f>data!AC75</f>
        <v>19899421.09</v>
      </c>
      <c r="I122" s="14">
        <f>data!AD75</f>
        <v>1716614.1300000001</v>
      </c>
    </row>
    <row r="123" spans="1:9" ht="20.100000000000001" customHeight="1" x14ac:dyDescent="0.25">
      <c r="A123" s="23" t="s">
        <v>1185</v>
      </c>
      <c r="B123" s="60"/>
      <c r="C123" s="209"/>
      <c r="D123" s="209"/>
      <c r="E123" s="209"/>
      <c r="F123" s="209"/>
      <c r="G123" s="209"/>
      <c r="H123" s="209"/>
      <c r="I123" s="209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976</v>
      </c>
      <c r="D124" s="14">
        <f>data!Y76</f>
        <v>14993</v>
      </c>
      <c r="E124" s="14">
        <f>data!Z76</f>
        <v>0</v>
      </c>
      <c r="F124" s="14">
        <f>data!AA76</f>
        <v>0</v>
      </c>
      <c r="G124" s="14">
        <f>data!AB76</f>
        <v>2835</v>
      </c>
      <c r="H124" s="14">
        <f>data!AC76</f>
        <v>657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292.39561244852035</v>
      </c>
      <c r="D126" s="14">
        <f>data!Y78</f>
        <v>4491.6879277055996</v>
      </c>
      <c r="E126" s="14">
        <f>data!Z78</f>
        <v>0</v>
      </c>
      <c r="F126" s="14">
        <f>data!AA78</f>
        <v>0</v>
      </c>
      <c r="G126" s="14">
        <f>data!AB78</f>
        <v>849.32537017577374</v>
      </c>
      <c r="H126" s="14">
        <f>data!AC78</f>
        <v>196.82778419946501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63058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4.807692307692308E-4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St. Anthony Hospital</v>
      </c>
      <c r="B132" s="77"/>
      <c r="C132" s="77"/>
      <c r="D132" s="77"/>
      <c r="E132" s="77"/>
      <c r="F132" s="77"/>
      <c r="G132" s="80"/>
      <c r="H132" s="79" t="str">
        <f>"FYE: "&amp;data!C82</f>
        <v>FYE: 06/30/2019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47139</v>
      </c>
      <c r="D137" s="14">
        <f>data!AF59</f>
        <v>0</v>
      </c>
      <c r="E137" s="14">
        <f>data!AG59</f>
        <v>29605</v>
      </c>
      <c r="F137" s="14">
        <f>data!AH59</f>
        <v>0</v>
      </c>
      <c r="G137" s="14">
        <f>data!AI59</f>
        <v>0</v>
      </c>
      <c r="H137" s="14">
        <f>data!AJ59</f>
        <v>166205.5</v>
      </c>
      <c r="I137" s="14">
        <f>data!AK59</f>
        <v>12578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10.834326923076924</v>
      </c>
      <c r="D138" s="26">
        <f>data!AF60</f>
        <v>0</v>
      </c>
      <c r="E138" s="26">
        <f>data!AG60</f>
        <v>40.921374999999998</v>
      </c>
      <c r="F138" s="26">
        <f>data!AH60</f>
        <v>0</v>
      </c>
      <c r="G138" s="26">
        <f>data!AI60</f>
        <v>0</v>
      </c>
      <c r="H138" s="26">
        <f>data!AJ60</f>
        <v>228.54434615384616</v>
      </c>
      <c r="I138" s="26">
        <f>data!AK60</f>
        <v>2.8094326923076927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1057912.47</v>
      </c>
      <c r="D139" s="14">
        <f>data!AF61</f>
        <v>0</v>
      </c>
      <c r="E139" s="14">
        <f>data!AG61</f>
        <v>4008506.8200000008</v>
      </c>
      <c r="F139" s="14">
        <f>data!AH61</f>
        <v>0</v>
      </c>
      <c r="G139" s="14">
        <f>data!AI61</f>
        <v>0</v>
      </c>
      <c r="H139" s="14">
        <f>data!AJ61</f>
        <v>24901500.690000001</v>
      </c>
      <c r="I139" s="14">
        <f>data!AK61</f>
        <v>298056.03000000003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253460</v>
      </c>
      <c r="D140" s="14">
        <f>data!AF62</f>
        <v>0</v>
      </c>
      <c r="E140" s="14">
        <f>data!AG62</f>
        <v>876065</v>
      </c>
      <c r="F140" s="14">
        <f>data!AH62</f>
        <v>0</v>
      </c>
      <c r="G140" s="14">
        <f>data!AI62</f>
        <v>0</v>
      </c>
      <c r="H140" s="14">
        <f>data!AJ62</f>
        <v>4523718</v>
      </c>
      <c r="I140" s="14">
        <f>data!AK62</f>
        <v>67425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1099596.73</v>
      </c>
      <c r="F141" s="14">
        <f>data!AH63</f>
        <v>0</v>
      </c>
      <c r="G141" s="14">
        <f>data!AI63</f>
        <v>0</v>
      </c>
      <c r="H141" s="14">
        <f>data!AJ63</f>
        <v>453477.68999999994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12656.660000000002</v>
      </c>
      <c r="D142" s="14">
        <f>data!AF64</f>
        <v>0</v>
      </c>
      <c r="E142" s="14">
        <f>data!AG64</f>
        <v>694138.99</v>
      </c>
      <c r="F142" s="14">
        <f>data!AH64</f>
        <v>0</v>
      </c>
      <c r="G142" s="14">
        <f>data!AI64</f>
        <v>0</v>
      </c>
      <c r="H142" s="14">
        <f>data!AJ64</f>
        <v>1385475.1</v>
      </c>
      <c r="I142" s="14">
        <f>data!AK64</f>
        <v>870.88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447.6</v>
      </c>
      <c r="F143" s="14">
        <f>data!AH65</f>
        <v>0</v>
      </c>
      <c r="G143" s="14">
        <f>data!AI65</f>
        <v>0</v>
      </c>
      <c r="H143" s="14">
        <f>data!AJ65</f>
        <v>89665.9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5266.65</v>
      </c>
      <c r="D144" s="14">
        <f>data!AF66</f>
        <v>0</v>
      </c>
      <c r="E144" s="14">
        <f>data!AG66</f>
        <v>1385788.5490000001</v>
      </c>
      <c r="F144" s="14">
        <f>data!AH66</f>
        <v>0</v>
      </c>
      <c r="G144" s="14">
        <f>data!AI66</f>
        <v>0</v>
      </c>
      <c r="H144" s="14">
        <f>data!AJ66</f>
        <v>1742773.3200000003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74886</v>
      </c>
      <c r="D145" s="14">
        <f>data!AF67</f>
        <v>0</v>
      </c>
      <c r="E145" s="14">
        <f>data!AG67</f>
        <v>476225</v>
      </c>
      <c r="F145" s="14">
        <f>data!AH67</f>
        <v>0</v>
      </c>
      <c r="G145" s="14">
        <f>data!AI67</f>
        <v>0</v>
      </c>
      <c r="H145" s="14">
        <f>data!AJ67</f>
        <v>1578875</v>
      </c>
      <c r="I145" s="14">
        <f>data!AK67</f>
        <v>70425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225685.65000000002</v>
      </c>
      <c r="D146" s="14">
        <f>data!AF68</f>
        <v>0</v>
      </c>
      <c r="E146" s="14">
        <f>data!AG68</f>
        <v>36897.37000000001</v>
      </c>
      <c r="F146" s="14">
        <f>data!AH68</f>
        <v>0</v>
      </c>
      <c r="G146" s="14">
        <f>data!AI68</f>
        <v>0</v>
      </c>
      <c r="H146" s="14">
        <f>data!AJ68</f>
        <v>2898582.39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4271.4500000000007</v>
      </c>
      <c r="D147" s="14">
        <f>data!AF69</f>
        <v>0</v>
      </c>
      <c r="E147" s="14">
        <f>data!AG69</f>
        <v>25811.32</v>
      </c>
      <c r="F147" s="14">
        <f>data!AH69</f>
        <v>0</v>
      </c>
      <c r="G147" s="14">
        <f>data!AI69</f>
        <v>0</v>
      </c>
      <c r="H147" s="14">
        <f>data!AJ69</f>
        <v>1465136.13</v>
      </c>
      <c r="I147" s="14">
        <f>data!AK69</f>
        <v>1724.1499999999999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-1059</v>
      </c>
      <c r="F148" s="14">
        <f>-data!AH70</f>
        <v>0</v>
      </c>
      <c r="G148" s="14">
        <f>-data!AI70</f>
        <v>0</v>
      </c>
      <c r="H148" s="14">
        <f>-data!AJ70</f>
        <v>-975893.66999999993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1634138.8799999997</v>
      </c>
      <c r="D149" s="14">
        <f>data!AF71</f>
        <v>0</v>
      </c>
      <c r="E149" s="14">
        <f>data!AG71</f>
        <v>8602418.3790000007</v>
      </c>
      <c r="F149" s="14">
        <f>data!AH71</f>
        <v>0</v>
      </c>
      <c r="G149" s="14">
        <f>data!AI71</f>
        <v>0</v>
      </c>
      <c r="H149" s="14">
        <f>data!AJ71</f>
        <v>38063310.550000004</v>
      </c>
      <c r="I149" s="14">
        <f>data!AK71</f>
        <v>438501.06000000006</v>
      </c>
    </row>
    <row r="150" spans="1:9" ht="20.100000000000001" customHeight="1" x14ac:dyDescent="0.25">
      <c r="A150" s="23">
        <v>17</v>
      </c>
      <c r="B150" s="14" t="s">
        <v>244</v>
      </c>
      <c r="C150" s="209"/>
      <c r="D150" s="209"/>
      <c r="E150" s="209"/>
      <c r="F150" s="209"/>
      <c r="G150" s="209"/>
      <c r="H150" s="209"/>
      <c r="I150" s="209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768732</v>
      </c>
      <c r="D151" s="48">
        <f>+data!M697</f>
        <v>0</v>
      </c>
      <c r="E151" s="48">
        <f>+data!M698</f>
        <v>4136202</v>
      </c>
      <c r="F151" s="48">
        <f>+data!M699</f>
        <v>0</v>
      </c>
      <c r="G151" s="48">
        <f>+data!M700</f>
        <v>0</v>
      </c>
      <c r="H151" s="48">
        <f>+data!M701</f>
        <v>6997137</v>
      </c>
      <c r="I151" s="48">
        <f>+data!M702</f>
        <v>99713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2297499.4400000004</v>
      </c>
      <c r="D152" s="14">
        <f>data!AF73</f>
        <v>0</v>
      </c>
      <c r="E152" s="14">
        <f>data!AG73</f>
        <v>25474474.689999998</v>
      </c>
      <c r="F152" s="14">
        <f>data!AH73</f>
        <v>0</v>
      </c>
      <c r="G152" s="14">
        <f>data!AI73</f>
        <v>0</v>
      </c>
      <c r="H152" s="14">
        <f>data!AJ73</f>
        <v>9620.92</v>
      </c>
      <c r="I152" s="14">
        <f>data!AK73</f>
        <v>892947.96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5654406.0499999998</v>
      </c>
      <c r="D153" s="14">
        <f>data!AF74</f>
        <v>0</v>
      </c>
      <c r="E153" s="14">
        <f>data!AG74</f>
        <v>83906657.730000019</v>
      </c>
      <c r="F153" s="14">
        <f>data!AH74</f>
        <v>0</v>
      </c>
      <c r="G153" s="14">
        <f>data!AI74</f>
        <v>0</v>
      </c>
      <c r="H153" s="14">
        <f>data!AJ74</f>
        <v>64719993.859999992</v>
      </c>
      <c r="I153" s="14">
        <f>data!AK74</f>
        <v>1476456.32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7951905.4900000002</v>
      </c>
      <c r="D154" s="14">
        <f>data!AF75</f>
        <v>0</v>
      </c>
      <c r="E154" s="14">
        <f>data!AG75</f>
        <v>109381132.42000002</v>
      </c>
      <c r="F154" s="14">
        <f>data!AH75</f>
        <v>0</v>
      </c>
      <c r="G154" s="14">
        <f>data!AI75</f>
        <v>0</v>
      </c>
      <c r="H154" s="14">
        <f>data!AJ75</f>
        <v>64729614.779999994</v>
      </c>
      <c r="I154" s="14">
        <f>data!AK75</f>
        <v>2369404.2800000003</v>
      </c>
    </row>
    <row r="155" spans="1:9" ht="20.100000000000001" customHeight="1" x14ac:dyDescent="0.25">
      <c r="A155" s="23" t="s">
        <v>1185</v>
      </c>
      <c r="B155" s="60"/>
      <c r="C155" s="209"/>
      <c r="D155" s="209"/>
      <c r="E155" s="209"/>
      <c r="F155" s="209"/>
      <c r="G155" s="209"/>
      <c r="H155" s="209"/>
      <c r="I155" s="209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5802</v>
      </c>
      <c r="D156" s="14">
        <f>data!AF76</f>
        <v>0</v>
      </c>
      <c r="E156" s="14">
        <f>data!AG76</f>
        <v>15505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1472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1738.196048592536</v>
      </c>
      <c r="D158" s="14">
        <f>data!AF78</f>
        <v>0</v>
      </c>
      <c r="E158" s="14">
        <f>data!AG78</f>
        <v>4645.0757899736764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7097</v>
      </c>
      <c r="D159" s="14">
        <f>data!AF79</f>
        <v>0</v>
      </c>
      <c r="E159" s="14">
        <f>data!AG79</f>
        <v>158456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22.40910576923077</v>
      </c>
      <c r="F160" s="26">
        <f>data!AH80</f>
        <v>0</v>
      </c>
      <c r="G160" s="26">
        <f>data!AI80</f>
        <v>0</v>
      </c>
      <c r="H160" s="26">
        <f>data!AJ80</f>
        <v>33.018408653846151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St. Anthony Hospital</v>
      </c>
      <c r="B164" s="77"/>
      <c r="C164" s="77"/>
      <c r="D164" s="77"/>
      <c r="E164" s="77"/>
      <c r="F164" s="77"/>
      <c r="G164" s="80"/>
      <c r="H164" s="79" t="str">
        <f>"FYE: "&amp;data!C82</f>
        <v>FYE: 06/30/2019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1798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0.9085288461538461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92253.530000000013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21722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20.65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132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44.43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114172.61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09"/>
      <c r="D182" s="209"/>
      <c r="E182" s="209"/>
      <c r="F182" s="209"/>
      <c r="G182" s="209"/>
      <c r="H182" s="209"/>
      <c r="I182" s="209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28142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423377.05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277880.85000000003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701257.9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09"/>
      <c r="D187" s="209"/>
      <c r="E187" s="209"/>
      <c r="F187" s="209"/>
      <c r="G187" s="209"/>
      <c r="H187" s="209"/>
      <c r="I187" s="209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St. Anthony Hospital</v>
      </c>
      <c r="B196" s="77"/>
      <c r="C196" s="77"/>
      <c r="D196" s="77"/>
      <c r="E196" s="77"/>
      <c r="F196" s="77"/>
      <c r="G196" s="80"/>
      <c r="H196" s="79" t="str">
        <f>"FYE: "&amp;data!C82</f>
        <v>FYE: 06/30/2019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0"/>
      <c r="G200" s="210"/>
      <c r="H200" s="210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0"/>
      <c r="G201" s="210"/>
      <c r="H201" s="210"/>
      <c r="I201" s="14">
        <f>data!AY59</f>
        <v>110236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3.5570673076923076</v>
      </c>
      <c r="G202" s="26">
        <f>data!AW60</f>
        <v>0</v>
      </c>
      <c r="H202" s="26">
        <f>data!AX60</f>
        <v>0</v>
      </c>
      <c r="I202" s="26">
        <f>data!AY60</f>
        <v>0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272480.35000000003</v>
      </c>
      <c r="G203" s="14">
        <f>data!AW61</f>
        <v>0</v>
      </c>
      <c r="H203" s="14">
        <f>data!AX61</f>
        <v>0</v>
      </c>
      <c r="I203" s="14">
        <f>data!AY61</f>
        <v>0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74237</v>
      </c>
      <c r="G204" s="14">
        <f>data!AW62</f>
        <v>0</v>
      </c>
      <c r="H204" s="14">
        <f>data!AX62</f>
        <v>0</v>
      </c>
      <c r="I204" s="14">
        <f>data!AY62</f>
        <v>0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2972799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38705.74</v>
      </c>
      <c r="G206" s="14">
        <f>data!AW64</f>
        <v>0</v>
      </c>
      <c r="H206" s="14">
        <f>data!AX64</f>
        <v>0</v>
      </c>
      <c r="I206" s="14">
        <f>data!AY64</f>
        <v>0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1596.81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704522.57464000001</v>
      </c>
      <c r="G208" s="14">
        <f>data!AW66</f>
        <v>0</v>
      </c>
      <c r="H208" s="14">
        <f>data!AX66</f>
        <v>59244.906239999989</v>
      </c>
      <c r="I208" s="14">
        <f>data!AY66</f>
        <v>0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17743</v>
      </c>
      <c r="G209" s="14">
        <f>data!AW67</f>
        <v>0</v>
      </c>
      <c r="H209" s="14">
        <f>data!AX67</f>
        <v>0</v>
      </c>
      <c r="I209" s="14">
        <f>data!AY67</f>
        <v>15205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139427.66999999998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9781.16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4231293.3046400007</v>
      </c>
      <c r="G213" s="14">
        <f>data!AW71</f>
        <v>0</v>
      </c>
      <c r="H213" s="14">
        <f>data!AX71</f>
        <v>59244.906239999989</v>
      </c>
      <c r="I213" s="14">
        <f>data!AY71</f>
        <v>15205</v>
      </c>
    </row>
    <row r="214" spans="1:9" ht="20.100000000000001" customHeight="1" x14ac:dyDescent="0.25">
      <c r="A214" s="23">
        <v>17</v>
      </c>
      <c r="B214" s="14" t="s">
        <v>244</v>
      </c>
      <c r="C214" s="209"/>
      <c r="D214" s="209"/>
      <c r="E214" s="209"/>
      <c r="F214" s="209"/>
      <c r="G214" s="209"/>
      <c r="H214" s="209"/>
      <c r="I214" s="209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561331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-6517.3600000000151</v>
      </c>
      <c r="G216" s="211" t="str">
        <f>IF(data!AW73&gt;0,data!AW73,"")</f>
        <v>x</v>
      </c>
      <c r="H216" s="211" t="str">
        <f>IF(data!AX73&gt;0,data!AX73,"")</f>
        <v>x</v>
      </c>
      <c r="I216" s="211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3553704.5200000005</v>
      </c>
      <c r="G217" s="211" t="str">
        <f>IF(data!AW74&gt;0,data!AW74,"")</f>
        <v>x</v>
      </c>
      <c r="H217" s="211" t="str">
        <f>IF(data!AX74&gt;0,data!AX74,"")</f>
        <v>x</v>
      </c>
      <c r="I217" s="211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3547187.1600000006</v>
      </c>
      <c r="G218" s="211" t="str">
        <f>IF(data!AW75&gt;0,data!AW75,"")</f>
        <v>x</v>
      </c>
      <c r="H218" s="211" t="str">
        <f>IF(data!AX75&gt;0,data!AX75,"")</f>
        <v>x</v>
      </c>
      <c r="I218" s="211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09"/>
      <c r="D219" s="209"/>
      <c r="E219" s="209"/>
      <c r="F219" s="209"/>
      <c r="G219" s="209"/>
      <c r="H219" s="209"/>
      <c r="I219" s="209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1247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1" t="str">
        <f>IF(data!AX77&gt;0,data!AX77,"")</f>
        <v>x</v>
      </c>
      <c r="I221" s="211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1" t="str">
        <f>IF(data!AX78&gt;0,data!AX78,"")</f>
        <v>x</v>
      </c>
      <c r="I222" s="211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43</v>
      </c>
      <c r="G223" s="14">
        <f>data!AW79</f>
        <v>0</v>
      </c>
      <c r="H223" s="211" t="str">
        <f>IF(data!AX79&gt;0,data!AX79,"")</f>
        <v>x</v>
      </c>
      <c r="I223" s="211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0.1343798076923077</v>
      </c>
      <c r="G224" s="211" t="str">
        <f>IF(data!AW80&gt;0,data!AW80,"")</f>
        <v>x</v>
      </c>
      <c r="H224" s="211" t="str">
        <f>IF(data!AX80&gt;0,data!AX80,"")</f>
        <v>x</v>
      </c>
      <c r="I224" s="211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St. Anthony Hospital</v>
      </c>
      <c r="B228" s="77"/>
      <c r="C228" s="77"/>
      <c r="D228" s="77"/>
      <c r="E228" s="77"/>
      <c r="F228" s="77"/>
      <c r="G228" s="80"/>
      <c r="H228" s="79" t="str">
        <f>"FYE: "&amp;data!C82</f>
        <v>FYE: 06/30/2019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0"/>
      <c r="F232" s="210"/>
      <c r="G232" s="210"/>
      <c r="H232" s="15" t="s">
        <v>232</v>
      </c>
      <c r="I232" s="210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237068</v>
      </c>
      <c r="D233" s="14">
        <f>data!BA59</f>
        <v>0</v>
      </c>
      <c r="E233" s="210"/>
      <c r="F233" s="210"/>
      <c r="G233" s="210"/>
      <c r="H233" s="14">
        <f>data!BE59</f>
        <v>284983</v>
      </c>
      <c r="I233" s="210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31.052120192307694</v>
      </c>
      <c r="D234" s="26">
        <f>data!BA60</f>
        <v>1.3451826923076922</v>
      </c>
      <c r="E234" s="26">
        <f>data!BB60</f>
        <v>0</v>
      </c>
      <c r="F234" s="26">
        <f>data!BC60</f>
        <v>3.6970384615384617</v>
      </c>
      <c r="G234" s="26">
        <f>data!BD60</f>
        <v>0</v>
      </c>
      <c r="H234" s="26">
        <f>data!BE60</f>
        <v>6.0341682692307694</v>
      </c>
      <c r="I234" s="26">
        <f>data!BF60</f>
        <v>27.139004807692306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1288781.7999999998</v>
      </c>
      <c r="D235" s="14">
        <f>data!BA61</f>
        <v>52075.25</v>
      </c>
      <c r="E235" s="14">
        <f>data!BB61</f>
        <v>0</v>
      </c>
      <c r="F235" s="14">
        <f>data!BC61</f>
        <v>164079.08999999997</v>
      </c>
      <c r="G235" s="14">
        <f>data!BD61</f>
        <v>0</v>
      </c>
      <c r="H235" s="14">
        <f>data!BE61</f>
        <v>421589.56000000006</v>
      </c>
      <c r="I235" s="14">
        <f>data!BF61</f>
        <v>1111157.6499999999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504932</v>
      </c>
      <c r="D236" s="14">
        <f>data!BA62</f>
        <v>21259</v>
      </c>
      <c r="E236" s="14">
        <f>data!BB62</f>
        <v>0</v>
      </c>
      <c r="F236" s="14">
        <f>data!BC62</f>
        <v>61303</v>
      </c>
      <c r="G236" s="14">
        <f>data!BD62</f>
        <v>0</v>
      </c>
      <c r="H236" s="14">
        <f>data!BE62</f>
        <v>119194</v>
      </c>
      <c r="I236" s="14">
        <f>data!BF62</f>
        <v>440190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692637.77999999991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0</v>
      </c>
      <c r="H238" s="14">
        <f>data!BE64</f>
        <v>45325.35</v>
      </c>
      <c r="I238" s="14">
        <f>data!BF64</f>
        <v>203614.63000000003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97.38</v>
      </c>
      <c r="D239" s="14">
        <f>data!BA65</f>
        <v>0</v>
      </c>
      <c r="E239" s="14">
        <f>data!BB65</f>
        <v>0</v>
      </c>
      <c r="F239" s="14">
        <f>data!BC65</f>
        <v>389.52</v>
      </c>
      <c r="G239" s="14">
        <f>data!BD65</f>
        <v>0</v>
      </c>
      <c r="H239" s="14">
        <f>data!BE65</f>
        <v>1203913.8600000001</v>
      </c>
      <c r="I239" s="14">
        <f>data!BF65</f>
        <v>966.53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551125.99</v>
      </c>
      <c r="D240" s="14">
        <f>data!BA66</f>
        <v>19998.739999999991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4162815.8168799994</v>
      </c>
      <c r="I240" s="14">
        <f>data!BF66</f>
        <v>111017.30000000002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274664</v>
      </c>
      <c r="D241" s="14">
        <f>data!BA67</f>
        <v>23573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479550</v>
      </c>
      <c r="I241" s="14">
        <f>data!BF67</f>
        <v>59632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6533.329999999999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2828.82</v>
      </c>
      <c r="I242" s="14">
        <f>data!BF68</f>
        <v>462.06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32881.58</v>
      </c>
      <c r="D243" s="14">
        <f>data!BA69</f>
        <v>0</v>
      </c>
      <c r="E243" s="14">
        <f>data!BB69</f>
        <v>0</v>
      </c>
      <c r="F243" s="14">
        <f>data!BC69</f>
        <v>85.91</v>
      </c>
      <c r="G243" s="14">
        <f>data!BD69</f>
        <v>0</v>
      </c>
      <c r="H243" s="14">
        <f>data!BE69</f>
        <v>3692.95</v>
      </c>
      <c r="I243" s="14">
        <f>data!BF69</f>
        <v>60.390000000000015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-915548.43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-59.54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2436105.4299999992</v>
      </c>
      <c r="D245" s="14">
        <f>data!BA71</f>
        <v>116905.98999999999</v>
      </c>
      <c r="E245" s="14">
        <f>data!BB71</f>
        <v>0</v>
      </c>
      <c r="F245" s="14">
        <f>data!BC71</f>
        <v>225857.51999999996</v>
      </c>
      <c r="G245" s="14">
        <f>data!BD71</f>
        <v>0</v>
      </c>
      <c r="H245" s="14">
        <f>data!BE71</f>
        <v>6438850.8168799998</v>
      </c>
      <c r="I245" s="14">
        <f>data!BF71</f>
        <v>1927100.56</v>
      </c>
    </row>
    <row r="246" spans="1:9" ht="20.100000000000001" customHeight="1" x14ac:dyDescent="0.25">
      <c r="A246" s="23">
        <v>17</v>
      </c>
      <c r="B246" s="14" t="s">
        <v>244</v>
      </c>
      <c r="C246" s="209"/>
      <c r="D246" s="209"/>
      <c r="E246" s="209"/>
      <c r="F246" s="209"/>
      <c r="G246" s="209"/>
      <c r="H246" s="209"/>
      <c r="I246" s="209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1" t="str">
        <f>IF(data!AZ73&gt;0,data!AZ73,"")</f>
        <v>x</v>
      </c>
      <c r="D248" s="211" t="str">
        <f>IF(data!BA73&gt;0,data!BA73,"")</f>
        <v>x</v>
      </c>
      <c r="E248" s="211" t="str">
        <f>IF(data!BB73&gt;0,data!BB73,"")</f>
        <v>x</v>
      </c>
      <c r="F248" s="211" t="str">
        <f>IF(data!BC73&gt;0,data!BC73,"")</f>
        <v>x</v>
      </c>
      <c r="G248" s="211" t="str">
        <f>IF(data!BD73&gt;0,data!BD73,"")</f>
        <v>x</v>
      </c>
      <c r="H248" s="211" t="str">
        <f>IF(data!BE73&gt;0,data!BE73,"")</f>
        <v>x</v>
      </c>
      <c r="I248" s="211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1" t="str">
        <f>IF(data!AZ74&gt;0,data!AZ74,"")</f>
        <v>x</v>
      </c>
      <c r="D249" s="211" t="str">
        <f>IF(data!BA74&gt;0,data!BA74,"")</f>
        <v>x</v>
      </c>
      <c r="E249" s="211" t="str">
        <f>IF(data!BB74&gt;0,data!BB74,"")</f>
        <v>x</v>
      </c>
      <c r="F249" s="211" t="str">
        <f>IF(data!BC74&gt;0,data!BC74,"")</f>
        <v>x</v>
      </c>
      <c r="G249" s="211" t="str">
        <f>IF(data!BD74&gt;0,data!BD74,"")</f>
        <v>x</v>
      </c>
      <c r="H249" s="211" t="str">
        <f>IF(data!BE74&gt;0,data!BE74,"")</f>
        <v>x</v>
      </c>
      <c r="I249" s="211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1" t="str">
        <f>IF(data!AZ75&gt;0,data!AZ75,"")</f>
        <v>x</v>
      </c>
      <c r="D250" s="211" t="str">
        <f>IF(data!BA75&gt;0,data!BA75,"")</f>
        <v>x</v>
      </c>
      <c r="E250" s="211" t="str">
        <f>IF(data!BB75&gt;0,data!BB75,"")</f>
        <v>x</v>
      </c>
      <c r="F250" s="211" t="str">
        <f>IF(data!BC75&gt;0,data!BC75,"")</f>
        <v>x</v>
      </c>
      <c r="G250" s="211" t="str">
        <f>IF(data!BD75&gt;0,data!BD75,"")</f>
        <v>x</v>
      </c>
      <c r="H250" s="211" t="str">
        <f>IF(data!BE75&gt;0,data!BE75,"")</f>
        <v>x</v>
      </c>
      <c r="I250" s="211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09"/>
      <c r="D251" s="209"/>
      <c r="E251" s="209"/>
      <c r="F251" s="209"/>
      <c r="G251" s="209"/>
      <c r="H251" s="209"/>
      <c r="I251" s="209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6076</v>
      </c>
      <c r="D252" s="85">
        <f>data!BA76</f>
        <v>893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19027.5</v>
      </c>
      <c r="I252" s="85">
        <f>data!BF76</f>
        <v>730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1" t="str">
        <f>IF(data!BD77&gt;0,data!BD77,"")</f>
        <v>x</v>
      </c>
      <c r="H253" s="211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1" t="str">
        <f>IF(data!AZ78&gt;0,data!AZ78,"")</f>
        <v>x</v>
      </c>
      <c r="D254" s="85">
        <f>data!BA78</f>
        <v>267.53000196365645</v>
      </c>
      <c r="E254" s="85">
        <f>data!BB78</f>
        <v>0</v>
      </c>
      <c r="F254" s="85">
        <f>data!BC78</f>
        <v>0</v>
      </c>
      <c r="G254" s="211" t="str">
        <f>IF(data!BD78&gt;0,data!BD78,"")</f>
        <v>x</v>
      </c>
      <c r="H254" s="211" t="str">
        <f>IF(data!BE78&gt;0,data!BE78,"")</f>
        <v>x</v>
      </c>
      <c r="I254" s="211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1" t="str">
        <f>IF(data!AZ79&gt;0,data!AZ79,"")</f>
        <v>x</v>
      </c>
      <c r="D255" s="211" t="str">
        <f>IF(data!BA79&gt;0,data!BA79,"")</f>
        <v>x</v>
      </c>
      <c r="E255" s="85">
        <f>data!BB79</f>
        <v>0</v>
      </c>
      <c r="F255" s="85">
        <f>data!BC79</f>
        <v>0</v>
      </c>
      <c r="G255" s="211" t="str">
        <f>IF(data!BD79&gt;0,data!BD79,"")</f>
        <v>x</v>
      </c>
      <c r="H255" s="211" t="str">
        <f>IF(data!BE79&gt;0,data!BE79,"")</f>
        <v>x</v>
      </c>
      <c r="I255" s="211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1" t="str">
        <f>IF(data!AZ80&gt;0,data!AZ80,"")</f>
        <v>x</v>
      </c>
      <c r="D256" s="211" t="str">
        <f>IF(data!BA80&gt;0,data!BA80,"")</f>
        <v>x</v>
      </c>
      <c r="E256" s="211" t="str">
        <f>IF(data!BB80&gt;0,data!BB80,"")</f>
        <v>x</v>
      </c>
      <c r="F256" s="211" t="str">
        <f>IF(data!BC80&gt;0,data!BC80,"")</f>
        <v>x</v>
      </c>
      <c r="G256" s="211" t="str">
        <f>IF(data!BD80&gt;0,data!BD80,"")</f>
        <v>x</v>
      </c>
      <c r="H256" s="211" t="str">
        <f>IF(data!BE80&gt;0,data!BE80,"")</f>
        <v>x</v>
      </c>
      <c r="I256" s="211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St. Anthony Hospital</v>
      </c>
      <c r="B260" s="77"/>
      <c r="C260" s="77"/>
      <c r="D260" s="77"/>
      <c r="E260" s="77"/>
      <c r="F260" s="77"/>
      <c r="G260" s="80"/>
      <c r="H260" s="79" t="str">
        <f>"FYE: "&amp;data!C82</f>
        <v>FYE: 06/30/2019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0"/>
      <c r="D264" s="210"/>
      <c r="E264" s="210"/>
      <c r="F264" s="210"/>
      <c r="G264" s="210"/>
      <c r="H264" s="210"/>
      <c r="I264" s="210"/>
    </row>
    <row r="265" spans="1:9" ht="20.100000000000001" customHeight="1" x14ac:dyDescent="0.25">
      <c r="A265" s="23">
        <v>4</v>
      </c>
      <c r="B265" s="14" t="s">
        <v>233</v>
      </c>
      <c r="C265" s="210"/>
      <c r="D265" s="210"/>
      <c r="E265" s="210"/>
      <c r="F265" s="210"/>
      <c r="G265" s="210"/>
      <c r="H265" s="210"/>
      <c r="I265" s="210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0.19783653846153845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6704.25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3035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73564.749999999985</v>
      </c>
      <c r="F270" s="14">
        <f>data!BJ64</f>
        <v>0</v>
      </c>
      <c r="G270" s="14">
        <f>data!BK64</f>
        <v>0</v>
      </c>
      <c r="H270" s="14">
        <f>data!BL64</f>
        <v>17669.960000000003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84.37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255043.22668000002</v>
      </c>
      <c r="D272" s="14">
        <f>data!BH66</f>
        <v>1111095.9992</v>
      </c>
      <c r="E272" s="14">
        <f>data!BI66</f>
        <v>818.25</v>
      </c>
      <c r="F272" s="14">
        <f>data!BJ66</f>
        <v>265283.34811999992</v>
      </c>
      <c r="G272" s="14">
        <f>data!BK66</f>
        <v>1737873.9040149639</v>
      </c>
      <c r="H272" s="14">
        <f>data!BL66</f>
        <v>1845783.9781200001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17160</v>
      </c>
      <c r="F273" s="14">
        <f>data!BJ67</f>
        <v>0</v>
      </c>
      <c r="G273" s="14">
        <f>data!BK67</f>
        <v>0</v>
      </c>
      <c r="H273" s="14">
        <f>data!BL67</f>
        <v>19992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423.06</v>
      </c>
      <c r="F274" s="14">
        <f>data!BJ68</f>
        <v>0</v>
      </c>
      <c r="G274" s="14">
        <f>data!BK68</f>
        <v>0</v>
      </c>
      <c r="H274" s="14">
        <f>data!BL68</f>
        <v>8898.6200000000008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930.39999999999986</v>
      </c>
      <c r="F275" s="14">
        <f>data!BJ69</f>
        <v>0</v>
      </c>
      <c r="G275" s="14">
        <f>data!BK69</f>
        <v>0</v>
      </c>
      <c r="H275" s="14">
        <f>data!BL69</f>
        <v>1550.6999999999998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-122978.27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255043.22668000002</v>
      </c>
      <c r="D277" s="14">
        <f>data!BH71</f>
        <v>1111095.9992</v>
      </c>
      <c r="E277" s="14">
        <f>data!BI71</f>
        <v>-20342.560000000027</v>
      </c>
      <c r="F277" s="14">
        <f>data!BJ71</f>
        <v>265283.34811999992</v>
      </c>
      <c r="G277" s="14">
        <f>data!BK71</f>
        <v>1737873.9040149639</v>
      </c>
      <c r="H277" s="14">
        <f>data!BL71</f>
        <v>1893979.6281200002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09"/>
      <c r="D278" s="209"/>
      <c r="E278" s="209"/>
      <c r="F278" s="209"/>
      <c r="G278" s="209"/>
      <c r="H278" s="209"/>
      <c r="I278" s="209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1" t="str">
        <f>IF(data!BG73&gt;0,data!BG73,"")</f>
        <v>x</v>
      </c>
      <c r="D280" s="211" t="str">
        <f>IF(data!BH73&gt;0,data!BH73,"")</f>
        <v>x</v>
      </c>
      <c r="E280" s="211" t="str">
        <f>IF(data!BI73&gt;0,data!BI73,"")</f>
        <v>x</v>
      </c>
      <c r="F280" s="211" t="str">
        <f>IF(data!BJ73&gt;0,data!BJ73,"")</f>
        <v>x</v>
      </c>
      <c r="G280" s="211" t="str">
        <f>IF(data!BK73&gt;0,data!BK73,"")</f>
        <v>x</v>
      </c>
      <c r="H280" s="211" t="str">
        <f>IF(data!BL73&gt;0,data!BL73,"")</f>
        <v>x</v>
      </c>
      <c r="I280" s="211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1" t="str">
        <f>IF(data!BG74&gt;0,data!BG74,"")</f>
        <v>x</v>
      </c>
      <c r="D281" s="211" t="str">
        <f>IF(data!BH74&gt;0,data!BH74,"")</f>
        <v>x</v>
      </c>
      <c r="E281" s="211" t="str">
        <f>IF(data!BI74&gt;0,data!BI74,"")</f>
        <v>x</v>
      </c>
      <c r="F281" s="211" t="str">
        <f>IF(data!BJ74&gt;0,data!BJ74,"")</f>
        <v>x</v>
      </c>
      <c r="G281" s="211" t="str">
        <f>IF(data!BK74&gt;0,data!BK74,"")</f>
        <v>x</v>
      </c>
      <c r="H281" s="211" t="str">
        <f>IF(data!BL74&gt;0,data!BL74,"")</f>
        <v>x</v>
      </c>
      <c r="I281" s="211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1" t="str">
        <f>IF(data!BG75&gt;0,data!BG75,"")</f>
        <v>x</v>
      </c>
      <c r="D282" s="211" t="str">
        <f>IF(data!BH75&gt;0,data!BH75,"")</f>
        <v>x</v>
      </c>
      <c r="E282" s="211" t="str">
        <f>IF(data!BI75&gt;0,data!BI75,"")</f>
        <v>x</v>
      </c>
      <c r="F282" s="211" t="str">
        <f>IF(data!BJ75&gt;0,data!BJ75,"")</f>
        <v>x</v>
      </c>
      <c r="G282" s="211" t="str">
        <f>IF(data!BK75&gt;0,data!BK75,"")</f>
        <v>x</v>
      </c>
      <c r="H282" s="211" t="str">
        <f>IF(data!BL75&gt;0,data!BL75,"")</f>
        <v>x</v>
      </c>
      <c r="I282" s="211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3"/>
      <c r="D283" s="213"/>
      <c r="E283" s="213"/>
      <c r="F283" s="213"/>
      <c r="G283" s="213"/>
      <c r="H283" s="213"/>
      <c r="I283" s="213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674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1" t="str">
        <f>IF(data!BG77&gt;0,data!BG77,"")</f>
        <v>x</v>
      </c>
      <c r="D285" s="85">
        <f>data!BH77</f>
        <v>0</v>
      </c>
      <c r="E285" s="85">
        <f>data!BI77</f>
        <v>0</v>
      </c>
      <c r="F285" s="211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1" t="str">
        <f>IF(data!BG78&gt;0,data!BG78,"")</f>
        <v>x</v>
      </c>
      <c r="D286" s="85">
        <f>data!BH78</f>
        <v>0</v>
      </c>
      <c r="E286" s="85">
        <f>data!BI78</f>
        <v>201.92074056383476</v>
      </c>
      <c r="F286" s="211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1" t="str">
        <f>IF(data!BG79&gt;0,data!BG79,"")</f>
        <v>x</v>
      </c>
      <c r="D287" s="85">
        <f>data!BH79</f>
        <v>0</v>
      </c>
      <c r="E287" s="85">
        <f>data!BI79</f>
        <v>0</v>
      </c>
      <c r="F287" s="211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1" t="str">
        <f>IF(data!BG80&gt;0,data!BG80,"")</f>
        <v>x</v>
      </c>
      <c r="D288" s="211" t="str">
        <f>IF(data!BH80&gt;0,data!BH80,"")</f>
        <v>x</v>
      </c>
      <c r="E288" s="211" t="str">
        <f>IF(data!BI80&gt;0,data!BI80,"")</f>
        <v>x</v>
      </c>
      <c r="F288" s="211" t="str">
        <f>IF(data!BJ80&gt;0,data!BJ80,"")</f>
        <v>x</v>
      </c>
      <c r="G288" s="211" t="str">
        <f>IF(data!BK80&gt;0,data!BK80,"")</f>
        <v>x</v>
      </c>
      <c r="H288" s="211" t="str">
        <f>IF(data!BL80&gt;0,data!BL80,"")</f>
        <v>x</v>
      </c>
      <c r="I288" s="211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St. Anthony Hospital</v>
      </c>
      <c r="B292" s="77"/>
      <c r="C292" s="77"/>
      <c r="D292" s="77"/>
      <c r="E292" s="77"/>
      <c r="F292" s="77"/>
      <c r="G292" s="80"/>
      <c r="H292" s="79" t="str">
        <f>"FYE: "&amp;data!C82</f>
        <v>FYE: 06/30/2019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0"/>
      <c r="D296" s="210"/>
      <c r="E296" s="210"/>
      <c r="F296" s="210"/>
      <c r="G296" s="210"/>
      <c r="H296" s="210"/>
      <c r="I296" s="210"/>
    </row>
    <row r="297" spans="1:9" ht="20.100000000000001" customHeight="1" x14ac:dyDescent="0.25">
      <c r="A297" s="23">
        <v>4</v>
      </c>
      <c r="B297" s="14" t="s">
        <v>233</v>
      </c>
      <c r="C297" s="210"/>
      <c r="D297" s="210"/>
      <c r="E297" s="210"/>
      <c r="F297" s="210"/>
      <c r="G297" s="210"/>
      <c r="H297" s="210"/>
      <c r="I297" s="210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15.784927884615387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1689295.35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377925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21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98404.800000000003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124.91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2009707.3603294203</v>
      </c>
      <c r="D304" s="14">
        <f>data!BO66</f>
        <v>193367.18455999999</v>
      </c>
      <c r="E304" s="14">
        <f>data!BP66</f>
        <v>1019033.2456799999</v>
      </c>
      <c r="F304" s="14">
        <f>data!BQ66</f>
        <v>0</v>
      </c>
      <c r="G304" s="14">
        <f>data!BR66</f>
        <v>650603.20675999997</v>
      </c>
      <c r="H304" s="14">
        <f>data!BS66</f>
        <v>53429.914439999986</v>
      </c>
      <c r="I304" s="14">
        <f>data!BT66</f>
        <v>91478.531639999987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1706622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75889.63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120224.4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-61.83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6078131.6203294201</v>
      </c>
      <c r="D309" s="14">
        <f>data!BO71</f>
        <v>193367.18455999999</v>
      </c>
      <c r="E309" s="14">
        <f>data!BP71</f>
        <v>1019033.2456799999</v>
      </c>
      <c r="F309" s="14">
        <f>data!BQ71</f>
        <v>0</v>
      </c>
      <c r="G309" s="14">
        <f>data!BR71</f>
        <v>650624.20675999997</v>
      </c>
      <c r="H309" s="14">
        <f>data!BS71</f>
        <v>53429.914439999986</v>
      </c>
      <c r="I309" s="14">
        <f>data!BT71</f>
        <v>91478.531639999987</v>
      </c>
    </row>
    <row r="310" spans="1:9" ht="20.100000000000001" customHeight="1" x14ac:dyDescent="0.25">
      <c r="A310" s="23">
        <v>17</v>
      </c>
      <c r="B310" s="14" t="s">
        <v>244</v>
      </c>
      <c r="C310" s="209"/>
      <c r="D310" s="209"/>
      <c r="E310" s="209"/>
      <c r="F310" s="209"/>
      <c r="G310" s="209"/>
      <c r="H310" s="209"/>
      <c r="I310" s="209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1" t="str">
        <f>IF(data!BN73&gt;0,data!BN73,"")</f>
        <v>x</v>
      </c>
      <c r="D312" s="211" t="str">
        <f>IF(data!BO73&gt;0,data!BO73,"")</f>
        <v>x</v>
      </c>
      <c r="E312" s="211" t="str">
        <f>IF(data!BP73&gt;0,data!BP73,"")</f>
        <v>x</v>
      </c>
      <c r="F312" s="211" t="str">
        <f>IF(data!BQ73&gt;0,data!BQ73,"")</f>
        <v>x</v>
      </c>
      <c r="G312" s="211" t="str">
        <f>IF(data!BR73&gt;0,data!BR73,"")</f>
        <v>x</v>
      </c>
      <c r="H312" s="211" t="str">
        <f>IF(data!BS73&gt;0,data!BS73,"")</f>
        <v>x</v>
      </c>
      <c r="I312" s="211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1" t="str">
        <f>IF(data!BN74&gt;0,data!BN74,"")</f>
        <v>x</v>
      </c>
      <c r="D313" s="211" t="str">
        <f>IF(data!BO74&gt;0,data!BO74,"")</f>
        <v>x</v>
      </c>
      <c r="E313" s="211" t="str">
        <f>IF(data!BP74&gt;0,data!BP74,"")</f>
        <v>x</v>
      </c>
      <c r="F313" s="211" t="str">
        <f>IF(data!BQ74&gt;0,data!BQ74,"")</f>
        <v>x</v>
      </c>
      <c r="G313" s="211" t="str">
        <f>IF(data!BR74&gt;0,data!BR74,"")</f>
        <v>x</v>
      </c>
      <c r="H313" s="211" t="str">
        <f>IF(data!BS74&gt;0,data!BS74,"")</f>
        <v>x</v>
      </c>
      <c r="I313" s="211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1" t="str">
        <f>IF(data!BN75&gt;0,data!BN75,"")</f>
        <v>x</v>
      </c>
      <c r="D314" s="211" t="str">
        <f>IF(data!BO75&gt;0,data!BO75,"")</f>
        <v>x</v>
      </c>
      <c r="E314" s="211" t="str">
        <f>IF(data!BP75&gt;0,data!BP75,"")</f>
        <v>x</v>
      </c>
      <c r="F314" s="211" t="str">
        <f>IF(data!BQ75&gt;0,data!BQ75,"")</f>
        <v>x</v>
      </c>
      <c r="G314" s="211" t="str">
        <f>IF(data!BR75&gt;0,data!BR75,"")</f>
        <v>x</v>
      </c>
      <c r="H314" s="211" t="str">
        <f>IF(data!BS75&gt;0,data!BS75,"")</f>
        <v>x</v>
      </c>
      <c r="I314" s="211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09"/>
      <c r="D315" s="209"/>
      <c r="E315" s="209"/>
      <c r="F315" s="209"/>
      <c r="G315" s="209"/>
      <c r="H315" s="209"/>
      <c r="I315" s="209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69478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1" t="str">
        <f>IF(data!BN77&gt;0,data!BN77,"")</f>
        <v>x</v>
      </c>
      <c r="D317" s="211" t="str">
        <f>IF(data!BO77&gt;0,data!BO77,"")</f>
        <v>x</v>
      </c>
      <c r="E317" s="211" t="str">
        <f>IF(data!BP77&gt;0,data!BP77,"")</f>
        <v>x</v>
      </c>
      <c r="F317" s="211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1" t="str">
        <f>IF(data!BN78&gt;0,data!BN78,"")</f>
        <v>x</v>
      </c>
      <c r="D318" s="211" t="str">
        <f>IF(data!BO78&gt;0,data!BO78,"")</f>
        <v>x</v>
      </c>
      <c r="E318" s="211" t="str">
        <f>IF(data!BP78&gt;0,data!BP78,"")</f>
        <v>x</v>
      </c>
      <c r="F318" s="211" t="str">
        <f>IF(data!BQ78&gt;0,data!BQ78,"")</f>
        <v>x</v>
      </c>
      <c r="G318" s="211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1" t="str">
        <f>IF(data!BN79&gt;0,data!BN79,"")</f>
        <v>x</v>
      </c>
      <c r="D319" s="211" t="str">
        <f>IF(data!BO79&gt;0,data!BO79,"")</f>
        <v>x</v>
      </c>
      <c r="E319" s="211" t="str">
        <f>IF(data!BP79&gt;0,data!BP79,"")</f>
        <v>x</v>
      </c>
      <c r="F319" s="211" t="str">
        <f>IF(data!BQ79&gt;0,data!BQ79,"")</f>
        <v>x</v>
      </c>
      <c r="G319" s="211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4" t="str">
        <f>IF(data!BN80&gt;0,data!BN80,"")</f>
        <v>x</v>
      </c>
      <c r="D320" s="214" t="str">
        <f>IF(data!BO80&gt;0,data!BO80,"")</f>
        <v>x</v>
      </c>
      <c r="E320" s="214" t="str">
        <f>IF(data!BP80&gt;0,data!BP80,"")</f>
        <v>x</v>
      </c>
      <c r="F320" s="214" t="str">
        <f>IF(data!BQ80&gt;0,data!BQ80,"")</f>
        <v>x</v>
      </c>
      <c r="G320" s="214" t="str">
        <f>IF(data!BR80&gt;0,data!BR80,"")</f>
        <v>x</v>
      </c>
      <c r="H320" s="214" t="str">
        <f>IF(data!BS80&gt;0,data!BS80,"")</f>
        <v>x</v>
      </c>
      <c r="I320" s="214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St. Anthony Hospital</v>
      </c>
      <c r="B324" s="77"/>
      <c r="C324" s="77"/>
      <c r="D324" s="77"/>
      <c r="E324" s="77"/>
      <c r="F324" s="77"/>
      <c r="G324" s="80"/>
      <c r="H324" s="79" t="str">
        <f>"FYE: "&amp;data!C82</f>
        <v>FYE: 06/30/2019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0"/>
      <c r="D328" s="210"/>
      <c r="E328" s="210"/>
      <c r="F328" s="210"/>
      <c r="G328" s="210"/>
      <c r="H328" s="210"/>
      <c r="I328" s="210"/>
    </row>
    <row r="329" spans="1:9" ht="20.100000000000001" customHeight="1" x14ac:dyDescent="0.25">
      <c r="A329" s="23">
        <v>4</v>
      </c>
      <c r="B329" s="14" t="s">
        <v>233</v>
      </c>
      <c r="C329" s="210"/>
      <c r="D329" s="210"/>
      <c r="E329" s="210"/>
      <c r="F329" s="210"/>
      <c r="G329" s="210"/>
      <c r="H329" s="210"/>
      <c r="I329" s="210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13.047374999999999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0</v>
      </c>
      <c r="G331" s="86">
        <f>data!BY61</f>
        <v>1197675.1099999996</v>
      </c>
      <c r="H331" s="86">
        <f>data!BZ61</f>
        <v>0</v>
      </c>
      <c r="I331" s="86">
        <f>data!CA61</f>
        <v>182183.72000000003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0</v>
      </c>
      <c r="G332" s="86">
        <f>data!BY62</f>
        <v>288225</v>
      </c>
      <c r="H332" s="86">
        <f>data!BZ62</f>
        <v>0</v>
      </c>
      <c r="I332" s="86">
        <f>data!CA62</f>
        <v>42484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0</v>
      </c>
      <c r="G334" s="86">
        <f>data!BY64</f>
        <v>1246.93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592.17999999999995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31867.568360000008</v>
      </c>
      <c r="D336" s="86">
        <f>data!BV66</f>
        <v>2395212.8505677478</v>
      </c>
      <c r="E336" s="86">
        <f>data!BW66</f>
        <v>469536.11818737997</v>
      </c>
      <c r="F336" s="86">
        <f>data!BX66</f>
        <v>2872459.7217133441</v>
      </c>
      <c r="G336" s="86">
        <f>data!BY66</f>
        <v>87454.731800000009</v>
      </c>
      <c r="H336" s="86">
        <f>data!BZ66</f>
        <v>0</v>
      </c>
      <c r="I336" s="86">
        <f>data!CA66</f>
        <v>282822.08928000001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11340</v>
      </c>
      <c r="E337" s="86">
        <f>data!BW67</f>
        <v>0</v>
      </c>
      <c r="F337" s="86">
        <f>data!BX67</f>
        <v>0</v>
      </c>
      <c r="G337" s="86">
        <f>data!BY67</f>
        <v>3320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402.06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494.90999999999997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31867.568360000008</v>
      </c>
      <c r="D341" s="14">
        <f>data!BV71</f>
        <v>2406552.8505677478</v>
      </c>
      <c r="E341" s="14">
        <f>data!BW71</f>
        <v>469536.11818737997</v>
      </c>
      <c r="F341" s="14">
        <f>data!BX71</f>
        <v>2872459.7217133441</v>
      </c>
      <c r="G341" s="14">
        <f>data!BY71</f>
        <v>1579410.9217999994</v>
      </c>
      <c r="H341" s="14">
        <f>data!BZ71</f>
        <v>0</v>
      </c>
      <c r="I341" s="14">
        <f>data!CA71</f>
        <v>507489.80928000004</v>
      </c>
    </row>
    <row r="342" spans="1:9" ht="20.100000000000001" customHeight="1" x14ac:dyDescent="0.25">
      <c r="A342" s="23">
        <v>17</v>
      </c>
      <c r="B342" s="14" t="s">
        <v>244</v>
      </c>
      <c r="C342" s="209"/>
      <c r="D342" s="209"/>
      <c r="E342" s="209"/>
      <c r="F342" s="209"/>
      <c r="G342" s="209"/>
      <c r="H342" s="209"/>
      <c r="I342" s="209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1" t="str">
        <f>IF(data!BU73&gt;0,data!BU73,"")</f>
        <v>x</v>
      </c>
      <c r="D344" s="211" t="str">
        <f>IF(data!BV73&gt;0,data!BV73,"")</f>
        <v>x</v>
      </c>
      <c r="E344" s="211" t="str">
        <f>IF(data!BW73&gt;0,data!BW73,"")</f>
        <v>x</v>
      </c>
      <c r="F344" s="211" t="str">
        <f>IF(data!BX73&gt;0,data!BX73,"")</f>
        <v>x</v>
      </c>
      <c r="G344" s="211" t="str">
        <f>IF(data!BY73&gt;0,data!BY73,"")</f>
        <v>x</v>
      </c>
      <c r="H344" s="211" t="str">
        <f>IF(data!BZ73&gt;0,data!BZ73,"")</f>
        <v>x</v>
      </c>
      <c r="I344" s="211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1" t="str">
        <f>IF(data!BU74&gt;0,data!BU74,"")</f>
        <v>x</v>
      </c>
      <c r="D345" s="211" t="str">
        <f>IF(data!BV74&gt;0,data!BV74,"")</f>
        <v>x</v>
      </c>
      <c r="E345" s="211" t="str">
        <f>IF(data!BW74&gt;0,data!BW74,"")</f>
        <v>x</v>
      </c>
      <c r="F345" s="211" t="str">
        <f>IF(data!BX74&gt;0,data!BX74,"")</f>
        <v>x</v>
      </c>
      <c r="G345" s="211" t="str">
        <f>IF(data!BY74&gt;0,data!BY74,"")</f>
        <v>x</v>
      </c>
      <c r="H345" s="211" t="str">
        <f>IF(data!BZ74&gt;0,data!BZ74,"")</f>
        <v>x</v>
      </c>
      <c r="I345" s="211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1" t="str">
        <f>IF(data!BU75&gt;0,data!BU75,"")</f>
        <v>x</v>
      </c>
      <c r="D346" s="211" t="str">
        <f>IF(data!BV75&gt;0,data!BV75,"")</f>
        <v>x</v>
      </c>
      <c r="E346" s="211" t="str">
        <f>IF(data!BW75&gt;0,data!BW75,"")</f>
        <v>x</v>
      </c>
      <c r="F346" s="211" t="str">
        <f>IF(data!BX75&gt;0,data!BX75,"")</f>
        <v>x</v>
      </c>
      <c r="G346" s="211" t="str">
        <f>IF(data!BY75&gt;0,data!BY75,"")</f>
        <v>x</v>
      </c>
      <c r="H346" s="211" t="str">
        <f>IF(data!BZ75&gt;0,data!BZ75,"")</f>
        <v>x</v>
      </c>
      <c r="I346" s="211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09"/>
      <c r="D347" s="209"/>
      <c r="E347" s="209"/>
      <c r="F347" s="209"/>
      <c r="G347" s="209"/>
      <c r="H347" s="209"/>
      <c r="I347" s="209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930</v>
      </c>
      <c r="E348" s="85">
        <f>data!BW76</f>
        <v>0</v>
      </c>
      <c r="F348" s="85">
        <f>data!BX76</f>
        <v>0</v>
      </c>
      <c r="G348" s="85">
        <f>data!BY76</f>
        <v>140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278.61467169787289</v>
      </c>
      <c r="E350" s="85">
        <f>data!BW78</f>
        <v>0</v>
      </c>
      <c r="F350" s="85">
        <f>data!BX78</f>
        <v>0</v>
      </c>
      <c r="G350" s="85">
        <f>data!BY78</f>
        <v>41.941993588927097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4" t="str">
        <f>IF(data!BU80&gt;0,data!BU80,"")</f>
        <v/>
      </c>
      <c r="D352" s="214" t="str">
        <f>IF(data!BV80&gt;0,data!BV80,"")</f>
        <v/>
      </c>
      <c r="E352" s="214" t="str">
        <f>IF(data!BW80&gt;0,data!BW80,"")</f>
        <v/>
      </c>
      <c r="F352" s="214" t="str">
        <f>IF(data!BX80&gt;0,data!BX80,"")</f>
        <v/>
      </c>
      <c r="G352" s="214" t="str">
        <f>IF(data!BY80&gt;0,data!BY80,"")</f>
        <v/>
      </c>
      <c r="H352" s="214" t="str">
        <f>IF(data!BZ80&gt;0,data!BZ80,"")</f>
        <v/>
      </c>
      <c r="I352" s="214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St. Anthony Hospital</v>
      </c>
      <c r="B356" s="77"/>
      <c r="C356" s="77"/>
      <c r="D356" s="77"/>
      <c r="E356" s="77"/>
      <c r="F356" s="77"/>
      <c r="G356" s="80"/>
      <c r="H356" s="79" t="str">
        <f>"FYE: "&amp;data!C82</f>
        <v>FYE: 06/30/2019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0"/>
      <c r="D360" s="210"/>
      <c r="E360" s="210"/>
      <c r="F360" s="210"/>
      <c r="G360" s="210"/>
      <c r="H360" s="210"/>
      <c r="I360" s="210"/>
    </row>
    <row r="361" spans="1:9" ht="20.100000000000001" customHeight="1" x14ac:dyDescent="0.25">
      <c r="A361" s="23">
        <v>4</v>
      </c>
      <c r="B361" s="14" t="s">
        <v>233</v>
      </c>
      <c r="C361" s="210"/>
      <c r="D361" s="210"/>
      <c r="E361" s="210"/>
      <c r="F361" s="210"/>
      <c r="G361" s="210"/>
      <c r="H361" s="210"/>
      <c r="I361" s="210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5"/>
      <c r="F362" s="209"/>
      <c r="G362" s="209"/>
      <c r="H362" s="209"/>
      <c r="I362" s="87">
        <f>data!CE60</f>
        <v>756.29877884615416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78285.38</v>
      </c>
      <c r="E363" s="216"/>
      <c r="F363" s="217"/>
      <c r="G363" s="217"/>
      <c r="H363" s="217"/>
      <c r="I363" s="86">
        <f>data!CE61</f>
        <v>69556966.86999999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3583</v>
      </c>
      <c r="E364" s="216"/>
      <c r="F364" s="217"/>
      <c r="G364" s="217"/>
      <c r="H364" s="217"/>
      <c r="I364" s="86">
        <f>data!CE62</f>
        <v>15636201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6"/>
      <c r="F365" s="217"/>
      <c r="G365" s="217"/>
      <c r="H365" s="217"/>
      <c r="I365" s="86">
        <f>data!CE63</f>
        <v>6792352.4100000001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47089.99</v>
      </c>
      <c r="E366" s="216"/>
      <c r="F366" s="217"/>
      <c r="G366" s="217"/>
      <c r="H366" s="217"/>
      <c r="I366" s="86">
        <f>data!CE64</f>
        <v>27170157.069999993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6"/>
      <c r="F367" s="217"/>
      <c r="G367" s="217"/>
      <c r="H367" s="217"/>
      <c r="I367" s="86">
        <f>data!CE65</f>
        <v>1304921.55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34213.396519999995</v>
      </c>
      <c r="D368" s="86">
        <f>data!CC66</f>
        <v>7564383.5441428963</v>
      </c>
      <c r="E368" s="216"/>
      <c r="F368" s="217"/>
      <c r="G368" s="217"/>
      <c r="H368" s="217"/>
      <c r="I368" s="86">
        <f>data!CE66</f>
        <v>36327598.815589316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6"/>
      <c r="F369" s="217"/>
      <c r="G369" s="217"/>
      <c r="H369" s="217"/>
      <c r="I369" s="86">
        <f>data!CE67</f>
        <v>12756247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-38076</v>
      </c>
      <c r="E370" s="216"/>
      <c r="F370" s="217"/>
      <c r="G370" s="217"/>
      <c r="H370" s="217"/>
      <c r="I370" s="86">
        <f>data!CE68</f>
        <v>3912005.31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-469514.68</v>
      </c>
      <c r="E371" s="86">
        <f>data!CD69</f>
        <v>7285323</v>
      </c>
      <c r="F371" s="217"/>
      <c r="G371" s="217"/>
      <c r="H371" s="217"/>
      <c r="I371" s="86">
        <f>data!CE69</f>
        <v>12714613.260000002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5">
        <f>data!CD70</f>
        <v>39008</v>
      </c>
      <c r="F372" s="218"/>
      <c r="G372" s="218"/>
      <c r="H372" s="218"/>
      <c r="I372" s="14">
        <f>-data!CE70</f>
        <v>-8262923.6300000008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34213.396519999995</v>
      </c>
      <c r="D373" s="86">
        <f>data!CC71</f>
        <v>7185751.2341428967</v>
      </c>
      <c r="E373" s="86">
        <f>data!CD71</f>
        <v>7246315</v>
      </c>
      <c r="F373" s="217"/>
      <c r="G373" s="217"/>
      <c r="H373" s="217"/>
      <c r="I373" s="14">
        <f>data!CE71</f>
        <v>177908139.65558928</v>
      </c>
    </row>
    <row r="374" spans="1:9" ht="20.100000000000001" customHeight="1" x14ac:dyDescent="0.25">
      <c r="A374" s="23">
        <v>17</v>
      </c>
      <c r="B374" s="14" t="s">
        <v>244</v>
      </c>
      <c r="C374" s="217"/>
      <c r="D374" s="217"/>
      <c r="E374" s="217"/>
      <c r="F374" s="217"/>
      <c r="G374" s="217"/>
      <c r="H374" s="217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1" t="str">
        <f>IF(data!CB73&gt;0,data!CB73,"")</f>
        <v>x</v>
      </c>
      <c r="D376" s="211" t="str">
        <f>IF(data!CC73&gt;0,data!CC73,"")</f>
        <v>x</v>
      </c>
      <c r="E376" s="212"/>
      <c r="F376" s="209"/>
      <c r="G376" s="209"/>
      <c r="H376" s="209"/>
      <c r="I376" s="85">
        <f>data!CE73</f>
        <v>368866362.50999999</v>
      </c>
    </row>
    <row r="377" spans="1:9" ht="20.100000000000001" customHeight="1" x14ac:dyDescent="0.25">
      <c r="A377" s="23">
        <v>20</v>
      </c>
      <c r="B377" s="48" t="s">
        <v>1183</v>
      </c>
      <c r="C377" s="211" t="str">
        <f>IF(data!CB74&gt;0,data!CB74,"")</f>
        <v>x</v>
      </c>
      <c r="D377" s="211" t="str">
        <f>IF(data!CC74&gt;0,data!CC74,"")</f>
        <v>x</v>
      </c>
      <c r="E377" s="212"/>
      <c r="F377" s="209"/>
      <c r="G377" s="209"/>
      <c r="H377" s="209"/>
      <c r="I377" s="85">
        <f>data!CE74</f>
        <v>514688705.34000003</v>
      </c>
    </row>
    <row r="378" spans="1:9" ht="20.100000000000001" customHeight="1" x14ac:dyDescent="0.25">
      <c r="A378" s="23">
        <v>21</v>
      </c>
      <c r="B378" s="48" t="s">
        <v>1184</v>
      </c>
      <c r="C378" s="211" t="str">
        <f>IF(data!CB75&gt;0,data!CB75,"")</f>
        <v>x</v>
      </c>
      <c r="D378" s="211" t="str">
        <f>IF(data!CC75&gt;0,data!CC75,"")</f>
        <v>x</v>
      </c>
      <c r="E378" s="212"/>
      <c r="F378" s="209"/>
      <c r="G378" s="209"/>
      <c r="H378" s="209"/>
      <c r="I378" s="85">
        <f>data!CE75</f>
        <v>883555067.8499999</v>
      </c>
    </row>
    <row r="379" spans="1:9" ht="20.100000000000001" customHeight="1" x14ac:dyDescent="0.25">
      <c r="A379" s="23" t="s">
        <v>1185</v>
      </c>
      <c r="B379" s="60"/>
      <c r="C379" s="209"/>
      <c r="D379" s="209"/>
      <c r="E379" s="209"/>
      <c r="F379" s="209"/>
      <c r="G379" s="209"/>
      <c r="H379" s="209"/>
      <c r="I379" s="209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2"/>
      <c r="F380" s="209"/>
      <c r="G380" s="209"/>
      <c r="H380" s="209"/>
      <c r="I380" s="14">
        <f>data!CE76</f>
        <v>284982.5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1" t="str">
        <f>IF(data!CC77&gt;0,data!CC77,"")</f>
        <v>x</v>
      </c>
      <c r="E381" s="212"/>
      <c r="F381" s="209"/>
      <c r="G381" s="209"/>
      <c r="H381" s="209"/>
      <c r="I381" s="14">
        <f>data!CE77</f>
        <v>110236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1" t="str">
        <f>IF(data!CC78&gt;0,data!CC78,"")</f>
        <v>x</v>
      </c>
      <c r="E382" s="212"/>
      <c r="F382" s="209"/>
      <c r="G382" s="209"/>
      <c r="H382" s="209"/>
      <c r="I382" s="14">
        <f>data!CE78</f>
        <v>56449.13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1" t="str">
        <f>IF(data!CC79&gt;0,data!CC79,"")</f>
        <v>x</v>
      </c>
      <c r="E383" s="212"/>
      <c r="F383" s="209"/>
      <c r="G383" s="209"/>
      <c r="H383" s="209"/>
      <c r="I383" s="14">
        <f>data!CE79</f>
        <v>773356</v>
      </c>
    </row>
    <row r="384" spans="1:9" ht="20.100000000000001" customHeight="1" x14ac:dyDescent="0.25">
      <c r="A384" s="23">
        <v>26</v>
      </c>
      <c r="B384" s="14" t="s">
        <v>252</v>
      </c>
      <c r="C384" s="211" t="str">
        <f>IF(data!CB80&gt;0,data!CB80,"")</f>
        <v/>
      </c>
      <c r="D384" s="211" t="str">
        <f>IF(data!CC80&gt;0,data!CC80,"")</f>
        <v>x</v>
      </c>
      <c r="E384" s="215"/>
      <c r="F384" s="209"/>
      <c r="G384" s="209"/>
      <c r="H384" s="209"/>
      <c r="I384" s="84">
        <f>data!CE80</f>
        <v>206.41299999999995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94" transitionEvaluation="1" transitionEntry="1" codeName="Sheet10">
    <pageSetUpPr autoPageBreaks="0" fitToPage="1"/>
  </sheetPr>
  <dimension ref="A1:CF817"/>
  <sheetViews>
    <sheetView showGridLines="0" topLeftCell="A94" zoomScale="75" workbookViewId="0">
      <selection activeCell="A203" sqref="A203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9" t="s">
        <v>1232</v>
      </c>
      <c r="B1" s="230"/>
      <c r="C1" s="230"/>
      <c r="D1" s="230"/>
      <c r="E1" s="230"/>
      <c r="F1" s="230"/>
    </row>
    <row r="2" spans="1:6" ht="12.75" customHeight="1" x14ac:dyDescent="0.25">
      <c r="A2" s="230" t="s">
        <v>1233</v>
      </c>
      <c r="B2" s="230"/>
      <c r="C2" s="231"/>
      <c r="D2" s="230"/>
      <c r="E2" s="230"/>
      <c r="F2" s="230"/>
    </row>
    <row r="3" spans="1:6" ht="12.75" customHeight="1" x14ac:dyDescent="0.25">
      <c r="A3" s="197"/>
      <c r="C3" s="232"/>
    </row>
    <row r="4" spans="1:6" ht="12.75" customHeight="1" x14ac:dyDescent="0.25">
      <c r="C4" s="232"/>
    </row>
    <row r="5" spans="1:6" ht="12.75" customHeight="1" x14ac:dyDescent="0.25">
      <c r="A5" s="197" t="s">
        <v>1258</v>
      </c>
      <c r="C5" s="232"/>
    </row>
    <row r="6" spans="1:6" ht="12.75" customHeight="1" x14ac:dyDescent="0.25">
      <c r="A6" s="197" t="s">
        <v>0</v>
      </c>
      <c r="C6" s="232"/>
    </row>
    <row r="7" spans="1:6" ht="12.75" customHeight="1" x14ac:dyDescent="0.25">
      <c r="A7" s="197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6" t="s">
        <v>1228</v>
      </c>
      <c r="C10" s="232"/>
    </row>
    <row r="11" spans="1:6" ht="12.75" customHeight="1" x14ac:dyDescent="0.25">
      <c r="A11" s="196" t="s">
        <v>1231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7" t="s">
        <v>2</v>
      </c>
      <c r="C14" s="232"/>
    </row>
    <row r="15" spans="1:6" ht="12.75" customHeight="1" x14ac:dyDescent="0.25">
      <c r="A15" s="197"/>
      <c r="C15" s="232"/>
    </row>
    <row r="16" spans="1:6" ht="12.75" customHeight="1" x14ac:dyDescent="0.25">
      <c r="A16" s="180" t="s">
        <v>1260</v>
      </c>
      <c r="C16" s="232"/>
      <c r="F16" s="279" t="s">
        <v>1259</v>
      </c>
    </row>
    <row r="17" spans="1:6" ht="12.75" customHeight="1" x14ac:dyDescent="0.25">
      <c r="A17" s="180" t="s">
        <v>1230</v>
      </c>
      <c r="C17" s="279" t="s">
        <v>1259</v>
      </c>
    </row>
    <row r="18" spans="1:6" ht="12.75" customHeight="1" x14ac:dyDescent="0.25">
      <c r="A18" s="224"/>
      <c r="C18" s="232"/>
    </row>
    <row r="19" spans="1:6" ht="12.75" customHeight="1" x14ac:dyDescent="0.25">
      <c r="C19" s="232"/>
    </row>
    <row r="20" spans="1:6" ht="12.75" customHeight="1" x14ac:dyDescent="0.25">
      <c r="A20" s="269" t="s">
        <v>1234</v>
      </c>
      <c r="B20" s="269"/>
      <c r="C20" s="280"/>
      <c r="D20" s="269"/>
      <c r="E20" s="269"/>
      <c r="F20" s="269"/>
    </row>
    <row r="21" spans="1:6" ht="22.5" customHeight="1" x14ac:dyDescent="0.25">
      <c r="A21" s="197"/>
      <c r="C21" s="232"/>
    </row>
    <row r="22" spans="1:6" ht="12.6" customHeight="1" x14ac:dyDescent="0.25">
      <c r="A22" s="233" t="s">
        <v>1254</v>
      </c>
      <c r="B22" s="234"/>
      <c r="C22" s="235"/>
      <c r="D22" s="233"/>
      <c r="E22" s="233"/>
    </row>
    <row r="23" spans="1:6" ht="12.6" customHeight="1" x14ac:dyDescent="0.25">
      <c r="B23" s="197"/>
      <c r="C23" s="232"/>
    </row>
    <row r="24" spans="1:6" ht="12.6" customHeight="1" x14ac:dyDescent="0.25">
      <c r="A24" s="236" t="s">
        <v>3</v>
      </c>
      <c r="C24" s="232"/>
    </row>
    <row r="25" spans="1:6" ht="12.6" customHeight="1" x14ac:dyDescent="0.25">
      <c r="A25" s="196" t="s">
        <v>1235</v>
      </c>
      <c r="C25" s="232"/>
    </row>
    <row r="26" spans="1:6" ht="12.6" customHeight="1" x14ac:dyDescent="0.25">
      <c r="A26" s="197" t="s">
        <v>4</v>
      </c>
      <c r="C26" s="232"/>
    </row>
    <row r="27" spans="1:6" ht="12.6" customHeight="1" x14ac:dyDescent="0.25">
      <c r="A27" s="196" t="s">
        <v>1236</v>
      </c>
      <c r="C27" s="232"/>
    </row>
    <row r="28" spans="1:6" ht="12.6" customHeight="1" x14ac:dyDescent="0.25">
      <c r="A28" s="197" t="s">
        <v>5</v>
      </c>
      <c r="C28" s="232"/>
    </row>
    <row r="29" spans="1:6" ht="12.6" customHeight="1" x14ac:dyDescent="0.25">
      <c r="A29" s="196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7" t="s">
        <v>7</v>
      </c>
      <c r="C31" s="232"/>
    </row>
    <row r="32" spans="1:6" ht="12.6" customHeight="1" x14ac:dyDescent="0.25">
      <c r="A32" s="197" t="s">
        <v>8</v>
      </c>
      <c r="C32" s="232"/>
    </row>
    <row r="33" spans="1:83" ht="12.6" customHeight="1" x14ac:dyDescent="0.25">
      <c r="A33" s="196" t="s">
        <v>1237</v>
      </c>
      <c r="C33" s="232"/>
    </row>
    <row r="34" spans="1:83" ht="12.6" customHeight="1" x14ac:dyDescent="0.25">
      <c r="A34" s="197" t="s">
        <v>9</v>
      </c>
      <c r="C34" s="232"/>
    </row>
    <row r="35" spans="1:83" ht="12.6" customHeight="1" x14ac:dyDescent="0.25">
      <c r="A35" s="197"/>
      <c r="C35" s="232"/>
    </row>
    <row r="36" spans="1:83" ht="12.6" customHeight="1" x14ac:dyDescent="0.25">
      <c r="A36" s="196" t="s">
        <v>1238</v>
      </c>
      <c r="C36" s="232"/>
    </row>
    <row r="37" spans="1:83" ht="12.6" customHeight="1" x14ac:dyDescent="0.25">
      <c r="A37" s="197" t="s">
        <v>1229</v>
      </c>
      <c r="C37" s="232"/>
    </row>
    <row r="38" spans="1:83" ht="12" customHeight="1" x14ac:dyDescent="0.25">
      <c r="A38" s="196"/>
      <c r="C38" s="232"/>
    </row>
    <row r="39" spans="1:83" ht="12.6" customHeight="1" x14ac:dyDescent="0.25">
      <c r="A39" s="197"/>
      <c r="C39" s="232"/>
    </row>
    <row r="40" spans="1:83" ht="12" customHeight="1" x14ac:dyDescent="0.25">
      <c r="A40" s="197"/>
      <c r="C40" s="232"/>
    </row>
    <row r="41" spans="1:83" ht="12" customHeight="1" x14ac:dyDescent="0.25">
      <c r="A41" s="197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25">
      <c r="A42" s="197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25">
      <c r="A43" s="197"/>
      <c r="C43" s="232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10054048</v>
      </c>
      <c r="C47" s="184">
        <v>899222.32000000007</v>
      </c>
      <c r="D47" s="184">
        <v>0</v>
      </c>
      <c r="E47" s="184">
        <v>1822465.42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1867187.9900000002</v>
      </c>
      <c r="Q47" s="184">
        <v>548455.03</v>
      </c>
      <c r="R47" s="184">
        <v>0</v>
      </c>
      <c r="S47" s="184">
        <v>235582.52</v>
      </c>
      <c r="T47" s="184">
        <v>67506.559999999998</v>
      </c>
      <c r="U47" s="184">
        <v>344030.5</v>
      </c>
      <c r="V47" s="184">
        <v>0</v>
      </c>
      <c r="W47" s="184">
        <v>60448</v>
      </c>
      <c r="X47" s="184">
        <v>135434.47</v>
      </c>
      <c r="Y47" s="184">
        <v>438357.57</v>
      </c>
      <c r="Z47" s="184">
        <v>0</v>
      </c>
      <c r="AA47" s="184">
        <v>56825.299999999996</v>
      </c>
      <c r="AB47" s="184">
        <v>548512.55999999982</v>
      </c>
      <c r="AC47" s="184">
        <v>259951.53000000003</v>
      </c>
      <c r="AD47" s="184">
        <v>0</v>
      </c>
      <c r="AE47" s="184">
        <v>231371.77000000002</v>
      </c>
      <c r="AF47" s="184">
        <v>0</v>
      </c>
      <c r="AG47" s="184">
        <v>826549.12</v>
      </c>
      <c r="AH47" s="184">
        <v>0</v>
      </c>
      <c r="AI47" s="184">
        <v>0</v>
      </c>
      <c r="AJ47" s="184">
        <v>91667.400000000009</v>
      </c>
      <c r="AK47" s="184">
        <v>59964.819999999992</v>
      </c>
      <c r="AL47" s="184">
        <v>17971.84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47651.42</v>
      </c>
      <c r="AW47" s="184">
        <v>0</v>
      </c>
      <c r="AX47" s="184">
        <v>0</v>
      </c>
      <c r="AY47" s="184">
        <v>0</v>
      </c>
      <c r="AZ47" s="184">
        <v>467207.19000000006</v>
      </c>
      <c r="BA47" s="184">
        <v>22374.48</v>
      </c>
      <c r="BB47" s="184">
        <v>0</v>
      </c>
      <c r="BC47" s="184">
        <v>57150.8</v>
      </c>
      <c r="BD47" s="184">
        <v>0</v>
      </c>
      <c r="BE47" s="184">
        <v>111712.18</v>
      </c>
      <c r="BF47" s="184">
        <v>374093.9</v>
      </c>
      <c r="BG47" s="184">
        <v>0</v>
      </c>
      <c r="BH47" s="184">
        <v>0</v>
      </c>
      <c r="BI47" s="184">
        <v>5571.33</v>
      </c>
      <c r="BJ47" s="184">
        <v>0</v>
      </c>
      <c r="BK47" s="184">
        <v>0</v>
      </c>
      <c r="BL47" s="184">
        <v>0</v>
      </c>
      <c r="BM47" s="184">
        <v>0</v>
      </c>
      <c r="BN47" s="184">
        <v>180248.81</v>
      </c>
      <c r="BO47" s="184">
        <v>0</v>
      </c>
      <c r="BP47" s="184">
        <v>0</v>
      </c>
      <c r="BQ47" s="184">
        <v>0</v>
      </c>
      <c r="BR47" s="184">
        <v>-107.8100000003451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0</v>
      </c>
      <c r="BY47" s="184">
        <v>241902.89</v>
      </c>
      <c r="BZ47" s="184">
        <v>0</v>
      </c>
      <c r="CA47" s="184">
        <v>32489.510000000002</v>
      </c>
      <c r="CB47" s="184">
        <v>0</v>
      </c>
      <c r="CC47" s="184">
        <v>2248.41</v>
      </c>
      <c r="CD47" s="193"/>
      <c r="CE47" s="193">
        <f>SUM(C47:CC47)</f>
        <v>10054047.83</v>
      </c>
    </row>
    <row r="48" spans="1:83" ht="12.6" customHeight="1" x14ac:dyDescent="0.25">
      <c r="A48" s="175" t="s">
        <v>205</v>
      </c>
      <c r="B48" s="183">
        <v>0</v>
      </c>
      <c r="C48" s="241">
        <f>ROUND(((B48/CE61)*C61),0)</f>
        <v>0</v>
      </c>
      <c r="D48" s="241">
        <f>ROUND(((B48/CE61)*D61),0)</f>
        <v>0</v>
      </c>
      <c r="E48" s="193">
        <f>ROUND(((B48/CE61)*E61),0)</f>
        <v>0</v>
      </c>
      <c r="F48" s="193">
        <f>ROUND(((B48/CE61)*F61),0)</f>
        <v>0</v>
      </c>
      <c r="G48" s="193">
        <f>ROUND(((B48/CE61)*G61),0)</f>
        <v>0</v>
      </c>
      <c r="H48" s="193">
        <f>ROUND(((B48/CE61)*H61),0)</f>
        <v>0</v>
      </c>
      <c r="I48" s="193">
        <f>ROUND(((B48/CE61)*I61),0)</f>
        <v>0</v>
      </c>
      <c r="J48" s="193">
        <f>ROUND(((B48/CE61)*J61),0)</f>
        <v>0</v>
      </c>
      <c r="K48" s="193">
        <f>ROUND(((B48/CE61)*K61),0)</f>
        <v>0</v>
      </c>
      <c r="L48" s="193">
        <f>ROUND(((B48/CE61)*L61),0)</f>
        <v>0</v>
      </c>
      <c r="M48" s="193">
        <f>ROUND(((B48/CE61)*M61),0)</f>
        <v>0</v>
      </c>
      <c r="N48" s="193">
        <f>ROUND(((B48/CE61)*N61),0)</f>
        <v>0</v>
      </c>
      <c r="O48" s="193">
        <f>ROUND(((B48/CE61)*O61),0)</f>
        <v>0</v>
      </c>
      <c r="P48" s="193">
        <f>ROUND(((B48/CE61)*P61),0)</f>
        <v>0</v>
      </c>
      <c r="Q48" s="193">
        <f>ROUND(((B48/CE61)*Q61),0)</f>
        <v>0</v>
      </c>
      <c r="R48" s="193">
        <f>ROUND(((B48/CE61)*R61),0)</f>
        <v>0</v>
      </c>
      <c r="S48" s="193">
        <f>ROUND(((B48/CE61)*S61),0)</f>
        <v>0</v>
      </c>
      <c r="T48" s="193">
        <f>ROUND(((B48/CE61)*T61),0)</f>
        <v>0</v>
      </c>
      <c r="U48" s="193">
        <f>ROUND(((B48/CE61)*U61),0)</f>
        <v>0</v>
      </c>
      <c r="V48" s="193">
        <f>ROUND(((B48/CE61)*V61),0)</f>
        <v>0</v>
      </c>
      <c r="W48" s="193">
        <f>ROUND(((B48/CE61)*W61),0)</f>
        <v>0</v>
      </c>
      <c r="X48" s="193">
        <f>ROUND(((B48/CE61)*X61),0)</f>
        <v>0</v>
      </c>
      <c r="Y48" s="193">
        <f>ROUND(((B48/CE61)*Y61),0)</f>
        <v>0</v>
      </c>
      <c r="Z48" s="193">
        <f>ROUND(((B48/CE61)*Z61),0)</f>
        <v>0</v>
      </c>
      <c r="AA48" s="193">
        <f>ROUND(((B48/CE61)*AA61),0)</f>
        <v>0</v>
      </c>
      <c r="AB48" s="193">
        <f>ROUND(((B48/CE61)*AB61),0)</f>
        <v>0</v>
      </c>
      <c r="AC48" s="193">
        <f>ROUND(((B48/CE61)*AC61),0)</f>
        <v>0</v>
      </c>
      <c r="AD48" s="193">
        <f>ROUND(((B48/CE61)*AD61),0)</f>
        <v>0</v>
      </c>
      <c r="AE48" s="193">
        <f>ROUND(((B48/CE61)*AE61),0)</f>
        <v>0</v>
      </c>
      <c r="AF48" s="193">
        <f>ROUND(((B48/CE61)*AF61),0)</f>
        <v>0</v>
      </c>
      <c r="AG48" s="193">
        <f>ROUND(((B48/CE61)*AG61),0)</f>
        <v>0</v>
      </c>
      <c r="AH48" s="193">
        <f>ROUND(((B48/CE61)*AH61),0)</f>
        <v>0</v>
      </c>
      <c r="AI48" s="193">
        <f>ROUND(((B48/CE61)*AI61),0)</f>
        <v>0</v>
      </c>
      <c r="AJ48" s="193">
        <f>ROUND(((B48/CE61)*AJ61),0)</f>
        <v>0</v>
      </c>
      <c r="AK48" s="193">
        <f>ROUND(((B48/CE61)*AK61),0)</f>
        <v>0</v>
      </c>
      <c r="AL48" s="193">
        <f>ROUND(((B48/CE61)*AL61),0)</f>
        <v>0</v>
      </c>
      <c r="AM48" s="193">
        <f>ROUND(((B48/CE61)*AM61),0)</f>
        <v>0</v>
      </c>
      <c r="AN48" s="193">
        <f>ROUND(((B48/CE61)*AN61),0)</f>
        <v>0</v>
      </c>
      <c r="AO48" s="193">
        <f>ROUND(((B48/CE61)*AO61),0)</f>
        <v>0</v>
      </c>
      <c r="AP48" s="193">
        <f>ROUND(((B48/CE61)*AP61),0)</f>
        <v>0</v>
      </c>
      <c r="AQ48" s="193">
        <f>ROUND(((B48/CE61)*AQ61),0)</f>
        <v>0</v>
      </c>
      <c r="AR48" s="193">
        <f>ROUND(((B48/CE61)*AR61),0)</f>
        <v>0</v>
      </c>
      <c r="AS48" s="193">
        <f>ROUND(((B48/CE61)*AS61),0)</f>
        <v>0</v>
      </c>
      <c r="AT48" s="193">
        <f>ROUND(((B48/CE61)*AT61),0)</f>
        <v>0</v>
      </c>
      <c r="AU48" s="193">
        <f>ROUND(((B48/CE61)*AU61),0)</f>
        <v>0</v>
      </c>
      <c r="AV48" s="193">
        <f>ROUND(((B48/CE61)*AV61),0)</f>
        <v>0</v>
      </c>
      <c r="AW48" s="193">
        <f>ROUND(((B48/CE61)*AW61),0)</f>
        <v>0</v>
      </c>
      <c r="AX48" s="193">
        <f>ROUND(((B48/CE61)*AX61),0)</f>
        <v>0</v>
      </c>
      <c r="AY48" s="193">
        <f>ROUND(((B48/CE61)*AY61),0)</f>
        <v>0</v>
      </c>
      <c r="AZ48" s="193">
        <f>ROUND(((B48/CE61)*AZ61),0)</f>
        <v>0</v>
      </c>
      <c r="BA48" s="193">
        <f>ROUND(((B48/CE61)*BA61),0)</f>
        <v>0</v>
      </c>
      <c r="BB48" s="193">
        <f>ROUND(((B48/CE61)*BB61),0)</f>
        <v>0</v>
      </c>
      <c r="BC48" s="193">
        <f>ROUND(((B48/CE61)*BC61),0)</f>
        <v>0</v>
      </c>
      <c r="BD48" s="193">
        <f>ROUND(((B48/CE61)*BD61),0)</f>
        <v>0</v>
      </c>
      <c r="BE48" s="193">
        <f>ROUND(((B48/CE61)*BE61),0)</f>
        <v>0</v>
      </c>
      <c r="BF48" s="193">
        <f>ROUND(((B48/CE61)*BF61),0)</f>
        <v>0</v>
      </c>
      <c r="BG48" s="193">
        <f>ROUND(((B48/CE61)*BG61),0)</f>
        <v>0</v>
      </c>
      <c r="BH48" s="193">
        <f>ROUND(((B48/CE61)*BH61),0)</f>
        <v>0</v>
      </c>
      <c r="BI48" s="193">
        <f>ROUND(((B48/CE61)*BI61),0)</f>
        <v>0</v>
      </c>
      <c r="BJ48" s="193">
        <f>ROUND(((B48/CE61)*BJ61),0)</f>
        <v>0</v>
      </c>
      <c r="BK48" s="193">
        <f>ROUND(((B48/CE61)*BK61),0)</f>
        <v>0</v>
      </c>
      <c r="BL48" s="193">
        <f>ROUND(((B48/CE61)*BL61),0)</f>
        <v>0</v>
      </c>
      <c r="BM48" s="193">
        <f>ROUND(((B48/CE61)*BM61),0)</f>
        <v>0</v>
      </c>
      <c r="BN48" s="193">
        <f>ROUND(((B48/CE61)*BN61),0)</f>
        <v>0</v>
      </c>
      <c r="BO48" s="193">
        <f>ROUND(((B48/CE61)*BO61),0)</f>
        <v>0</v>
      </c>
      <c r="BP48" s="193">
        <f>ROUND(((B48/CE61)*BP61),0)</f>
        <v>0</v>
      </c>
      <c r="BQ48" s="193">
        <f>ROUND(((B48/CE61)*BQ61),0)</f>
        <v>0</v>
      </c>
      <c r="BR48" s="193">
        <f>ROUND(((B48/CE61)*BR61),0)</f>
        <v>0</v>
      </c>
      <c r="BS48" s="193">
        <f>ROUND(((B48/CE61)*BS61),0)</f>
        <v>0</v>
      </c>
      <c r="BT48" s="193">
        <f>ROUND(((B48/CE61)*BT61),0)</f>
        <v>0</v>
      </c>
      <c r="BU48" s="193">
        <f>ROUND(((B48/CE61)*BU61),0)</f>
        <v>0</v>
      </c>
      <c r="BV48" s="193">
        <f>ROUND(((B48/CE61)*BV61),0)</f>
        <v>0</v>
      </c>
      <c r="BW48" s="193">
        <f>ROUND(((B48/CE61)*BW61),0)</f>
        <v>0</v>
      </c>
      <c r="BX48" s="193">
        <f>ROUND(((B48/CE61)*BX61),0)</f>
        <v>0</v>
      </c>
      <c r="BY48" s="193">
        <f>ROUND(((B48/CE61)*BY61),0)</f>
        <v>0</v>
      </c>
      <c r="BZ48" s="193">
        <f>ROUND(((B48/CE61)*BZ61),0)</f>
        <v>0</v>
      </c>
      <c r="CA48" s="193">
        <f>ROUND(((B48/CE61)*CA61),0)</f>
        <v>0</v>
      </c>
      <c r="CB48" s="193">
        <f>ROUND(((B48/CE61)*CB61),0)</f>
        <v>0</v>
      </c>
      <c r="CC48" s="193">
        <f>ROUND(((B48/CE61)*CC61),0)</f>
        <v>0</v>
      </c>
      <c r="CD48" s="193"/>
      <c r="CE48" s="193">
        <f>SUM(C48:CD48)</f>
        <v>0</v>
      </c>
    </row>
    <row r="49" spans="1:84" ht="12.6" customHeight="1" x14ac:dyDescent="0.25">
      <c r="A49" s="175" t="s">
        <v>206</v>
      </c>
      <c r="B49" s="193">
        <f>B47+B48</f>
        <v>10054048</v>
      </c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D49" s="193"/>
      <c r="CE49" s="193"/>
    </row>
    <row r="50" spans="1:84" ht="12.6" customHeight="1" x14ac:dyDescent="0.25">
      <c r="A50" s="175" t="s">
        <v>6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</row>
    <row r="51" spans="1:84" ht="12.6" customHeight="1" x14ac:dyDescent="0.25">
      <c r="A51" s="171" t="s">
        <v>207</v>
      </c>
      <c r="B51" s="184">
        <v>7146445</v>
      </c>
      <c r="C51" s="184">
        <v>330079.69999999995</v>
      </c>
      <c r="D51" s="184">
        <v>0</v>
      </c>
      <c r="E51" s="184">
        <v>40298.259999999995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3340146.2600000002</v>
      </c>
      <c r="Q51" s="184">
        <v>46167.08</v>
      </c>
      <c r="R51" s="184">
        <v>0</v>
      </c>
      <c r="S51" s="184">
        <v>205302.55999999997</v>
      </c>
      <c r="T51" s="184">
        <v>2989.86</v>
      </c>
      <c r="U51" s="184">
        <v>151436.09</v>
      </c>
      <c r="V51" s="184">
        <v>0</v>
      </c>
      <c r="W51" s="184">
        <v>18016.560000000001</v>
      </c>
      <c r="X51" s="184">
        <v>3587.88</v>
      </c>
      <c r="Y51" s="184">
        <v>495172.66999999993</v>
      </c>
      <c r="Z51" s="184">
        <v>0</v>
      </c>
      <c r="AA51" s="184">
        <v>8926.42</v>
      </c>
      <c r="AB51" s="184">
        <v>180458.72</v>
      </c>
      <c r="AC51" s="184">
        <v>12314.96</v>
      </c>
      <c r="AD51" s="184">
        <v>0</v>
      </c>
      <c r="AE51" s="184">
        <v>4233.8599999999997</v>
      </c>
      <c r="AF51" s="184">
        <v>0</v>
      </c>
      <c r="AG51" s="184">
        <v>270223.01000000007</v>
      </c>
      <c r="AH51" s="184">
        <v>0</v>
      </c>
      <c r="AI51" s="184">
        <v>0</v>
      </c>
      <c r="AJ51" s="184">
        <v>518545.68000000005</v>
      </c>
      <c r="AK51" s="184">
        <v>91245.909999999989</v>
      </c>
      <c r="AL51" s="184">
        <v>175.75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17961.59</v>
      </c>
      <c r="AW51" s="184">
        <v>0</v>
      </c>
      <c r="AX51" s="184">
        <v>0</v>
      </c>
      <c r="AY51" s="184">
        <v>0</v>
      </c>
      <c r="AZ51" s="184">
        <v>191710.87000000005</v>
      </c>
      <c r="BA51" s="184">
        <v>13242.689999999999</v>
      </c>
      <c r="BB51" s="184">
        <v>0</v>
      </c>
      <c r="BC51" s="184">
        <v>0</v>
      </c>
      <c r="BD51" s="184">
        <v>0</v>
      </c>
      <c r="BE51" s="184">
        <v>248829.21</v>
      </c>
      <c r="BF51" s="184">
        <v>54554.83</v>
      </c>
      <c r="BG51" s="184">
        <v>0</v>
      </c>
      <c r="BH51" s="184">
        <v>0</v>
      </c>
      <c r="BI51" s="184">
        <v>9196.8399999999983</v>
      </c>
      <c r="BJ51" s="184">
        <v>0</v>
      </c>
      <c r="BK51" s="184">
        <v>0</v>
      </c>
      <c r="BL51" s="184">
        <v>23370.089999999993</v>
      </c>
      <c r="BM51" s="184">
        <v>0</v>
      </c>
      <c r="BN51" s="184">
        <v>866635.32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1615.37</v>
      </c>
      <c r="BZ51" s="184">
        <v>0</v>
      </c>
      <c r="CA51" s="184">
        <v>0</v>
      </c>
      <c r="CB51" s="184">
        <v>0</v>
      </c>
      <c r="CC51" s="184">
        <v>0</v>
      </c>
      <c r="CD51" s="193"/>
      <c r="CE51" s="193">
        <f>SUM(C51:CD51)</f>
        <v>7146438.04</v>
      </c>
    </row>
    <row r="52" spans="1:84" ht="12.6" customHeight="1" x14ac:dyDescent="0.25">
      <c r="A52" s="171" t="s">
        <v>208</v>
      </c>
      <c r="B52" s="184">
        <v>3117137.78</v>
      </c>
      <c r="C52" s="193">
        <f>ROUND((B52/(CE76+CF76)*C76),0)</f>
        <v>151727</v>
      </c>
      <c r="D52" s="193">
        <f>ROUND((B52/(CE76+CF76)*D76),0)</f>
        <v>0</v>
      </c>
      <c r="E52" s="193">
        <f>ROUND((B52/(CE76+CF76)*E76),0)</f>
        <v>633995</v>
      </c>
      <c r="F52" s="193">
        <f>ROUND((B52/(CE76+CF76)*F76),0)</f>
        <v>0</v>
      </c>
      <c r="G52" s="193">
        <f>ROUND((B52/(CE76+CF76)*G76),0)</f>
        <v>0</v>
      </c>
      <c r="H52" s="193">
        <f>ROUND((B52/(CE76+CF76)*H76),0)</f>
        <v>0</v>
      </c>
      <c r="I52" s="193">
        <f>ROUND((B52/(CE76+CF76)*I76),0)</f>
        <v>0</v>
      </c>
      <c r="J52" s="193">
        <f>ROUND((B52/(CE76+CF76)*J76),0)</f>
        <v>0</v>
      </c>
      <c r="K52" s="193">
        <f>ROUND((B52/(CE76+CF76)*K76),0)</f>
        <v>0</v>
      </c>
      <c r="L52" s="193">
        <f>ROUND((B52/(CE76+CF76)*L76),0)</f>
        <v>0</v>
      </c>
      <c r="M52" s="193">
        <f>ROUND((B52/(CE76+CF76)*M76),0)</f>
        <v>0</v>
      </c>
      <c r="N52" s="193">
        <f>ROUND((B52/(CE76+CF76)*N76),0)</f>
        <v>0</v>
      </c>
      <c r="O52" s="193">
        <f>ROUND((B52/(CE76+CF76)*O76),0)</f>
        <v>0</v>
      </c>
      <c r="P52" s="193">
        <f>ROUND((B52/(CE76+CF76)*P76),0)</f>
        <v>306245</v>
      </c>
      <c r="Q52" s="193">
        <f>ROUND((B52/(CE76+CF76)*Q76),0)</f>
        <v>39486</v>
      </c>
      <c r="R52" s="193">
        <f>ROUND((B52/(CE76+CF76)*R76),0)</f>
        <v>0</v>
      </c>
      <c r="S52" s="193">
        <f>ROUND((B52/(CE76+CF76)*S76),0)</f>
        <v>82679</v>
      </c>
      <c r="T52" s="193">
        <f>ROUND((B52/(CE76+CF76)*T76),0)</f>
        <v>0</v>
      </c>
      <c r="U52" s="193">
        <f>ROUND((B52/(CE76+CF76)*U76),0)</f>
        <v>79549</v>
      </c>
      <c r="V52" s="193">
        <f>ROUND((B52/(CE76+CF76)*V76),0)</f>
        <v>0</v>
      </c>
      <c r="W52" s="193">
        <f>ROUND((B52/(CE76+CF76)*W76),0)</f>
        <v>11995</v>
      </c>
      <c r="X52" s="193">
        <f>ROUND((B52/(CE76+CF76)*X76),0)</f>
        <v>10643</v>
      </c>
      <c r="Y52" s="193">
        <f>ROUND((B52/(CE76+CF76)*Y76),0)</f>
        <v>163493</v>
      </c>
      <c r="Z52" s="193">
        <f>ROUND((B52/(CE76+CF76)*Z76),0)</f>
        <v>0</v>
      </c>
      <c r="AA52" s="193">
        <f>ROUND((B52/(CE76+CF76)*AA76),0)</f>
        <v>0</v>
      </c>
      <c r="AB52" s="193">
        <f>ROUND((B52/(CE76+CF76)*AB76),0)</f>
        <v>30915</v>
      </c>
      <c r="AC52" s="193">
        <f>ROUND((B52/(CE76+CF76)*AC76),0)</f>
        <v>7164</v>
      </c>
      <c r="AD52" s="193">
        <f>ROUND((B52/(CE76+CF76)*AD76),0)</f>
        <v>0</v>
      </c>
      <c r="AE52" s="193">
        <f>ROUND((B52/(CE76+CF76)*AE76),0)</f>
        <v>63269</v>
      </c>
      <c r="AF52" s="193">
        <f>ROUND((B52/(CE76+CF76)*AF76),0)</f>
        <v>0</v>
      </c>
      <c r="AG52" s="193">
        <f>ROUND((B52/(CE76+CF76)*AG76),0)</f>
        <v>169076</v>
      </c>
      <c r="AH52" s="193">
        <f>ROUND((B52/(CE76+CF76)*AH76),0)</f>
        <v>0</v>
      </c>
      <c r="AI52" s="193">
        <f>ROUND((B52/(CE76+CF76)*AI76),0)</f>
        <v>0</v>
      </c>
      <c r="AJ52" s="193">
        <f>ROUND((B52/(CE76+CF76)*AJ76),0)</f>
        <v>0</v>
      </c>
      <c r="AK52" s="193">
        <f>ROUND((B52/(CE76+CF76)*AK76),0)</f>
        <v>0</v>
      </c>
      <c r="AL52" s="193">
        <f>ROUND((B52/(CE76+CF76)*AL76),0)</f>
        <v>0</v>
      </c>
      <c r="AM52" s="193">
        <f>ROUND((B52/(CE76+CF76)*AM76),0)</f>
        <v>0</v>
      </c>
      <c r="AN52" s="193">
        <f>ROUND((B52/(CE76+CF76)*AN76),0)</f>
        <v>0</v>
      </c>
      <c r="AO52" s="193">
        <f>ROUND((B52/(CE76+CF76)*AO76),0)</f>
        <v>0</v>
      </c>
      <c r="AP52" s="193">
        <f>ROUND((B52/(CE76+CF76)*AP76),0)</f>
        <v>0</v>
      </c>
      <c r="AQ52" s="193">
        <f>ROUND((B52/(CE76+CF76)*AQ76),0)</f>
        <v>0</v>
      </c>
      <c r="AR52" s="193">
        <f>ROUND((B52/(CE76+CF76)*AR76),0)</f>
        <v>0</v>
      </c>
      <c r="AS52" s="193">
        <f>ROUND((B52/(CE76+CF76)*AS76),0)</f>
        <v>0</v>
      </c>
      <c r="AT52" s="193">
        <f>ROUND((B52/(CE76+CF76)*AT76),0)</f>
        <v>0</v>
      </c>
      <c r="AU52" s="193">
        <f>ROUND((B52/(CE76+CF76)*AU76),0)</f>
        <v>0</v>
      </c>
      <c r="AV52" s="193">
        <f>ROUND((B52/(CE76+CF76)*AV76),0)</f>
        <v>0</v>
      </c>
      <c r="AW52" s="193">
        <f>ROUND((B52/(CE76+CF76)*AW76),0)</f>
        <v>0</v>
      </c>
      <c r="AX52" s="193">
        <f>ROUND((B52/(CE76+CF76)*AX76),0)</f>
        <v>0</v>
      </c>
      <c r="AY52" s="193">
        <f>ROUND((B52/(CE76+CF76)*AY76),0)</f>
        <v>13599</v>
      </c>
      <c r="AZ52" s="193">
        <f>ROUND((B52/(CE76+CF76)*AZ76),0)</f>
        <v>66256</v>
      </c>
      <c r="BA52" s="193">
        <f>ROUND((B52/(CE76+CF76)*BA76),0)</f>
        <v>9738</v>
      </c>
      <c r="BB52" s="193">
        <f>ROUND((B52/(CE76+CF76)*BB76),0)</f>
        <v>0</v>
      </c>
      <c r="BC52" s="193">
        <f>ROUND((B52/(CE76+CF76)*BC76),0)</f>
        <v>0</v>
      </c>
      <c r="BD52" s="193">
        <f>ROUND((B52/(CE76+CF76)*BD76),0)</f>
        <v>0</v>
      </c>
      <c r="BE52" s="193">
        <f>ROUND((B52/(CE76+CF76)*BE76),0)</f>
        <v>207487</v>
      </c>
      <c r="BF52" s="193">
        <f>ROUND((B52/(CE76+CF76)*BF76),0)</f>
        <v>7960</v>
      </c>
      <c r="BG52" s="193">
        <f>ROUND((B52/(CE76+CF76)*BG76),0)</f>
        <v>0</v>
      </c>
      <c r="BH52" s="193">
        <f>ROUND((B52/(CE76+CF76)*BH76),0)</f>
        <v>0</v>
      </c>
      <c r="BI52" s="193">
        <f>ROUND((B52/(CE76+CF76)*BI76),0)</f>
        <v>7350</v>
      </c>
      <c r="BJ52" s="193">
        <f>ROUND((B52/(CE76+CF76)*BJ76),0)</f>
        <v>0</v>
      </c>
      <c r="BK52" s="193">
        <f>ROUND((B52/(CE76+CF76)*BK76),0)</f>
        <v>0</v>
      </c>
      <c r="BL52" s="193">
        <f>ROUND((B52/(CE76+CF76)*BL76),0)</f>
        <v>0</v>
      </c>
      <c r="BM52" s="193">
        <f>ROUND((B52/(CE76+CF76)*BM76),0)</f>
        <v>0</v>
      </c>
      <c r="BN52" s="193">
        <f>ROUND((B52/(CE76+CF76)*BN76),0)</f>
        <v>1033329</v>
      </c>
      <c r="BO52" s="193">
        <f>ROUND((B52/(CE76+CF76)*BO76),0)</f>
        <v>0</v>
      </c>
      <c r="BP52" s="193">
        <f>ROUND((B52/(CE76+CF76)*BP76),0)</f>
        <v>0</v>
      </c>
      <c r="BQ52" s="193">
        <f>ROUND((B52/(CE76+CF76)*BQ76),0)</f>
        <v>0</v>
      </c>
      <c r="BR52" s="193">
        <f>ROUND((B52/(CE76+CF76)*BR76),0)</f>
        <v>9520</v>
      </c>
      <c r="BS52" s="193">
        <f>ROUND((B52/(CE76+CF76)*BS76),0)</f>
        <v>0</v>
      </c>
      <c r="BT52" s="193">
        <f>ROUND((B52/(CE76+CF76)*BT76),0)</f>
        <v>0</v>
      </c>
      <c r="BU52" s="193">
        <f>ROUND((B52/(CE76+CF76)*BU76),0)</f>
        <v>0</v>
      </c>
      <c r="BV52" s="193">
        <f>ROUND((B52/(CE76+CF76)*BV76),0)</f>
        <v>10141</v>
      </c>
      <c r="BW52" s="193">
        <f>ROUND((B52/(CE76+CF76)*BW76),0)</f>
        <v>0</v>
      </c>
      <c r="BX52" s="193">
        <f>ROUND((B52/(CE76+CF76)*BX76),0)</f>
        <v>0</v>
      </c>
      <c r="BY52" s="193">
        <f>ROUND((B52/(CE76+CF76)*BY76),0)</f>
        <v>1527</v>
      </c>
      <c r="BZ52" s="193">
        <f>ROUND((B52/(CE76+CF76)*BZ76),0)</f>
        <v>0</v>
      </c>
      <c r="CA52" s="193">
        <f>ROUND((B52/(CE76+CF76)*CA76),0)</f>
        <v>0</v>
      </c>
      <c r="CB52" s="193">
        <f>ROUND((B52/(CE76+CF76)*CB76),0)</f>
        <v>0</v>
      </c>
      <c r="CC52" s="193">
        <f>ROUND((B52/(CE76+CF76)*CC76),0)</f>
        <v>0</v>
      </c>
      <c r="CD52" s="193"/>
      <c r="CE52" s="193">
        <f>SUM(C52:CD52)</f>
        <v>3117143</v>
      </c>
    </row>
    <row r="53" spans="1:84" ht="12.6" customHeight="1" x14ac:dyDescent="0.25">
      <c r="A53" s="175" t="s">
        <v>206</v>
      </c>
      <c r="B53" s="193">
        <f>B51+B52</f>
        <v>10263582.779999999</v>
      </c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</row>
    <row r="54" spans="1:84" ht="15.75" customHeight="1" x14ac:dyDescent="0.25">
      <c r="A54" s="175"/>
      <c r="B54" s="175"/>
      <c r="C54" s="189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184">
        <v>4785</v>
      </c>
      <c r="D59" s="184">
        <v>0</v>
      </c>
      <c r="E59" s="184">
        <v>21515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>
        <v>484912</v>
      </c>
      <c r="Q59" s="185">
        <v>15723</v>
      </c>
      <c r="R59" s="185">
        <v>0</v>
      </c>
      <c r="S59" s="244"/>
      <c r="T59" s="244"/>
      <c r="U59" s="220">
        <v>307972</v>
      </c>
      <c r="V59" s="185">
        <v>0</v>
      </c>
      <c r="W59" s="185">
        <v>3220</v>
      </c>
      <c r="X59" s="185">
        <v>13540</v>
      </c>
      <c r="Y59" s="185">
        <v>80887</v>
      </c>
      <c r="Z59" s="185">
        <v>0</v>
      </c>
      <c r="AA59" s="185">
        <v>1391</v>
      </c>
      <c r="AB59" s="244"/>
      <c r="AC59" s="185">
        <v>22353</v>
      </c>
      <c r="AD59" s="185">
        <v>0</v>
      </c>
      <c r="AE59" s="185">
        <v>42723</v>
      </c>
      <c r="AF59" s="185">
        <v>0</v>
      </c>
      <c r="AG59" s="185">
        <v>25335</v>
      </c>
      <c r="AH59" s="185">
        <v>0</v>
      </c>
      <c r="AI59" s="185">
        <v>0</v>
      </c>
      <c r="AJ59" s="185">
        <v>5263</v>
      </c>
      <c r="AK59" s="185">
        <v>9996</v>
      </c>
      <c r="AL59" s="185">
        <v>1500</v>
      </c>
      <c r="AM59" s="185">
        <v>0</v>
      </c>
      <c r="AN59" s="185">
        <v>0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4"/>
      <c r="AW59" s="244"/>
      <c r="AX59" s="244"/>
      <c r="AY59" s="185">
        <v>124575</v>
      </c>
      <c r="AZ59" s="185">
        <v>351722</v>
      </c>
      <c r="BA59" s="244"/>
      <c r="BB59" s="244"/>
      <c r="BC59" s="244"/>
      <c r="BD59" s="244"/>
      <c r="BE59" s="185">
        <v>285855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3"/>
    </row>
    <row r="60" spans="1:84" ht="12.6" customHeight="1" x14ac:dyDescent="0.25">
      <c r="A60" s="246" t="s">
        <v>234</v>
      </c>
      <c r="B60" s="175"/>
      <c r="C60" s="184">
        <v>43.143745192307691</v>
      </c>
      <c r="D60" s="184">
        <v>0</v>
      </c>
      <c r="E60" s="184">
        <v>148.26187980769231</v>
      </c>
      <c r="F60" s="184">
        <v>0</v>
      </c>
      <c r="G60" s="184">
        <v>0</v>
      </c>
      <c r="H60" s="184">
        <v>0</v>
      </c>
      <c r="I60" s="184">
        <v>0</v>
      </c>
      <c r="J60" s="184">
        <v>0</v>
      </c>
      <c r="K60" s="184">
        <v>0</v>
      </c>
      <c r="L60" s="184">
        <v>0</v>
      </c>
      <c r="M60" s="184">
        <v>0</v>
      </c>
      <c r="N60" s="184">
        <v>0</v>
      </c>
      <c r="O60" s="184">
        <v>0</v>
      </c>
      <c r="P60" s="184">
        <v>35.472389423076919</v>
      </c>
      <c r="Q60" s="184">
        <v>24.026014423076923</v>
      </c>
      <c r="R60" s="184">
        <v>0</v>
      </c>
      <c r="S60" s="184">
        <v>14.645908653846156</v>
      </c>
      <c r="T60" s="184">
        <v>4.3856105769230771</v>
      </c>
      <c r="U60" s="184">
        <v>19.065673076923076</v>
      </c>
      <c r="V60" s="184">
        <v>0</v>
      </c>
      <c r="W60" s="184">
        <v>2.769625</v>
      </c>
      <c r="X60" s="184">
        <v>6.3995096153846154</v>
      </c>
      <c r="Y60" s="184">
        <v>21.361850961538462</v>
      </c>
      <c r="Z60" s="184">
        <v>0</v>
      </c>
      <c r="AA60" s="184">
        <v>2.5279855769230775</v>
      </c>
      <c r="AB60" s="184">
        <v>23.748019230769227</v>
      </c>
      <c r="AC60" s="184">
        <v>12.801634615384614</v>
      </c>
      <c r="AD60" s="184">
        <v>0</v>
      </c>
      <c r="AE60" s="184">
        <v>10.515182692307691</v>
      </c>
      <c r="AF60" s="184">
        <v>0</v>
      </c>
      <c r="AG60" s="184">
        <v>40.446783653846154</v>
      </c>
      <c r="AH60" s="184">
        <v>0</v>
      </c>
      <c r="AI60" s="184">
        <v>0</v>
      </c>
      <c r="AJ60" s="184">
        <v>4.5931778846153852</v>
      </c>
      <c r="AK60" s="184">
        <v>2.6349615384615386</v>
      </c>
      <c r="AL60" s="184">
        <v>0.80769230769230771</v>
      </c>
      <c r="AM60" s="184">
        <v>0</v>
      </c>
      <c r="AN60" s="184">
        <v>0</v>
      </c>
      <c r="AO60" s="184">
        <v>0</v>
      </c>
      <c r="AP60" s="184">
        <v>0</v>
      </c>
      <c r="AQ60" s="184">
        <v>0</v>
      </c>
      <c r="AR60" s="184">
        <v>0</v>
      </c>
      <c r="AS60" s="184">
        <v>0</v>
      </c>
      <c r="AT60" s="184">
        <v>0</v>
      </c>
      <c r="AU60" s="184">
        <v>0</v>
      </c>
      <c r="AV60" s="184">
        <v>2.337048076923077</v>
      </c>
      <c r="AW60" s="184">
        <v>0</v>
      </c>
      <c r="AX60" s="184">
        <v>0</v>
      </c>
      <c r="AY60" s="184">
        <v>0</v>
      </c>
      <c r="AZ60" s="184">
        <v>30.606971153846153</v>
      </c>
      <c r="BA60" s="184">
        <v>1.5129807692307693</v>
      </c>
      <c r="BB60" s="184">
        <v>0</v>
      </c>
      <c r="BC60" s="184">
        <v>3.6698509615384616</v>
      </c>
      <c r="BD60" s="184">
        <v>0</v>
      </c>
      <c r="BE60" s="184">
        <v>6.0483028846153841</v>
      </c>
      <c r="BF60" s="184">
        <v>24.428374999999999</v>
      </c>
      <c r="BG60" s="184">
        <v>0</v>
      </c>
      <c r="BH60" s="184">
        <v>0</v>
      </c>
      <c r="BI60" s="184">
        <v>0.37199519230769229</v>
      </c>
      <c r="BJ60" s="184">
        <v>0</v>
      </c>
      <c r="BK60" s="184">
        <v>0</v>
      </c>
      <c r="BL60" s="184">
        <v>0</v>
      </c>
      <c r="BM60" s="184">
        <v>0</v>
      </c>
      <c r="BN60" s="184">
        <v>7.2821346153846154</v>
      </c>
      <c r="BO60" s="184">
        <v>0</v>
      </c>
      <c r="BP60" s="184">
        <v>0</v>
      </c>
      <c r="BQ60" s="184">
        <v>0</v>
      </c>
      <c r="BR60" s="184">
        <v>0</v>
      </c>
      <c r="BS60" s="184">
        <v>0</v>
      </c>
      <c r="BT60" s="184">
        <v>0</v>
      </c>
      <c r="BU60" s="184">
        <v>0</v>
      </c>
      <c r="BV60" s="184">
        <v>0</v>
      </c>
      <c r="BW60" s="184">
        <v>0</v>
      </c>
      <c r="BX60" s="184">
        <v>0</v>
      </c>
      <c r="BY60" s="184">
        <v>12.192173076923078</v>
      </c>
      <c r="BZ60" s="184">
        <v>0</v>
      </c>
      <c r="CA60" s="184">
        <v>0</v>
      </c>
      <c r="CB60" s="184">
        <v>0</v>
      </c>
      <c r="CC60" s="184">
        <v>0</v>
      </c>
      <c r="CD60" s="245" t="s">
        <v>221</v>
      </c>
      <c r="CE60" s="247">
        <f t="shared" ref="CE60:CE70" si="0">SUM(C60:CD60)</f>
        <v>506.05747596153844</v>
      </c>
    </row>
    <row r="61" spans="1:84" ht="12.6" customHeight="1" x14ac:dyDescent="0.25">
      <c r="A61" s="171" t="s">
        <v>235</v>
      </c>
      <c r="B61" s="175"/>
      <c r="C61" s="184">
        <v>4034039.37</v>
      </c>
      <c r="D61" s="184">
        <v>0</v>
      </c>
      <c r="E61" s="184">
        <v>7603856.9500000002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4">
        <v>7785181.0399999991</v>
      </c>
      <c r="Q61" s="184">
        <v>2543612.7400000002</v>
      </c>
      <c r="R61" s="184">
        <v>0</v>
      </c>
      <c r="S61" s="184">
        <v>697451.72</v>
      </c>
      <c r="T61" s="184">
        <v>318859.40999999997</v>
      </c>
      <c r="U61" s="184">
        <v>1185182.0799999998</v>
      </c>
      <c r="V61" s="184">
        <v>0</v>
      </c>
      <c r="W61" s="184">
        <v>267509.83999999997</v>
      </c>
      <c r="X61" s="184">
        <v>576160.98</v>
      </c>
      <c r="Y61" s="184">
        <v>1792552.89</v>
      </c>
      <c r="Z61" s="184">
        <v>0</v>
      </c>
      <c r="AA61" s="184">
        <v>253068.65</v>
      </c>
      <c r="AB61" s="184">
        <v>2580611.4000000004</v>
      </c>
      <c r="AC61" s="184">
        <v>1053536.8899999999</v>
      </c>
      <c r="AD61" s="184">
        <v>0</v>
      </c>
      <c r="AE61" s="184">
        <v>1014490.8999999999</v>
      </c>
      <c r="AF61" s="184">
        <v>0</v>
      </c>
      <c r="AG61" s="184">
        <v>3617102.9099999992</v>
      </c>
      <c r="AH61" s="184">
        <v>0</v>
      </c>
      <c r="AI61" s="184">
        <v>0</v>
      </c>
      <c r="AJ61" s="184">
        <v>371802.69999999995</v>
      </c>
      <c r="AK61" s="184">
        <v>268202.96000000002</v>
      </c>
      <c r="AL61" s="184">
        <v>78361.72</v>
      </c>
      <c r="AM61" s="184">
        <v>0</v>
      </c>
      <c r="AN61" s="184">
        <v>0</v>
      </c>
      <c r="AO61" s="184">
        <v>0</v>
      </c>
      <c r="AP61" s="184">
        <v>0</v>
      </c>
      <c r="AQ61" s="184">
        <v>0</v>
      </c>
      <c r="AR61" s="184">
        <v>0</v>
      </c>
      <c r="AS61" s="184">
        <v>0</v>
      </c>
      <c r="AT61" s="184">
        <v>0</v>
      </c>
      <c r="AU61" s="184">
        <v>0</v>
      </c>
      <c r="AV61" s="184">
        <v>192275.42</v>
      </c>
      <c r="AW61" s="184">
        <v>0</v>
      </c>
      <c r="AX61" s="184">
        <v>0</v>
      </c>
      <c r="AY61" s="184">
        <v>0</v>
      </c>
      <c r="AZ61" s="184">
        <v>1229035.01</v>
      </c>
      <c r="BA61" s="184">
        <v>53706.06</v>
      </c>
      <c r="BB61" s="184">
        <v>0</v>
      </c>
      <c r="BC61" s="184">
        <v>156102.82000000004</v>
      </c>
      <c r="BD61" s="184">
        <v>0</v>
      </c>
      <c r="BE61" s="184">
        <v>405215.87</v>
      </c>
      <c r="BF61" s="184">
        <v>998661.32000000007</v>
      </c>
      <c r="BG61" s="184">
        <v>0</v>
      </c>
      <c r="BH61" s="184">
        <v>0</v>
      </c>
      <c r="BI61" s="184">
        <v>12139.76</v>
      </c>
      <c r="BJ61" s="184">
        <v>0</v>
      </c>
      <c r="BK61" s="184">
        <v>0</v>
      </c>
      <c r="BL61" s="184">
        <v>0</v>
      </c>
      <c r="BM61" s="184">
        <v>0</v>
      </c>
      <c r="BN61" s="184">
        <v>809885</v>
      </c>
      <c r="BO61" s="184">
        <v>0</v>
      </c>
      <c r="BP61" s="184">
        <v>0</v>
      </c>
      <c r="BQ61" s="184">
        <v>0</v>
      </c>
      <c r="BR61" s="184">
        <v>0</v>
      </c>
      <c r="BS61" s="184">
        <v>0</v>
      </c>
      <c r="BT61" s="184">
        <v>0</v>
      </c>
      <c r="BU61" s="184">
        <v>0</v>
      </c>
      <c r="BV61" s="184">
        <v>0</v>
      </c>
      <c r="BW61" s="184">
        <v>0</v>
      </c>
      <c r="BX61" s="184">
        <v>0</v>
      </c>
      <c r="BY61" s="184">
        <v>1063731.8600000001</v>
      </c>
      <c r="BZ61" s="184">
        <v>0</v>
      </c>
      <c r="CA61" s="184">
        <v>147131.50000000003</v>
      </c>
      <c r="CB61" s="184">
        <v>0</v>
      </c>
      <c r="CC61" s="184">
        <v>63482.47</v>
      </c>
      <c r="CD61" s="245" t="s">
        <v>221</v>
      </c>
      <c r="CE61" s="193">
        <f t="shared" si="0"/>
        <v>41172952.239999995</v>
      </c>
      <c r="CF61" s="248"/>
    </row>
    <row r="62" spans="1:84" ht="12.6" customHeight="1" x14ac:dyDescent="0.25">
      <c r="A62" s="171" t="s">
        <v>3</v>
      </c>
      <c r="B62" s="175"/>
      <c r="C62" s="193">
        <f t="shared" ref="C62:BN62" si="1">ROUND(C47+C48,0)</f>
        <v>899222</v>
      </c>
      <c r="D62" s="193">
        <f t="shared" si="1"/>
        <v>0</v>
      </c>
      <c r="E62" s="193">
        <f t="shared" si="1"/>
        <v>1822465</v>
      </c>
      <c r="F62" s="193">
        <f t="shared" si="1"/>
        <v>0</v>
      </c>
      <c r="G62" s="193">
        <f t="shared" si="1"/>
        <v>0</v>
      </c>
      <c r="H62" s="193">
        <f t="shared" si="1"/>
        <v>0</v>
      </c>
      <c r="I62" s="193">
        <f t="shared" si="1"/>
        <v>0</v>
      </c>
      <c r="J62" s="193">
        <f>ROUND(J47+J48,0)</f>
        <v>0</v>
      </c>
      <c r="K62" s="193">
        <f t="shared" si="1"/>
        <v>0</v>
      </c>
      <c r="L62" s="193">
        <f t="shared" si="1"/>
        <v>0</v>
      </c>
      <c r="M62" s="193">
        <f t="shared" si="1"/>
        <v>0</v>
      </c>
      <c r="N62" s="193">
        <f t="shared" si="1"/>
        <v>0</v>
      </c>
      <c r="O62" s="193">
        <f t="shared" si="1"/>
        <v>0</v>
      </c>
      <c r="P62" s="193">
        <f t="shared" si="1"/>
        <v>1867188</v>
      </c>
      <c r="Q62" s="193">
        <f t="shared" si="1"/>
        <v>548455</v>
      </c>
      <c r="R62" s="193">
        <f t="shared" si="1"/>
        <v>0</v>
      </c>
      <c r="S62" s="193">
        <f t="shared" si="1"/>
        <v>235583</v>
      </c>
      <c r="T62" s="193">
        <f t="shared" si="1"/>
        <v>67507</v>
      </c>
      <c r="U62" s="193">
        <f t="shared" si="1"/>
        <v>344031</v>
      </c>
      <c r="V62" s="193">
        <f t="shared" si="1"/>
        <v>0</v>
      </c>
      <c r="W62" s="193">
        <f t="shared" si="1"/>
        <v>60448</v>
      </c>
      <c r="X62" s="193">
        <f t="shared" si="1"/>
        <v>135434</v>
      </c>
      <c r="Y62" s="193">
        <f t="shared" si="1"/>
        <v>438358</v>
      </c>
      <c r="Z62" s="193">
        <f t="shared" si="1"/>
        <v>0</v>
      </c>
      <c r="AA62" s="193">
        <f t="shared" si="1"/>
        <v>56825</v>
      </c>
      <c r="AB62" s="193">
        <f t="shared" si="1"/>
        <v>548513</v>
      </c>
      <c r="AC62" s="193">
        <f t="shared" si="1"/>
        <v>259952</v>
      </c>
      <c r="AD62" s="193">
        <f t="shared" si="1"/>
        <v>0</v>
      </c>
      <c r="AE62" s="193">
        <f t="shared" si="1"/>
        <v>231372</v>
      </c>
      <c r="AF62" s="193">
        <f t="shared" si="1"/>
        <v>0</v>
      </c>
      <c r="AG62" s="193">
        <f t="shared" si="1"/>
        <v>826549</v>
      </c>
      <c r="AH62" s="193">
        <f t="shared" si="1"/>
        <v>0</v>
      </c>
      <c r="AI62" s="193">
        <f t="shared" si="1"/>
        <v>0</v>
      </c>
      <c r="AJ62" s="193">
        <f t="shared" si="1"/>
        <v>91667</v>
      </c>
      <c r="AK62" s="193">
        <f t="shared" si="1"/>
        <v>59965</v>
      </c>
      <c r="AL62" s="193">
        <f t="shared" si="1"/>
        <v>17972</v>
      </c>
      <c r="AM62" s="193">
        <f t="shared" si="1"/>
        <v>0</v>
      </c>
      <c r="AN62" s="193">
        <f t="shared" si="1"/>
        <v>0</v>
      </c>
      <c r="AO62" s="193">
        <f t="shared" si="1"/>
        <v>0</v>
      </c>
      <c r="AP62" s="193">
        <f t="shared" si="1"/>
        <v>0</v>
      </c>
      <c r="AQ62" s="193">
        <f t="shared" si="1"/>
        <v>0</v>
      </c>
      <c r="AR62" s="193">
        <f t="shared" si="1"/>
        <v>0</v>
      </c>
      <c r="AS62" s="193">
        <f t="shared" si="1"/>
        <v>0</v>
      </c>
      <c r="AT62" s="193">
        <f t="shared" si="1"/>
        <v>0</v>
      </c>
      <c r="AU62" s="193">
        <f t="shared" si="1"/>
        <v>0</v>
      </c>
      <c r="AV62" s="193">
        <f t="shared" si="1"/>
        <v>47651</v>
      </c>
      <c r="AW62" s="193">
        <f t="shared" si="1"/>
        <v>0</v>
      </c>
      <c r="AX62" s="193">
        <f t="shared" si="1"/>
        <v>0</v>
      </c>
      <c r="AY62" s="193">
        <f>ROUND(AY47+AY48,0)</f>
        <v>0</v>
      </c>
      <c r="AZ62" s="193">
        <f>ROUND(AZ47+AZ48,0)</f>
        <v>467207</v>
      </c>
      <c r="BA62" s="193">
        <f>ROUND(BA47+BA48,0)</f>
        <v>22374</v>
      </c>
      <c r="BB62" s="193">
        <f t="shared" si="1"/>
        <v>0</v>
      </c>
      <c r="BC62" s="193">
        <f t="shared" si="1"/>
        <v>57151</v>
      </c>
      <c r="BD62" s="193">
        <f t="shared" si="1"/>
        <v>0</v>
      </c>
      <c r="BE62" s="193">
        <f t="shared" si="1"/>
        <v>111712</v>
      </c>
      <c r="BF62" s="193">
        <f t="shared" si="1"/>
        <v>374094</v>
      </c>
      <c r="BG62" s="193">
        <f t="shared" si="1"/>
        <v>0</v>
      </c>
      <c r="BH62" s="193">
        <f t="shared" si="1"/>
        <v>0</v>
      </c>
      <c r="BI62" s="193">
        <f t="shared" si="1"/>
        <v>5571</v>
      </c>
      <c r="BJ62" s="193">
        <f t="shared" si="1"/>
        <v>0</v>
      </c>
      <c r="BK62" s="193">
        <f t="shared" si="1"/>
        <v>0</v>
      </c>
      <c r="BL62" s="193">
        <f t="shared" si="1"/>
        <v>0</v>
      </c>
      <c r="BM62" s="193">
        <f t="shared" si="1"/>
        <v>0</v>
      </c>
      <c r="BN62" s="193">
        <f t="shared" si="1"/>
        <v>180249</v>
      </c>
      <c r="BO62" s="193">
        <f t="shared" ref="BO62:CC62" si="2">ROUND(BO47+BO48,0)</f>
        <v>0</v>
      </c>
      <c r="BP62" s="193">
        <f t="shared" si="2"/>
        <v>0</v>
      </c>
      <c r="BQ62" s="193">
        <f t="shared" si="2"/>
        <v>0</v>
      </c>
      <c r="BR62" s="193">
        <f t="shared" si="2"/>
        <v>-108</v>
      </c>
      <c r="BS62" s="193">
        <f t="shared" si="2"/>
        <v>0</v>
      </c>
      <c r="BT62" s="193">
        <f t="shared" si="2"/>
        <v>0</v>
      </c>
      <c r="BU62" s="193">
        <f t="shared" si="2"/>
        <v>0</v>
      </c>
      <c r="BV62" s="193">
        <f t="shared" si="2"/>
        <v>0</v>
      </c>
      <c r="BW62" s="193">
        <f t="shared" si="2"/>
        <v>0</v>
      </c>
      <c r="BX62" s="193">
        <f t="shared" si="2"/>
        <v>0</v>
      </c>
      <c r="BY62" s="193">
        <f t="shared" si="2"/>
        <v>241903</v>
      </c>
      <c r="BZ62" s="193">
        <f t="shared" si="2"/>
        <v>0</v>
      </c>
      <c r="CA62" s="193">
        <f t="shared" si="2"/>
        <v>32490</v>
      </c>
      <c r="CB62" s="193">
        <f t="shared" si="2"/>
        <v>0</v>
      </c>
      <c r="CC62" s="193">
        <f t="shared" si="2"/>
        <v>2248</v>
      </c>
      <c r="CD62" s="245" t="s">
        <v>221</v>
      </c>
      <c r="CE62" s="193">
        <f t="shared" si="0"/>
        <v>10054048</v>
      </c>
      <c r="CF62" s="248"/>
    </row>
    <row r="63" spans="1:84" ht="12.6" customHeight="1" x14ac:dyDescent="0.25">
      <c r="A63" s="171" t="s">
        <v>236</v>
      </c>
      <c r="B63" s="175"/>
      <c r="C63" s="184">
        <v>808822.88</v>
      </c>
      <c r="D63" s="184">
        <v>0</v>
      </c>
      <c r="E63" s="184">
        <v>50375</v>
      </c>
      <c r="F63" s="184">
        <v>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0</v>
      </c>
      <c r="P63" s="184">
        <v>824338.93</v>
      </c>
      <c r="Q63" s="184">
        <v>0</v>
      </c>
      <c r="R63" s="184">
        <v>0</v>
      </c>
      <c r="S63" s="184">
        <v>0</v>
      </c>
      <c r="T63" s="184">
        <v>0</v>
      </c>
      <c r="U63" s="184">
        <v>12242.67</v>
      </c>
      <c r="V63" s="184">
        <v>0</v>
      </c>
      <c r="W63" s="184">
        <v>0</v>
      </c>
      <c r="X63" s="184">
        <v>0</v>
      </c>
      <c r="Y63" s="184">
        <v>28884.799999999999</v>
      </c>
      <c r="Z63" s="184">
        <v>0</v>
      </c>
      <c r="AA63" s="184">
        <v>0</v>
      </c>
      <c r="AB63" s="184">
        <v>0</v>
      </c>
      <c r="AC63" s="184">
        <v>5138</v>
      </c>
      <c r="AD63" s="184">
        <v>0</v>
      </c>
      <c r="AE63" s="184">
        <v>0</v>
      </c>
      <c r="AF63" s="184">
        <v>0</v>
      </c>
      <c r="AG63" s="184">
        <v>858869.38</v>
      </c>
      <c r="AH63" s="184">
        <v>0</v>
      </c>
      <c r="AI63" s="184">
        <v>0</v>
      </c>
      <c r="AJ63" s="184">
        <v>0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0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2379629.2999999998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0</v>
      </c>
      <c r="BO63" s="184">
        <v>0</v>
      </c>
      <c r="BP63" s="184">
        <v>0</v>
      </c>
      <c r="BQ63" s="184">
        <v>0</v>
      </c>
      <c r="BR63" s="184">
        <v>0</v>
      </c>
      <c r="BS63" s="184">
        <v>0</v>
      </c>
      <c r="BT63" s="184">
        <v>0</v>
      </c>
      <c r="BU63" s="184">
        <v>0</v>
      </c>
      <c r="BV63" s="184">
        <v>0</v>
      </c>
      <c r="BW63" s="184">
        <v>0</v>
      </c>
      <c r="BX63" s="184">
        <v>0</v>
      </c>
      <c r="BY63" s="184">
        <v>0</v>
      </c>
      <c r="BZ63" s="184">
        <v>0</v>
      </c>
      <c r="CA63" s="184">
        <v>0</v>
      </c>
      <c r="CB63" s="184">
        <v>0</v>
      </c>
      <c r="CC63" s="184">
        <v>0</v>
      </c>
      <c r="CD63" s="245" t="s">
        <v>221</v>
      </c>
      <c r="CE63" s="193">
        <f t="shared" si="0"/>
        <v>4968300.96</v>
      </c>
      <c r="CF63" s="248"/>
    </row>
    <row r="64" spans="1:84" ht="12.6" customHeight="1" x14ac:dyDescent="0.25">
      <c r="A64" s="171" t="s">
        <v>237</v>
      </c>
      <c r="B64" s="175"/>
      <c r="C64" s="184">
        <v>421963.79999999993</v>
      </c>
      <c r="D64" s="184">
        <v>0</v>
      </c>
      <c r="E64" s="184">
        <v>468039.22999999992</v>
      </c>
      <c r="F64" s="184">
        <v>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0</v>
      </c>
      <c r="P64" s="184">
        <v>10994367.460000001</v>
      </c>
      <c r="Q64" s="184">
        <v>261090.02999999997</v>
      </c>
      <c r="R64" s="184">
        <v>0</v>
      </c>
      <c r="S64" s="184">
        <v>91544.399999999907</v>
      </c>
      <c r="T64" s="184">
        <v>319476.39999999997</v>
      </c>
      <c r="U64" s="184">
        <v>1112019.4100000001</v>
      </c>
      <c r="V64" s="184">
        <v>0</v>
      </c>
      <c r="W64" s="184">
        <v>44007.159999999996</v>
      </c>
      <c r="X64" s="184">
        <v>81469.279999999999</v>
      </c>
      <c r="Y64" s="184">
        <v>196460.85999999996</v>
      </c>
      <c r="Z64" s="184">
        <v>0</v>
      </c>
      <c r="AA64" s="184">
        <v>293835.24000000005</v>
      </c>
      <c r="AB64" s="184">
        <v>7087027.4899999993</v>
      </c>
      <c r="AC64" s="184">
        <v>241567.94999999998</v>
      </c>
      <c r="AD64" s="184">
        <v>38192.33</v>
      </c>
      <c r="AE64" s="184">
        <v>7644.86</v>
      </c>
      <c r="AF64" s="184">
        <v>0</v>
      </c>
      <c r="AG64" s="184">
        <v>717769.69000000006</v>
      </c>
      <c r="AH64" s="184">
        <v>0</v>
      </c>
      <c r="AI64" s="184">
        <v>0</v>
      </c>
      <c r="AJ64" s="184">
        <v>60966.38</v>
      </c>
      <c r="AK64" s="184">
        <v>917.99</v>
      </c>
      <c r="AL64" s="184">
        <v>33.96</v>
      </c>
      <c r="AM64" s="184">
        <v>0</v>
      </c>
      <c r="AN64" s="184">
        <v>0</v>
      </c>
      <c r="AO64" s="184">
        <v>0</v>
      </c>
      <c r="AP64" s="184">
        <v>0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26540.750000000007</v>
      </c>
      <c r="AW64" s="184">
        <v>0</v>
      </c>
      <c r="AX64" s="184">
        <v>0</v>
      </c>
      <c r="AY64" s="184">
        <v>0</v>
      </c>
      <c r="AZ64" s="184">
        <v>643283.32999999984</v>
      </c>
      <c r="BA64" s="184">
        <v>72.17</v>
      </c>
      <c r="BB64" s="184">
        <v>0</v>
      </c>
      <c r="BC64" s="184">
        <v>15.6</v>
      </c>
      <c r="BD64" s="184">
        <v>0</v>
      </c>
      <c r="BE64" s="184">
        <v>40392.26</v>
      </c>
      <c r="BF64" s="184">
        <v>188214.62</v>
      </c>
      <c r="BG64" s="184">
        <v>0</v>
      </c>
      <c r="BH64" s="184">
        <v>0</v>
      </c>
      <c r="BI64" s="184">
        <v>75348.94</v>
      </c>
      <c r="BJ64" s="184">
        <v>0</v>
      </c>
      <c r="BK64" s="184">
        <v>0</v>
      </c>
      <c r="BL64" s="184">
        <v>14280.96</v>
      </c>
      <c r="BM64" s="184">
        <v>0</v>
      </c>
      <c r="BN64" s="184">
        <v>96921.52</v>
      </c>
      <c r="BO64" s="184">
        <v>0</v>
      </c>
      <c r="BP64" s="184">
        <v>0</v>
      </c>
      <c r="BQ64" s="184">
        <v>0</v>
      </c>
      <c r="BR64" s="184">
        <v>0</v>
      </c>
      <c r="BS64" s="184">
        <v>0</v>
      </c>
      <c r="BT64" s="184">
        <v>0</v>
      </c>
      <c r="BU64" s="184">
        <v>0</v>
      </c>
      <c r="BV64" s="184">
        <v>0</v>
      </c>
      <c r="BW64" s="184">
        <v>0</v>
      </c>
      <c r="BX64" s="184">
        <v>0</v>
      </c>
      <c r="BY64" s="184">
        <v>1498.1399999999999</v>
      </c>
      <c r="BZ64" s="184">
        <v>0</v>
      </c>
      <c r="CA64" s="184">
        <v>0</v>
      </c>
      <c r="CB64" s="184">
        <v>0</v>
      </c>
      <c r="CC64" s="184">
        <v>-32105.4</v>
      </c>
      <c r="CD64" s="245" t="s">
        <v>221</v>
      </c>
      <c r="CE64" s="193">
        <f t="shared" si="0"/>
        <v>23492856.810000002</v>
      </c>
      <c r="CF64" s="248"/>
    </row>
    <row r="65" spans="1:84" ht="12.6" customHeight="1" x14ac:dyDescent="0.25">
      <c r="A65" s="171" t="s">
        <v>238</v>
      </c>
      <c r="B65" s="175"/>
      <c r="C65" s="184">
        <v>755.19</v>
      </c>
      <c r="D65" s="184">
        <v>0</v>
      </c>
      <c r="E65" s="184">
        <v>1996.1</v>
      </c>
      <c r="F65" s="184">
        <v>0</v>
      </c>
      <c r="G65" s="184">
        <v>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0</v>
      </c>
      <c r="P65" s="184">
        <v>3752.01</v>
      </c>
      <c r="Q65" s="184">
        <v>1169.53</v>
      </c>
      <c r="R65" s="184">
        <v>0</v>
      </c>
      <c r="S65" s="184">
        <v>76.099999999999994</v>
      </c>
      <c r="T65" s="184">
        <v>97.2</v>
      </c>
      <c r="U65" s="184">
        <v>137.66</v>
      </c>
      <c r="V65" s="184">
        <v>0</v>
      </c>
      <c r="W65" s="184">
        <v>0</v>
      </c>
      <c r="X65" s="184">
        <v>116.63</v>
      </c>
      <c r="Y65" s="184">
        <v>910.75</v>
      </c>
      <c r="Z65" s="184">
        <v>0</v>
      </c>
      <c r="AA65" s="184">
        <v>0</v>
      </c>
      <c r="AB65" s="184">
        <v>291.60000000000002</v>
      </c>
      <c r="AC65" s="184">
        <v>194.4</v>
      </c>
      <c r="AD65" s="184">
        <v>0</v>
      </c>
      <c r="AE65" s="184">
        <v>78.239999999999995</v>
      </c>
      <c r="AF65" s="184">
        <v>0</v>
      </c>
      <c r="AG65" s="184">
        <v>755.21</v>
      </c>
      <c r="AH65" s="184">
        <v>0</v>
      </c>
      <c r="AI65" s="184">
        <v>0</v>
      </c>
      <c r="AJ65" s="184">
        <v>1289.01</v>
      </c>
      <c r="AK65" s="184">
        <v>0</v>
      </c>
      <c r="AL65" s="184">
        <v>0</v>
      </c>
      <c r="AM65" s="184">
        <v>0</v>
      </c>
      <c r="AN65" s="184">
        <v>0</v>
      </c>
      <c r="AO65" s="184">
        <v>0</v>
      </c>
      <c r="AP65" s="184">
        <v>0</v>
      </c>
      <c r="AQ65" s="184">
        <v>0</v>
      </c>
      <c r="AR65" s="184">
        <v>0</v>
      </c>
      <c r="AS65" s="184">
        <v>0</v>
      </c>
      <c r="AT65" s="184">
        <v>0</v>
      </c>
      <c r="AU65" s="184">
        <v>0</v>
      </c>
      <c r="AV65" s="184">
        <v>1367.54</v>
      </c>
      <c r="AW65" s="184">
        <v>0</v>
      </c>
      <c r="AX65" s="184">
        <v>0</v>
      </c>
      <c r="AY65" s="184">
        <v>0</v>
      </c>
      <c r="AZ65" s="184">
        <v>92.1</v>
      </c>
      <c r="BA65" s="184">
        <v>0</v>
      </c>
      <c r="BB65" s="184">
        <v>0</v>
      </c>
      <c r="BC65" s="184">
        <v>392.58</v>
      </c>
      <c r="BD65" s="184">
        <v>0</v>
      </c>
      <c r="BE65" s="184">
        <v>1156155.3900000001</v>
      </c>
      <c r="BF65" s="184">
        <v>2037.3100000000002</v>
      </c>
      <c r="BG65" s="184">
        <v>0</v>
      </c>
      <c r="BH65" s="184">
        <v>0</v>
      </c>
      <c r="BI65" s="184">
        <v>0</v>
      </c>
      <c r="BJ65" s="184">
        <v>0</v>
      </c>
      <c r="BK65" s="184">
        <v>0</v>
      </c>
      <c r="BL65" s="184">
        <v>114.14</v>
      </c>
      <c r="BM65" s="184">
        <v>0</v>
      </c>
      <c r="BN65" s="184">
        <v>512.34</v>
      </c>
      <c r="BO65" s="184">
        <v>0</v>
      </c>
      <c r="BP65" s="184">
        <v>0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0</v>
      </c>
      <c r="BY65" s="184">
        <v>611.71</v>
      </c>
      <c r="BZ65" s="184">
        <v>0</v>
      </c>
      <c r="CA65" s="184">
        <v>0</v>
      </c>
      <c r="CB65" s="184">
        <v>0</v>
      </c>
      <c r="CC65" s="184">
        <v>0</v>
      </c>
      <c r="CD65" s="245" t="s">
        <v>221</v>
      </c>
      <c r="CE65" s="193">
        <f t="shared" si="0"/>
        <v>1172902.7400000002</v>
      </c>
      <c r="CF65" s="248"/>
    </row>
    <row r="66" spans="1:84" ht="12.6" customHeight="1" x14ac:dyDescent="0.25">
      <c r="A66" s="171" t="s">
        <v>239</v>
      </c>
      <c r="B66" s="175"/>
      <c r="C66" s="184">
        <v>58649.990000000005</v>
      </c>
      <c r="D66" s="184">
        <v>0</v>
      </c>
      <c r="E66" s="184">
        <v>89781.94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4">
        <v>0</v>
      </c>
      <c r="L66" s="184">
        <v>0</v>
      </c>
      <c r="M66" s="184">
        <v>0</v>
      </c>
      <c r="N66" s="184">
        <v>0</v>
      </c>
      <c r="O66" s="184">
        <v>0</v>
      </c>
      <c r="P66" s="184">
        <v>1379717.790002581</v>
      </c>
      <c r="Q66" s="184">
        <v>11531.56</v>
      </c>
      <c r="R66" s="184">
        <v>0</v>
      </c>
      <c r="S66" s="184">
        <v>72346.143232200004</v>
      </c>
      <c r="T66" s="184">
        <v>0</v>
      </c>
      <c r="U66" s="184">
        <v>654272.04999999993</v>
      </c>
      <c r="V66" s="184">
        <v>0</v>
      </c>
      <c r="W66" s="184">
        <v>128210.84</v>
      </c>
      <c r="X66" s="184">
        <v>216136.05</v>
      </c>
      <c r="Y66" s="184">
        <v>563276.16</v>
      </c>
      <c r="Z66" s="184">
        <v>0</v>
      </c>
      <c r="AA66" s="184">
        <v>40998.620000000003</v>
      </c>
      <c r="AB66" s="184">
        <v>422333.26</v>
      </c>
      <c r="AC66" s="184">
        <v>2202.89</v>
      </c>
      <c r="AD66" s="184">
        <v>481705.5</v>
      </c>
      <c r="AE66" s="184">
        <v>5417.8899999999994</v>
      </c>
      <c r="AF66" s="184">
        <v>0</v>
      </c>
      <c r="AG66" s="184">
        <v>1299939.6000000001</v>
      </c>
      <c r="AH66" s="184">
        <v>0</v>
      </c>
      <c r="AI66" s="184">
        <v>0</v>
      </c>
      <c r="AJ66" s="184">
        <v>183377.41</v>
      </c>
      <c r="AK66" s="184">
        <v>0</v>
      </c>
      <c r="AL66" s="184">
        <v>236</v>
      </c>
      <c r="AM66" s="184">
        <v>0</v>
      </c>
      <c r="AN66" s="184">
        <v>0</v>
      </c>
      <c r="AO66" s="184">
        <v>0</v>
      </c>
      <c r="AP66" s="184">
        <v>0</v>
      </c>
      <c r="AQ66" s="184">
        <v>0</v>
      </c>
      <c r="AR66" s="184">
        <v>0</v>
      </c>
      <c r="AS66" s="184">
        <v>0</v>
      </c>
      <c r="AT66" s="184">
        <v>0</v>
      </c>
      <c r="AU66" s="184">
        <v>0</v>
      </c>
      <c r="AV66" s="184">
        <v>766443.74540000048</v>
      </c>
      <c r="AW66" s="184">
        <v>0</v>
      </c>
      <c r="AX66" s="184">
        <v>432.41590000000002</v>
      </c>
      <c r="AY66" s="184">
        <v>0</v>
      </c>
      <c r="AZ66" s="184">
        <v>519581.21000000008</v>
      </c>
      <c r="BA66" s="184">
        <v>68859.91</v>
      </c>
      <c r="BB66" s="184">
        <v>0</v>
      </c>
      <c r="BC66" s="184">
        <v>101318.85964115121</v>
      </c>
      <c r="BD66" s="184">
        <v>0</v>
      </c>
      <c r="BE66" s="184">
        <v>3588339.5541999997</v>
      </c>
      <c r="BF66" s="184">
        <v>62191.25</v>
      </c>
      <c r="BG66" s="184">
        <v>20898.564400000003</v>
      </c>
      <c r="BH66" s="184">
        <v>40377.332100000007</v>
      </c>
      <c r="BI66" s="184">
        <v>803.11</v>
      </c>
      <c r="BJ66" s="184">
        <v>366648.74795366998</v>
      </c>
      <c r="BK66" s="184">
        <v>1564029.202882919</v>
      </c>
      <c r="BL66" s="184">
        <v>1802018.8799532808</v>
      </c>
      <c r="BM66" s="184">
        <v>0</v>
      </c>
      <c r="BN66" s="184">
        <v>2986128.4824667098</v>
      </c>
      <c r="BO66" s="184">
        <v>201916.9852</v>
      </c>
      <c r="BP66" s="184">
        <v>264696.23180000001</v>
      </c>
      <c r="BQ66" s="184">
        <v>0</v>
      </c>
      <c r="BR66" s="184">
        <v>795421.58850000007</v>
      </c>
      <c r="BS66" s="184">
        <v>9.8672000000000022</v>
      </c>
      <c r="BT66" s="184">
        <v>14623.380100000002</v>
      </c>
      <c r="BU66" s="184">
        <v>23719.724700000002</v>
      </c>
      <c r="BV66" s="184">
        <v>2254188.1232410455</v>
      </c>
      <c r="BW66" s="184">
        <v>246110.86666600005</v>
      </c>
      <c r="BX66" s="184">
        <v>1014488.24896874</v>
      </c>
      <c r="BY66" s="184">
        <v>117455.63640000002</v>
      </c>
      <c r="BZ66" s="184">
        <v>0</v>
      </c>
      <c r="CA66" s="184">
        <v>287196.75950000004</v>
      </c>
      <c r="CB66" s="184">
        <v>29311.808400000005</v>
      </c>
      <c r="CC66" s="184">
        <v>8792070.1274665799</v>
      </c>
      <c r="CD66" s="245" t="s">
        <v>221</v>
      </c>
      <c r="CE66" s="193">
        <f t="shared" si="0"/>
        <v>31539414.306274876</v>
      </c>
      <c r="CF66" s="248"/>
    </row>
    <row r="67" spans="1:84" ht="12.6" customHeight="1" x14ac:dyDescent="0.25">
      <c r="A67" s="171" t="s">
        <v>6</v>
      </c>
      <c r="B67" s="175"/>
      <c r="C67" s="193">
        <f>ROUND(C51+C52,0)</f>
        <v>481807</v>
      </c>
      <c r="D67" s="193">
        <f>ROUND(D51+D52,0)</f>
        <v>0</v>
      </c>
      <c r="E67" s="193">
        <f t="shared" ref="E67:BP67" si="3">ROUND(E51+E52,0)</f>
        <v>674293</v>
      </c>
      <c r="F67" s="193">
        <f t="shared" si="3"/>
        <v>0</v>
      </c>
      <c r="G67" s="193">
        <f t="shared" si="3"/>
        <v>0</v>
      </c>
      <c r="H67" s="193">
        <f t="shared" si="3"/>
        <v>0</v>
      </c>
      <c r="I67" s="193">
        <f t="shared" si="3"/>
        <v>0</v>
      </c>
      <c r="J67" s="193">
        <f>ROUND(J51+J52,0)</f>
        <v>0</v>
      </c>
      <c r="K67" s="193">
        <f t="shared" si="3"/>
        <v>0</v>
      </c>
      <c r="L67" s="193">
        <f t="shared" si="3"/>
        <v>0</v>
      </c>
      <c r="M67" s="193">
        <f t="shared" si="3"/>
        <v>0</v>
      </c>
      <c r="N67" s="193">
        <f t="shared" si="3"/>
        <v>0</v>
      </c>
      <c r="O67" s="193">
        <f t="shared" si="3"/>
        <v>0</v>
      </c>
      <c r="P67" s="193">
        <f t="shared" si="3"/>
        <v>3646391</v>
      </c>
      <c r="Q67" s="193">
        <f t="shared" si="3"/>
        <v>85653</v>
      </c>
      <c r="R67" s="193">
        <f t="shared" si="3"/>
        <v>0</v>
      </c>
      <c r="S67" s="193">
        <f t="shared" si="3"/>
        <v>287982</v>
      </c>
      <c r="T67" s="193">
        <f t="shared" si="3"/>
        <v>2990</v>
      </c>
      <c r="U67" s="193">
        <f t="shared" si="3"/>
        <v>230985</v>
      </c>
      <c r="V67" s="193">
        <f t="shared" si="3"/>
        <v>0</v>
      </c>
      <c r="W67" s="193">
        <f t="shared" si="3"/>
        <v>30012</v>
      </c>
      <c r="X67" s="193">
        <f t="shared" si="3"/>
        <v>14231</v>
      </c>
      <c r="Y67" s="193">
        <f t="shared" si="3"/>
        <v>658666</v>
      </c>
      <c r="Z67" s="193">
        <f t="shared" si="3"/>
        <v>0</v>
      </c>
      <c r="AA67" s="193">
        <f t="shared" si="3"/>
        <v>8926</v>
      </c>
      <c r="AB67" s="193">
        <f t="shared" si="3"/>
        <v>211374</v>
      </c>
      <c r="AC67" s="193">
        <f t="shared" si="3"/>
        <v>19479</v>
      </c>
      <c r="AD67" s="193">
        <f t="shared" si="3"/>
        <v>0</v>
      </c>
      <c r="AE67" s="193">
        <f t="shared" si="3"/>
        <v>67503</v>
      </c>
      <c r="AF67" s="193">
        <f t="shared" si="3"/>
        <v>0</v>
      </c>
      <c r="AG67" s="193">
        <f t="shared" si="3"/>
        <v>439299</v>
      </c>
      <c r="AH67" s="193">
        <f t="shared" si="3"/>
        <v>0</v>
      </c>
      <c r="AI67" s="193">
        <f t="shared" si="3"/>
        <v>0</v>
      </c>
      <c r="AJ67" s="193">
        <f t="shared" si="3"/>
        <v>518546</v>
      </c>
      <c r="AK67" s="193">
        <f t="shared" si="3"/>
        <v>91246</v>
      </c>
      <c r="AL67" s="193">
        <f t="shared" si="3"/>
        <v>176</v>
      </c>
      <c r="AM67" s="193">
        <f t="shared" si="3"/>
        <v>0</v>
      </c>
      <c r="AN67" s="193">
        <f t="shared" si="3"/>
        <v>0</v>
      </c>
      <c r="AO67" s="193">
        <f t="shared" si="3"/>
        <v>0</v>
      </c>
      <c r="AP67" s="193">
        <f t="shared" si="3"/>
        <v>0</v>
      </c>
      <c r="AQ67" s="193">
        <f t="shared" si="3"/>
        <v>0</v>
      </c>
      <c r="AR67" s="193">
        <f t="shared" si="3"/>
        <v>0</v>
      </c>
      <c r="AS67" s="193">
        <f t="shared" si="3"/>
        <v>0</v>
      </c>
      <c r="AT67" s="193">
        <f t="shared" si="3"/>
        <v>0</v>
      </c>
      <c r="AU67" s="193">
        <f t="shared" si="3"/>
        <v>0</v>
      </c>
      <c r="AV67" s="193">
        <f t="shared" si="3"/>
        <v>17962</v>
      </c>
      <c r="AW67" s="193">
        <f t="shared" si="3"/>
        <v>0</v>
      </c>
      <c r="AX67" s="193">
        <f t="shared" si="3"/>
        <v>0</v>
      </c>
      <c r="AY67" s="193">
        <f t="shared" si="3"/>
        <v>13599</v>
      </c>
      <c r="AZ67" s="193">
        <f>ROUND(AZ51+AZ52,0)</f>
        <v>257967</v>
      </c>
      <c r="BA67" s="193">
        <f>ROUND(BA51+BA52,0)</f>
        <v>22981</v>
      </c>
      <c r="BB67" s="193">
        <f t="shared" si="3"/>
        <v>0</v>
      </c>
      <c r="BC67" s="193">
        <f t="shared" si="3"/>
        <v>0</v>
      </c>
      <c r="BD67" s="193">
        <f t="shared" si="3"/>
        <v>0</v>
      </c>
      <c r="BE67" s="193">
        <f t="shared" si="3"/>
        <v>456316</v>
      </c>
      <c r="BF67" s="193">
        <f t="shared" si="3"/>
        <v>62515</v>
      </c>
      <c r="BG67" s="193">
        <f t="shared" si="3"/>
        <v>0</v>
      </c>
      <c r="BH67" s="193">
        <f t="shared" si="3"/>
        <v>0</v>
      </c>
      <c r="BI67" s="193">
        <f t="shared" si="3"/>
        <v>16547</v>
      </c>
      <c r="BJ67" s="193">
        <f t="shared" si="3"/>
        <v>0</v>
      </c>
      <c r="BK67" s="193">
        <f t="shared" si="3"/>
        <v>0</v>
      </c>
      <c r="BL67" s="193">
        <f t="shared" si="3"/>
        <v>23370</v>
      </c>
      <c r="BM67" s="193">
        <f t="shared" si="3"/>
        <v>0</v>
      </c>
      <c r="BN67" s="193">
        <f t="shared" si="3"/>
        <v>1899964</v>
      </c>
      <c r="BO67" s="193">
        <f t="shared" si="3"/>
        <v>0</v>
      </c>
      <c r="BP67" s="193">
        <f t="shared" si="3"/>
        <v>0</v>
      </c>
      <c r="BQ67" s="193">
        <f t="shared" ref="BQ67:CC67" si="4">ROUND(BQ51+BQ52,0)</f>
        <v>0</v>
      </c>
      <c r="BR67" s="193">
        <f t="shared" si="4"/>
        <v>9520</v>
      </c>
      <c r="BS67" s="193">
        <f t="shared" si="4"/>
        <v>0</v>
      </c>
      <c r="BT67" s="193">
        <f t="shared" si="4"/>
        <v>0</v>
      </c>
      <c r="BU67" s="193">
        <f t="shared" si="4"/>
        <v>0</v>
      </c>
      <c r="BV67" s="193">
        <f t="shared" si="4"/>
        <v>10141</v>
      </c>
      <c r="BW67" s="193">
        <f t="shared" si="4"/>
        <v>0</v>
      </c>
      <c r="BX67" s="193">
        <f t="shared" si="4"/>
        <v>0</v>
      </c>
      <c r="BY67" s="193">
        <f t="shared" si="4"/>
        <v>3142</v>
      </c>
      <c r="BZ67" s="193">
        <f t="shared" si="4"/>
        <v>0</v>
      </c>
      <c r="CA67" s="193">
        <f t="shared" si="4"/>
        <v>0</v>
      </c>
      <c r="CB67" s="193">
        <f t="shared" si="4"/>
        <v>0</v>
      </c>
      <c r="CC67" s="193">
        <f t="shared" si="4"/>
        <v>0</v>
      </c>
      <c r="CD67" s="245" t="s">
        <v>221</v>
      </c>
      <c r="CE67" s="193">
        <f t="shared" si="0"/>
        <v>10263583</v>
      </c>
      <c r="CF67" s="248"/>
    </row>
    <row r="68" spans="1:84" ht="12.6" customHeight="1" x14ac:dyDescent="0.25">
      <c r="A68" s="171" t="s">
        <v>240</v>
      </c>
      <c r="B68" s="175"/>
      <c r="C68" s="184">
        <v>9089.5300000000007</v>
      </c>
      <c r="D68" s="184">
        <v>0</v>
      </c>
      <c r="E68" s="184">
        <v>3373.0100000000007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0</v>
      </c>
      <c r="N68" s="184">
        <v>0</v>
      </c>
      <c r="O68" s="184">
        <v>0</v>
      </c>
      <c r="P68" s="184">
        <v>186008.66</v>
      </c>
      <c r="Q68" s="184">
        <v>654.41999999999996</v>
      </c>
      <c r="R68" s="184">
        <v>0</v>
      </c>
      <c r="S68" s="184">
        <v>13991.04</v>
      </c>
      <c r="T68" s="184">
        <v>0</v>
      </c>
      <c r="U68" s="184">
        <v>62659.360000000001</v>
      </c>
      <c r="V68" s="184">
        <v>0</v>
      </c>
      <c r="W68" s="184">
        <v>442.86</v>
      </c>
      <c r="X68" s="184">
        <v>0</v>
      </c>
      <c r="Y68" s="184">
        <v>58174.430000000008</v>
      </c>
      <c r="Z68" s="184">
        <v>0</v>
      </c>
      <c r="AA68" s="184">
        <v>494.8</v>
      </c>
      <c r="AB68" s="184">
        <v>112503.17</v>
      </c>
      <c r="AC68" s="184">
        <v>13086.83</v>
      </c>
      <c r="AD68" s="184">
        <v>0</v>
      </c>
      <c r="AE68" s="184">
        <v>218964.54</v>
      </c>
      <c r="AF68" s="184">
        <v>0</v>
      </c>
      <c r="AG68" s="184">
        <v>36630.520000000004</v>
      </c>
      <c r="AH68" s="184">
        <v>0</v>
      </c>
      <c r="AI68" s="184">
        <v>0</v>
      </c>
      <c r="AJ68" s="184">
        <v>241462.56</v>
      </c>
      <c r="AK68" s="184">
        <v>0</v>
      </c>
      <c r="AL68" s="184">
        <v>0</v>
      </c>
      <c r="AM68" s="184">
        <v>0</v>
      </c>
      <c r="AN68" s="184">
        <v>0</v>
      </c>
      <c r="AO68" s="184">
        <v>0</v>
      </c>
      <c r="AP68" s="184">
        <v>0</v>
      </c>
      <c r="AQ68" s="184">
        <v>0</v>
      </c>
      <c r="AR68" s="184">
        <v>0</v>
      </c>
      <c r="AS68" s="184">
        <v>0</v>
      </c>
      <c r="AT68" s="184">
        <v>0</v>
      </c>
      <c r="AU68" s="184">
        <v>0</v>
      </c>
      <c r="AV68" s="184">
        <v>152805.97999999998</v>
      </c>
      <c r="AW68" s="184">
        <v>0</v>
      </c>
      <c r="AX68" s="184">
        <v>0</v>
      </c>
      <c r="AY68" s="184">
        <v>0</v>
      </c>
      <c r="AZ68" s="184">
        <v>18001.18</v>
      </c>
      <c r="BA68" s="184">
        <v>0</v>
      </c>
      <c r="BB68" s="184">
        <v>0</v>
      </c>
      <c r="BC68" s="184">
        <v>0</v>
      </c>
      <c r="BD68" s="184">
        <v>0</v>
      </c>
      <c r="BE68" s="184">
        <v>-54.470000000000084</v>
      </c>
      <c r="BF68" s="184">
        <v>417.54</v>
      </c>
      <c r="BG68" s="184">
        <v>0</v>
      </c>
      <c r="BH68" s="184">
        <v>0</v>
      </c>
      <c r="BI68" s="184">
        <v>405.09</v>
      </c>
      <c r="BJ68" s="184">
        <v>0</v>
      </c>
      <c r="BK68" s="184">
        <v>0</v>
      </c>
      <c r="BL68" s="184">
        <v>11809.18</v>
      </c>
      <c r="BM68" s="184">
        <v>0</v>
      </c>
      <c r="BN68" s="184">
        <v>78209.72</v>
      </c>
      <c r="BO68" s="184">
        <v>0</v>
      </c>
      <c r="BP68" s="184">
        <v>0</v>
      </c>
      <c r="BQ68" s="184">
        <v>0</v>
      </c>
      <c r="BR68" s="184">
        <v>0</v>
      </c>
      <c r="BS68" s="184">
        <v>0</v>
      </c>
      <c r="BT68" s="184">
        <v>0</v>
      </c>
      <c r="BU68" s="184">
        <v>0</v>
      </c>
      <c r="BV68" s="184">
        <v>0</v>
      </c>
      <c r="BW68" s="184">
        <v>0</v>
      </c>
      <c r="BX68" s="184">
        <v>0</v>
      </c>
      <c r="BY68" s="184">
        <v>661.9</v>
      </c>
      <c r="BZ68" s="184">
        <v>0</v>
      </c>
      <c r="CA68" s="184">
        <v>0</v>
      </c>
      <c r="CB68" s="184">
        <v>0</v>
      </c>
      <c r="CC68" s="184">
        <v>108935.17</v>
      </c>
      <c r="CD68" s="245" t="s">
        <v>221</v>
      </c>
      <c r="CE68" s="193">
        <f t="shared" si="0"/>
        <v>1328727.0199999998</v>
      </c>
      <c r="CF68" s="248"/>
    </row>
    <row r="69" spans="1:84" ht="12.6" customHeight="1" x14ac:dyDescent="0.25">
      <c r="A69" s="171" t="s">
        <v>241</v>
      </c>
      <c r="B69" s="175"/>
      <c r="C69" s="184">
        <v>25872.21</v>
      </c>
      <c r="D69" s="184">
        <v>0</v>
      </c>
      <c r="E69" s="184">
        <v>32821.39</v>
      </c>
      <c r="F69" s="184">
        <v>0</v>
      </c>
      <c r="G69" s="184">
        <v>0</v>
      </c>
      <c r="H69" s="184">
        <v>0</v>
      </c>
      <c r="I69" s="184">
        <v>0</v>
      </c>
      <c r="J69" s="184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0</v>
      </c>
      <c r="P69" s="184">
        <v>77926.990000000005</v>
      </c>
      <c r="Q69" s="184">
        <v>6160.62</v>
      </c>
      <c r="R69" s="184">
        <v>0</v>
      </c>
      <c r="S69" s="184">
        <v>5871.25</v>
      </c>
      <c r="T69" s="184">
        <v>782.56</v>
      </c>
      <c r="U69" s="184">
        <v>38714.479999999996</v>
      </c>
      <c r="V69" s="184">
        <v>0</v>
      </c>
      <c r="W69" s="184">
        <v>379.75</v>
      </c>
      <c r="X69" s="184">
        <v>1773.37</v>
      </c>
      <c r="Y69" s="184">
        <v>548.46</v>
      </c>
      <c r="Z69" s="184">
        <v>0</v>
      </c>
      <c r="AA69" s="184">
        <v>284.19</v>
      </c>
      <c r="AB69" s="184">
        <v>3815873.5</v>
      </c>
      <c r="AC69" s="184">
        <v>6241.16</v>
      </c>
      <c r="AD69" s="184">
        <v>0</v>
      </c>
      <c r="AE69" s="184">
        <v>5369.51</v>
      </c>
      <c r="AF69" s="184">
        <v>0</v>
      </c>
      <c r="AG69" s="184">
        <v>21702.579999999998</v>
      </c>
      <c r="AH69" s="184">
        <v>0</v>
      </c>
      <c r="AI69" s="184">
        <v>0</v>
      </c>
      <c r="AJ69" s="184">
        <v>64</v>
      </c>
      <c r="AK69" s="184">
        <v>600.89</v>
      </c>
      <c r="AL69" s="184">
        <v>0</v>
      </c>
      <c r="AM69" s="184">
        <v>0</v>
      </c>
      <c r="AN69" s="184">
        <v>0</v>
      </c>
      <c r="AO69" s="184">
        <v>0</v>
      </c>
      <c r="AP69" s="184">
        <v>0</v>
      </c>
      <c r="AQ69" s="184">
        <v>0</v>
      </c>
      <c r="AR69" s="184">
        <v>0</v>
      </c>
      <c r="AS69" s="184">
        <v>0</v>
      </c>
      <c r="AT69" s="184">
        <v>0</v>
      </c>
      <c r="AU69" s="184">
        <v>0</v>
      </c>
      <c r="AV69" s="184">
        <v>7386.28</v>
      </c>
      <c r="AW69" s="184">
        <v>0</v>
      </c>
      <c r="AX69" s="184">
        <v>0</v>
      </c>
      <c r="AY69" s="184">
        <v>0</v>
      </c>
      <c r="AZ69" s="184">
        <v>15800.12</v>
      </c>
      <c r="BA69" s="184">
        <v>0</v>
      </c>
      <c r="BB69" s="184">
        <v>0</v>
      </c>
      <c r="BC69" s="184">
        <v>0</v>
      </c>
      <c r="BD69" s="184">
        <v>0</v>
      </c>
      <c r="BE69" s="184">
        <v>12524.13</v>
      </c>
      <c r="BF69" s="184">
        <v>2718.49</v>
      </c>
      <c r="BG69" s="184">
        <v>0</v>
      </c>
      <c r="BH69" s="184">
        <v>0</v>
      </c>
      <c r="BI69" s="184">
        <v>181.39999999999998</v>
      </c>
      <c r="BJ69" s="184">
        <v>0</v>
      </c>
      <c r="BK69" s="184">
        <v>0</v>
      </c>
      <c r="BL69" s="184">
        <v>3130.43</v>
      </c>
      <c r="BM69" s="184">
        <v>0</v>
      </c>
      <c r="BN69" s="184">
        <v>143880</v>
      </c>
      <c r="BO69" s="184">
        <v>0</v>
      </c>
      <c r="BP69" s="184">
        <v>0</v>
      </c>
      <c r="BQ69" s="184">
        <v>0</v>
      </c>
      <c r="BR69" s="184">
        <v>0</v>
      </c>
      <c r="BS69" s="184">
        <v>0</v>
      </c>
      <c r="BT69" s="184">
        <v>0</v>
      </c>
      <c r="BU69" s="184">
        <v>0</v>
      </c>
      <c r="BV69" s="184">
        <v>0</v>
      </c>
      <c r="BW69" s="184">
        <v>0</v>
      </c>
      <c r="BX69" s="184">
        <v>0</v>
      </c>
      <c r="BY69" s="184">
        <v>202.56</v>
      </c>
      <c r="BZ69" s="184">
        <v>0</v>
      </c>
      <c r="CA69" s="184">
        <v>488</v>
      </c>
      <c r="CB69" s="184">
        <v>0</v>
      </c>
      <c r="CC69" s="184">
        <v>3713.75</v>
      </c>
      <c r="CD69" s="184">
        <v>8331209.7800000003</v>
      </c>
      <c r="CE69" s="193">
        <f t="shared" si="0"/>
        <v>12562221.85</v>
      </c>
      <c r="CF69" s="248"/>
    </row>
    <row r="70" spans="1:84" ht="12.6" customHeight="1" x14ac:dyDescent="0.25">
      <c r="A70" s="171" t="s">
        <v>242</v>
      </c>
      <c r="B70" s="175"/>
      <c r="C70" s="184">
        <v>250</v>
      </c>
      <c r="D70" s="184">
        <v>0</v>
      </c>
      <c r="E70" s="184">
        <v>300</v>
      </c>
      <c r="F70" s="184">
        <v>0</v>
      </c>
      <c r="G70" s="184">
        <v>0</v>
      </c>
      <c r="H70" s="184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v>0</v>
      </c>
      <c r="P70" s="184">
        <v>2451.5</v>
      </c>
      <c r="Q70" s="184">
        <v>0</v>
      </c>
      <c r="R70" s="184">
        <v>0</v>
      </c>
      <c r="S70" s="184">
        <v>0</v>
      </c>
      <c r="T70" s="184">
        <v>0</v>
      </c>
      <c r="U70" s="184">
        <v>11522.4</v>
      </c>
      <c r="V70" s="184">
        <v>0</v>
      </c>
      <c r="W70" s="184">
        <v>0</v>
      </c>
      <c r="X70" s="184">
        <v>0</v>
      </c>
      <c r="Y70" s="184">
        <v>0</v>
      </c>
      <c r="Z70" s="184">
        <v>0</v>
      </c>
      <c r="AA70" s="184">
        <v>0</v>
      </c>
      <c r="AB70" s="184">
        <v>5626605.459999999</v>
      </c>
      <c r="AC70" s="184">
        <v>0</v>
      </c>
      <c r="AD70" s="184">
        <v>42157.1</v>
      </c>
      <c r="AE70" s="184">
        <v>0</v>
      </c>
      <c r="AF70" s="184">
        <v>0</v>
      </c>
      <c r="AG70" s="184">
        <v>-3200</v>
      </c>
      <c r="AH70" s="184">
        <v>0</v>
      </c>
      <c r="AI70" s="184">
        <v>0</v>
      </c>
      <c r="AJ70" s="184">
        <v>0</v>
      </c>
      <c r="AK70" s="184">
        <v>0</v>
      </c>
      <c r="AL70" s="184">
        <v>0</v>
      </c>
      <c r="AM70" s="184">
        <v>0</v>
      </c>
      <c r="AN70" s="184">
        <v>0</v>
      </c>
      <c r="AO70" s="184">
        <v>0</v>
      </c>
      <c r="AP70" s="184">
        <v>0</v>
      </c>
      <c r="AQ70" s="184">
        <v>0</v>
      </c>
      <c r="AR70" s="184">
        <v>0</v>
      </c>
      <c r="AS70" s="184">
        <v>0</v>
      </c>
      <c r="AT70" s="184">
        <v>0</v>
      </c>
      <c r="AU70" s="184">
        <v>0</v>
      </c>
      <c r="AV70" s="184">
        <v>0</v>
      </c>
      <c r="AW70" s="184">
        <v>0</v>
      </c>
      <c r="AX70" s="184">
        <v>0</v>
      </c>
      <c r="AY70" s="184">
        <v>0</v>
      </c>
      <c r="AZ70" s="184">
        <v>866767.69</v>
      </c>
      <c r="BA70" s="184">
        <v>0</v>
      </c>
      <c r="BB70" s="184">
        <v>0</v>
      </c>
      <c r="BC70" s="184">
        <v>0</v>
      </c>
      <c r="BD70" s="184">
        <v>0</v>
      </c>
      <c r="BE70" s="184">
        <v>46.53</v>
      </c>
      <c r="BF70" s="184">
        <v>0</v>
      </c>
      <c r="BG70" s="184">
        <v>0</v>
      </c>
      <c r="BH70" s="184">
        <v>0</v>
      </c>
      <c r="BI70" s="184">
        <v>126223.81</v>
      </c>
      <c r="BJ70" s="184">
        <v>0</v>
      </c>
      <c r="BK70" s="184">
        <v>0</v>
      </c>
      <c r="BL70" s="184">
        <v>0</v>
      </c>
      <c r="BM70" s="184">
        <v>0</v>
      </c>
      <c r="BN70" s="184">
        <v>5925.66</v>
      </c>
      <c r="BO70" s="184">
        <v>0</v>
      </c>
      <c r="BP70" s="184">
        <v>0</v>
      </c>
      <c r="BQ70" s="184">
        <v>0</v>
      </c>
      <c r="BR70" s="184">
        <v>0</v>
      </c>
      <c r="BS70" s="184">
        <v>0</v>
      </c>
      <c r="BT70" s="184">
        <v>0</v>
      </c>
      <c r="BU70" s="184">
        <v>0</v>
      </c>
      <c r="BV70" s="184">
        <v>0</v>
      </c>
      <c r="BW70" s="184">
        <v>0</v>
      </c>
      <c r="BX70" s="184">
        <v>0</v>
      </c>
      <c r="BY70" s="184">
        <v>0</v>
      </c>
      <c r="BZ70" s="184">
        <v>0</v>
      </c>
      <c r="CA70" s="184">
        <v>0</v>
      </c>
      <c r="CB70" s="184">
        <v>0</v>
      </c>
      <c r="CC70" s="184">
        <v>0</v>
      </c>
      <c r="CD70" s="184">
        <v>259166.6</v>
      </c>
      <c r="CE70" s="193">
        <f t="shared" si="0"/>
        <v>6938216.7499999981</v>
      </c>
      <c r="CF70" s="248"/>
    </row>
    <row r="71" spans="1:84" ht="12.6" customHeight="1" x14ac:dyDescent="0.25">
      <c r="A71" s="171" t="s">
        <v>243</v>
      </c>
      <c r="B71" s="175"/>
      <c r="C71" s="193">
        <f>SUM(C61:C68)+C69-C70</f>
        <v>6739971.9700000007</v>
      </c>
      <c r="D71" s="193">
        <f t="shared" ref="D71:AI71" si="5">SUM(D61:D69)-D70</f>
        <v>0</v>
      </c>
      <c r="E71" s="193">
        <f t="shared" si="5"/>
        <v>10746701.619999999</v>
      </c>
      <c r="F71" s="193">
        <f t="shared" si="5"/>
        <v>0</v>
      </c>
      <c r="G71" s="193">
        <f t="shared" si="5"/>
        <v>0</v>
      </c>
      <c r="H71" s="193">
        <f t="shared" si="5"/>
        <v>0</v>
      </c>
      <c r="I71" s="193">
        <f t="shared" si="5"/>
        <v>0</v>
      </c>
      <c r="J71" s="193">
        <f t="shared" si="5"/>
        <v>0</v>
      </c>
      <c r="K71" s="193">
        <f t="shared" si="5"/>
        <v>0</v>
      </c>
      <c r="L71" s="193">
        <f t="shared" si="5"/>
        <v>0</v>
      </c>
      <c r="M71" s="193">
        <f t="shared" si="5"/>
        <v>0</v>
      </c>
      <c r="N71" s="193">
        <f t="shared" si="5"/>
        <v>0</v>
      </c>
      <c r="O71" s="193">
        <f t="shared" si="5"/>
        <v>0</v>
      </c>
      <c r="P71" s="193">
        <f t="shared" si="5"/>
        <v>26762420.380002581</v>
      </c>
      <c r="Q71" s="193">
        <f t="shared" si="5"/>
        <v>3458326.9</v>
      </c>
      <c r="R71" s="193">
        <f t="shared" si="5"/>
        <v>0</v>
      </c>
      <c r="S71" s="193">
        <f t="shared" si="5"/>
        <v>1404845.6532321998</v>
      </c>
      <c r="T71" s="193">
        <f t="shared" si="5"/>
        <v>709712.57</v>
      </c>
      <c r="U71" s="193">
        <f t="shared" si="5"/>
        <v>3628721.31</v>
      </c>
      <c r="V71" s="193">
        <f t="shared" si="5"/>
        <v>0</v>
      </c>
      <c r="W71" s="193">
        <f t="shared" si="5"/>
        <v>531010.44999999995</v>
      </c>
      <c r="X71" s="193">
        <f t="shared" si="5"/>
        <v>1025321.3099999999</v>
      </c>
      <c r="Y71" s="193">
        <f t="shared" si="5"/>
        <v>3737832.3499999996</v>
      </c>
      <c r="Z71" s="193">
        <f t="shared" si="5"/>
        <v>0</v>
      </c>
      <c r="AA71" s="193">
        <f t="shared" si="5"/>
        <v>654432.50000000012</v>
      </c>
      <c r="AB71" s="193">
        <f t="shared" si="5"/>
        <v>9151921.9600000009</v>
      </c>
      <c r="AC71" s="193">
        <f t="shared" si="5"/>
        <v>1601399.1199999996</v>
      </c>
      <c r="AD71" s="193">
        <f t="shared" si="5"/>
        <v>477740.73000000004</v>
      </c>
      <c r="AE71" s="193">
        <f t="shared" si="5"/>
        <v>1550840.94</v>
      </c>
      <c r="AF71" s="193">
        <f t="shared" si="5"/>
        <v>0</v>
      </c>
      <c r="AG71" s="193">
        <f t="shared" si="5"/>
        <v>7821817.8899999987</v>
      </c>
      <c r="AH71" s="193">
        <f t="shared" si="5"/>
        <v>0</v>
      </c>
      <c r="AI71" s="193">
        <f t="shared" si="5"/>
        <v>0</v>
      </c>
      <c r="AJ71" s="193">
        <f t="shared" ref="AJ71:BO71" si="6">SUM(AJ61:AJ69)-AJ70</f>
        <v>1469175.06</v>
      </c>
      <c r="AK71" s="193">
        <f t="shared" si="6"/>
        <v>420932.84</v>
      </c>
      <c r="AL71" s="193">
        <f t="shared" si="6"/>
        <v>96779.680000000008</v>
      </c>
      <c r="AM71" s="193">
        <f t="shared" si="6"/>
        <v>0</v>
      </c>
      <c r="AN71" s="193">
        <f t="shared" si="6"/>
        <v>0</v>
      </c>
      <c r="AO71" s="193">
        <f t="shared" si="6"/>
        <v>0</v>
      </c>
      <c r="AP71" s="193">
        <f t="shared" si="6"/>
        <v>0</v>
      </c>
      <c r="AQ71" s="193">
        <f t="shared" si="6"/>
        <v>0</v>
      </c>
      <c r="AR71" s="193">
        <f t="shared" si="6"/>
        <v>0</v>
      </c>
      <c r="AS71" s="193">
        <f t="shared" si="6"/>
        <v>0</v>
      </c>
      <c r="AT71" s="193">
        <f t="shared" si="6"/>
        <v>0</v>
      </c>
      <c r="AU71" s="193">
        <f t="shared" si="6"/>
        <v>0</v>
      </c>
      <c r="AV71" s="193">
        <f t="shared" si="6"/>
        <v>3592062.0153999999</v>
      </c>
      <c r="AW71" s="193">
        <f t="shared" si="6"/>
        <v>0</v>
      </c>
      <c r="AX71" s="193">
        <f t="shared" si="6"/>
        <v>432.41590000000002</v>
      </c>
      <c r="AY71" s="193">
        <f t="shared" si="6"/>
        <v>13599</v>
      </c>
      <c r="AZ71" s="193">
        <f t="shared" si="6"/>
        <v>2284199.2600000002</v>
      </c>
      <c r="BA71" s="193">
        <f t="shared" si="6"/>
        <v>167993.14</v>
      </c>
      <c r="BB71" s="193">
        <f t="shared" si="6"/>
        <v>0</v>
      </c>
      <c r="BC71" s="193">
        <f t="shared" si="6"/>
        <v>314980.85964115127</v>
      </c>
      <c r="BD71" s="193">
        <f t="shared" si="6"/>
        <v>0</v>
      </c>
      <c r="BE71" s="193">
        <f t="shared" si="6"/>
        <v>5770554.2041999996</v>
      </c>
      <c r="BF71" s="193">
        <f t="shared" si="6"/>
        <v>1690849.53</v>
      </c>
      <c r="BG71" s="193">
        <f t="shared" si="6"/>
        <v>20898.564400000003</v>
      </c>
      <c r="BH71" s="193">
        <f t="shared" si="6"/>
        <v>40377.332100000007</v>
      </c>
      <c r="BI71" s="193">
        <f t="shared" si="6"/>
        <v>-15227.509999999995</v>
      </c>
      <c r="BJ71" s="193">
        <f t="shared" si="6"/>
        <v>366648.74795366998</v>
      </c>
      <c r="BK71" s="193">
        <f t="shared" si="6"/>
        <v>1564029.202882919</v>
      </c>
      <c r="BL71" s="193">
        <f t="shared" si="6"/>
        <v>1854723.5899532808</v>
      </c>
      <c r="BM71" s="193">
        <f t="shared" si="6"/>
        <v>0</v>
      </c>
      <c r="BN71" s="193">
        <f t="shared" si="6"/>
        <v>6189824.4024667097</v>
      </c>
      <c r="BO71" s="193">
        <f t="shared" si="6"/>
        <v>201916.9852</v>
      </c>
      <c r="BP71" s="193">
        <f t="shared" ref="BP71:CC71" si="7">SUM(BP61:BP69)-BP70</f>
        <v>264696.23180000001</v>
      </c>
      <c r="BQ71" s="193">
        <f t="shared" si="7"/>
        <v>0</v>
      </c>
      <c r="BR71" s="193">
        <f t="shared" si="7"/>
        <v>804833.58850000007</v>
      </c>
      <c r="BS71" s="193">
        <f t="shared" si="7"/>
        <v>9.8672000000000022</v>
      </c>
      <c r="BT71" s="193">
        <f t="shared" si="7"/>
        <v>14623.380100000002</v>
      </c>
      <c r="BU71" s="193">
        <f t="shared" si="7"/>
        <v>23719.724700000002</v>
      </c>
      <c r="BV71" s="193">
        <f t="shared" si="7"/>
        <v>2264329.1232410455</v>
      </c>
      <c r="BW71" s="193">
        <f t="shared" si="7"/>
        <v>246110.86666600005</v>
      </c>
      <c r="BX71" s="193">
        <f t="shared" si="7"/>
        <v>1014488.24896874</v>
      </c>
      <c r="BY71" s="193">
        <f t="shared" si="7"/>
        <v>1429206.8063999999</v>
      </c>
      <c r="BZ71" s="193">
        <f t="shared" si="7"/>
        <v>0</v>
      </c>
      <c r="CA71" s="193">
        <f t="shared" si="7"/>
        <v>467306.25950000004</v>
      </c>
      <c r="CB71" s="193">
        <f t="shared" si="7"/>
        <v>29311.808400000005</v>
      </c>
      <c r="CC71" s="193">
        <f t="shared" si="7"/>
        <v>8938344.1174665801</v>
      </c>
      <c r="CD71" s="241">
        <f>CD69-CD70</f>
        <v>8072043.1800000006</v>
      </c>
      <c r="CE71" s="193">
        <f>SUM(CE61:CE69)-CE70</f>
        <v>129616790.17627487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6"/>
      <c r="CF72" s="248"/>
    </row>
    <row r="73" spans="1:84" ht="12.6" customHeight="1" x14ac:dyDescent="0.25">
      <c r="A73" s="171" t="s">
        <v>245</v>
      </c>
      <c r="B73" s="175"/>
      <c r="C73" s="184">
        <v>24170300.120000001</v>
      </c>
      <c r="D73" s="184">
        <v>0</v>
      </c>
      <c r="E73" s="184">
        <v>46527643.939999998</v>
      </c>
      <c r="F73" s="184">
        <v>0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0</v>
      </c>
      <c r="P73" s="184">
        <v>117845237.94000001</v>
      </c>
      <c r="Q73" s="184">
        <v>5502612.75</v>
      </c>
      <c r="R73" s="184">
        <v>0</v>
      </c>
      <c r="S73" s="184">
        <v>0</v>
      </c>
      <c r="T73" s="184">
        <v>4831319.3499999987</v>
      </c>
      <c r="U73" s="184">
        <v>23809295.260000002</v>
      </c>
      <c r="V73" s="184">
        <v>0</v>
      </c>
      <c r="W73" s="184">
        <v>3351617.27</v>
      </c>
      <c r="X73" s="184">
        <v>20809343.23</v>
      </c>
      <c r="Y73" s="184">
        <v>11273105.290000001</v>
      </c>
      <c r="Z73" s="184">
        <v>0</v>
      </c>
      <c r="AA73" s="184">
        <v>1461555.3399999999</v>
      </c>
      <c r="AB73" s="184">
        <v>56621627.300000004</v>
      </c>
      <c r="AC73" s="184">
        <v>17235865.77</v>
      </c>
      <c r="AD73" s="184">
        <v>1521855</v>
      </c>
      <c r="AE73" s="184">
        <v>2043007.56</v>
      </c>
      <c r="AF73" s="184">
        <v>0</v>
      </c>
      <c r="AG73" s="184">
        <v>25932359.350000001</v>
      </c>
      <c r="AH73" s="184">
        <v>0</v>
      </c>
      <c r="AI73" s="184">
        <v>0</v>
      </c>
      <c r="AJ73" s="184">
        <v>4714.5600000000004</v>
      </c>
      <c r="AK73" s="184">
        <v>632683.03</v>
      </c>
      <c r="AL73" s="184">
        <v>352974.24</v>
      </c>
      <c r="AM73" s="184">
        <v>0</v>
      </c>
      <c r="AN73" s="184">
        <v>0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682136.52</v>
      </c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3">
        <f t="shared" ref="CE73:CE80" si="8">SUM(C73:CD73)</f>
        <v>364609253.81999993</v>
      </c>
      <c r="CF73" s="248"/>
    </row>
    <row r="74" spans="1:84" ht="12.6" customHeight="1" x14ac:dyDescent="0.25">
      <c r="A74" s="171" t="s">
        <v>246</v>
      </c>
      <c r="B74" s="175"/>
      <c r="C74" s="184">
        <v>152823.62999999998</v>
      </c>
      <c r="D74" s="184">
        <v>0</v>
      </c>
      <c r="E74" s="184">
        <v>6913941.2599999998</v>
      </c>
      <c r="F74" s="184">
        <v>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0</v>
      </c>
      <c r="P74" s="184">
        <v>123043254.42000002</v>
      </c>
      <c r="Q74" s="184">
        <v>16686994.77</v>
      </c>
      <c r="R74" s="184">
        <v>0</v>
      </c>
      <c r="S74" s="184">
        <v>0</v>
      </c>
      <c r="T74" s="184">
        <v>365098.12</v>
      </c>
      <c r="U74" s="184">
        <v>14580177.800000001</v>
      </c>
      <c r="V74" s="184">
        <v>0</v>
      </c>
      <c r="W74" s="184">
        <v>12147231.279999997</v>
      </c>
      <c r="X74" s="184">
        <v>50275676.060000002</v>
      </c>
      <c r="Y74" s="184">
        <v>20642556.41</v>
      </c>
      <c r="Z74" s="184">
        <v>0</v>
      </c>
      <c r="AA74" s="184">
        <v>6779287.5500000007</v>
      </c>
      <c r="AB74" s="184">
        <v>49738665.599999994</v>
      </c>
      <c r="AC74" s="184">
        <v>1695388.89</v>
      </c>
      <c r="AD74" s="184">
        <v>50352</v>
      </c>
      <c r="AE74" s="184">
        <v>5263287.09</v>
      </c>
      <c r="AF74" s="184">
        <v>0</v>
      </c>
      <c r="AG74" s="184">
        <v>72084895.479999989</v>
      </c>
      <c r="AH74" s="184">
        <v>0</v>
      </c>
      <c r="AI74" s="184">
        <v>0</v>
      </c>
      <c r="AJ74" s="184">
        <v>2695991.97</v>
      </c>
      <c r="AK74" s="184">
        <v>1296250.8800000001</v>
      </c>
      <c r="AL74" s="184">
        <v>248446.03000000003</v>
      </c>
      <c r="AM74" s="184">
        <v>0</v>
      </c>
      <c r="AN74" s="184">
        <v>0</v>
      </c>
      <c r="AO74" s="184">
        <v>0</v>
      </c>
      <c r="AP74" s="184">
        <v>0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2328573.73</v>
      </c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3">
        <f t="shared" si="8"/>
        <v>386988892.97000003</v>
      </c>
      <c r="CF74" s="248"/>
    </row>
    <row r="75" spans="1:84" ht="12.6" customHeight="1" x14ac:dyDescent="0.25">
      <c r="A75" s="171" t="s">
        <v>247</v>
      </c>
      <c r="B75" s="175"/>
      <c r="C75" s="193">
        <f t="shared" ref="C75:AV75" si="9">SUM(C73:C74)</f>
        <v>24323123.75</v>
      </c>
      <c r="D75" s="193">
        <f t="shared" si="9"/>
        <v>0</v>
      </c>
      <c r="E75" s="193">
        <f t="shared" si="9"/>
        <v>53441585.199999996</v>
      </c>
      <c r="F75" s="193">
        <f t="shared" si="9"/>
        <v>0</v>
      </c>
      <c r="G75" s="193">
        <f t="shared" si="9"/>
        <v>0</v>
      </c>
      <c r="H75" s="193">
        <f t="shared" si="9"/>
        <v>0</v>
      </c>
      <c r="I75" s="193">
        <f t="shared" si="9"/>
        <v>0</v>
      </c>
      <c r="J75" s="193">
        <f t="shared" si="9"/>
        <v>0</v>
      </c>
      <c r="K75" s="193">
        <f t="shared" si="9"/>
        <v>0</v>
      </c>
      <c r="L75" s="193">
        <f t="shared" si="9"/>
        <v>0</v>
      </c>
      <c r="M75" s="193">
        <f t="shared" si="9"/>
        <v>0</v>
      </c>
      <c r="N75" s="193">
        <f t="shared" si="9"/>
        <v>0</v>
      </c>
      <c r="O75" s="193">
        <f t="shared" si="9"/>
        <v>0</v>
      </c>
      <c r="P75" s="193">
        <f t="shared" si="9"/>
        <v>240888492.36000001</v>
      </c>
      <c r="Q75" s="193">
        <f t="shared" si="9"/>
        <v>22189607.52</v>
      </c>
      <c r="R75" s="193">
        <f t="shared" si="9"/>
        <v>0</v>
      </c>
      <c r="S75" s="193">
        <f t="shared" si="9"/>
        <v>0</v>
      </c>
      <c r="T75" s="193">
        <f t="shared" si="9"/>
        <v>5196417.4699999988</v>
      </c>
      <c r="U75" s="193">
        <f t="shared" si="9"/>
        <v>38389473.060000002</v>
      </c>
      <c r="V75" s="193">
        <f t="shared" si="9"/>
        <v>0</v>
      </c>
      <c r="W75" s="193">
        <f t="shared" si="9"/>
        <v>15498848.549999997</v>
      </c>
      <c r="X75" s="193">
        <f t="shared" si="9"/>
        <v>71085019.290000007</v>
      </c>
      <c r="Y75" s="193">
        <f t="shared" si="9"/>
        <v>31915661.700000003</v>
      </c>
      <c r="Z75" s="193">
        <f t="shared" si="9"/>
        <v>0</v>
      </c>
      <c r="AA75" s="193">
        <f t="shared" si="9"/>
        <v>8240842.8900000006</v>
      </c>
      <c r="AB75" s="193">
        <f t="shared" si="9"/>
        <v>106360292.90000001</v>
      </c>
      <c r="AC75" s="193">
        <f t="shared" si="9"/>
        <v>18931254.66</v>
      </c>
      <c r="AD75" s="193">
        <f t="shared" si="9"/>
        <v>1572207</v>
      </c>
      <c r="AE75" s="193">
        <f t="shared" si="9"/>
        <v>7306294.6500000004</v>
      </c>
      <c r="AF75" s="193">
        <f t="shared" si="9"/>
        <v>0</v>
      </c>
      <c r="AG75" s="193">
        <f t="shared" si="9"/>
        <v>98017254.829999983</v>
      </c>
      <c r="AH75" s="193">
        <f t="shared" si="9"/>
        <v>0</v>
      </c>
      <c r="AI75" s="193">
        <f t="shared" si="9"/>
        <v>0</v>
      </c>
      <c r="AJ75" s="193">
        <f t="shared" si="9"/>
        <v>2700706.5300000003</v>
      </c>
      <c r="AK75" s="193">
        <f t="shared" si="9"/>
        <v>1928933.9100000001</v>
      </c>
      <c r="AL75" s="193">
        <f t="shared" si="9"/>
        <v>601420.27</v>
      </c>
      <c r="AM75" s="193">
        <f t="shared" si="9"/>
        <v>0</v>
      </c>
      <c r="AN75" s="193">
        <f t="shared" si="9"/>
        <v>0</v>
      </c>
      <c r="AO75" s="193">
        <f t="shared" si="9"/>
        <v>0</v>
      </c>
      <c r="AP75" s="193">
        <f t="shared" si="9"/>
        <v>0</v>
      </c>
      <c r="AQ75" s="193">
        <f t="shared" si="9"/>
        <v>0</v>
      </c>
      <c r="AR75" s="193">
        <f t="shared" si="9"/>
        <v>0</v>
      </c>
      <c r="AS75" s="193">
        <f t="shared" si="9"/>
        <v>0</v>
      </c>
      <c r="AT75" s="193">
        <f t="shared" si="9"/>
        <v>0</v>
      </c>
      <c r="AU75" s="193">
        <f t="shared" si="9"/>
        <v>0</v>
      </c>
      <c r="AV75" s="193">
        <f t="shared" si="9"/>
        <v>3010710.25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3">
        <f t="shared" si="8"/>
        <v>751598146.78999984</v>
      </c>
      <c r="CF75" s="248"/>
    </row>
    <row r="76" spans="1:84" ht="12.6" customHeight="1" x14ac:dyDescent="0.25">
      <c r="A76" s="171" t="s">
        <v>248</v>
      </c>
      <c r="B76" s="175"/>
      <c r="C76" s="184">
        <v>13914</v>
      </c>
      <c r="D76" s="184">
        <v>0</v>
      </c>
      <c r="E76" s="184">
        <v>58140.10410958904</v>
      </c>
      <c r="F76" s="184">
        <v>0</v>
      </c>
      <c r="G76" s="184">
        <v>0</v>
      </c>
      <c r="H76" s="184">
        <v>0</v>
      </c>
      <c r="I76" s="184">
        <v>0</v>
      </c>
      <c r="J76" s="184">
        <v>0</v>
      </c>
      <c r="K76" s="184">
        <v>0</v>
      </c>
      <c r="L76" s="184">
        <v>0</v>
      </c>
      <c r="M76" s="184">
        <v>0</v>
      </c>
      <c r="N76" s="184">
        <v>0</v>
      </c>
      <c r="O76" s="184">
        <v>0</v>
      </c>
      <c r="P76" s="184">
        <v>28084</v>
      </c>
      <c r="Q76" s="184">
        <v>3621</v>
      </c>
      <c r="R76" s="184">
        <v>0</v>
      </c>
      <c r="S76" s="184">
        <v>7582</v>
      </c>
      <c r="T76" s="184">
        <v>0</v>
      </c>
      <c r="U76" s="184">
        <v>7295</v>
      </c>
      <c r="V76" s="184">
        <v>0</v>
      </c>
      <c r="W76" s="184">
        <v>1100</v>
      </c>
      <c r="X76" s="184">
        <v>976</v>
      </c>
      <c r="Y76" s="184">
        <v>14993</v>
      </c>
      <c r="Z76" s="184">
        <v>0</v>
      </c>
      <c r="AA76" s="184">
        <v>0</v>
      </c>
      <c r="AB76" s="184">
        <v>2835</v>
      </c>
      <c r="AC76" s="184">
        <v>657</v>
      </c>
      <c r="AD76" s="184">
        <v>0</v>
      </c>
      <c r="AE76" s="184">
        <v>5802</v>
      </c>
      <c r="AF76" s="184">
        <v>0</v>
      </c>
      <c r="AG76" s="184">
        <v>15505</v>
      </c>
      <c r="AH76" s="184">
        <v>0</v>
      </c>
      <c r="AI76" s="184">
        <v>0</v>
      </c>
      <c r="AJ76" s="184">
        <v>0</v>
      </c>
      <c r="AK76" s="184">
        <v>0</v>
      </c>
      <c r="AL76" s="184">
        <v>0</v>
      </c>
      <c r="AM76" s="184">
        <v>0</v>
      </c>
      <c r="AN76" s="184">
        <v>0</v>
      </c>
      <c r="AO76" s="184">
        <v>0</v>
      </c>
      <c r="AP76" s="184">
        <v>0</v>
      </c>
      <c r="AQ76" s="184">
        <v>0</v>
      </c>
      <c r="AR76" s="184">
        <v>0</v>
      </c>
      <c r="AS76" s="184">
        <v>0</v>
      </c>
      <c r="AT76" s="184">
        <v>0</v>
      </c>
      <c r="AU76" s="184">
        <v>0</v>
      </c>
      <c r="AV76" s="184">
        <v>0</v>
      </c>
      <c r="AW76" s="184">
        <v>0</v>
      </c>
      <c r="AX76" s="184">
        <v>0</v>
      </c>
      <c r="AY76" s="184">
        <v>1247.0501495851713</v>
      </c>
      <c r="AZ76" s="184">
        <v>6075.9498504148287</v>
      </c>
      <c r="BA76" s="184">
        <v>893</v>
      </c>
      <c r="BB76" s="184">
        <v>0</v>
      </c>
      <c r="BC76" s="184">
        <v>0</v>
      </c>
      <c r="BD76" s="184">
        <v>0</v>
      </c>
      <c r="BE76" s="184">
        <v>19027.5</v>
      </c>
      <c r="BF76" s="184">
        <v>730</v>
      </c>
      <c r="BG76" s="184">
        <v>0</v>
      </c>
      <c r="BH76" s="184">
        <v>0</v>
      </c>
      <c r="BI76" s="184">
        <v>674</v>
      </c>
      <c r="BJ76" s="184">
        <v>0</v>
      </c>
      <c r="BK76" s="184">
        <v>0</v>
      </c>
      <c r="BL76" s="184">
        <v>0</v>
      </c>
      <c r="BM76" s="184">
        <v>0</v>
      </c>
      <c r="BN76" s="184">
        <v>94760.734808887064</v>
      </c>
      <c r="BO76" s="184">
        <v>0</v>
      </c>
      <c r="BP76" s="184">
        <v>0</v>
      </c>
      <c r="BQ76" s="184">
        <v>0</v>
      </c>
      <c r="BR76" s="184">
        <v>873</v>
      </c>
      <c r="BS76" s="184">
        <v>0</v>
      </c>
      <c r="BT76" s="184">
        <v>0</v>
      </c>
      <c r="BU76" s="184">
        <v>0</v>
      </c>
      <c r="BV76" s="184">
        <v>930</v>
      </c>
      <c r="BW76" s="184">
        <v>0</v>
      </c>
      <c r="BX76" s="184">
        <v>0</v>
      </c>
      <c r="BY76" s="184">
        <v>140</v>
      </c>
      <c r="BZ76" s="184">
        <v>0</v>
      </c>
      <c r="CA76" s="184">
        <v>0</v>
      </c>
      <c r="CB76" s="184">
        <v>0</v>
      </c>
      <c r="CC76" s="184">
        <v>0</v>
      </c>
      <c r="CD76" s="245" t="s">
        <v>221</v>
      </c>
      <c r="CE76" s="193">
        <f t="shared" si="8"/>
        <v>285855.33891847613</v>
      </c>
      <c r="CF76" s="193">
        <f>BE59-CE76</f>
        <v>-0.33891847613267601</v>
      </c>
    </row>
    <row r="77" spans="1:84" ht="12.6" customHeight="1" x14ac:dyDescent="0.25">
      <c r="A77" s="171" t="s">
        <v>249</v>
      </c>
      <c r="B77" s="175"/>
      <c r="C77" s="184">
        <v>12400</v>
      </c>
      <c r="D77" s="184">
        <v>0</v>
      </c>
      <c r="E77" s="184">
        <v>108276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3899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5" t="s">
        <v>221</v>
      </c>
      <c r="AY77" s="245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5" t="s">
        <v>221</v>
      </c>
      <c r="BE77" s="245" t="s">
        <v>221</v>
      </c>
      <c r="BF77" s="184">
        <v>0</v>
      </c>
      <c r="BG77" s="245" t="s">
        <v>221</v>
      </c>
      <c r="BH77" s="184">
        <v>0</v>
      </c>
      <c r="BI77" s="184">
        <v>0</v>
      </c>
      <c r="BJ77" s="245" t="s">
        <v>221</v>
      </c>
      <c r="BK77" s="184">
        <v>0</v>
      </c>
      <c r="BL77" s="184">
        <v>0</v>
      </c>
      <c r="BM77" s="184">
        <v>0</v>
      </c>
      <c r="BN77" s="245" t="s">
        <v>221</v>
      </c>
      <c r="BO77" s="245" t="s">
        <v>221</v>
      </c>
      <c r="BP77" s="245" t="s">
        <v>221</v>
      </c>
      <c r="BQ77" s="245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5" t="s">
        <v>221</v>
      </c>
      <c r="CD77" s="245" t="s">
        <v>221</v>
      </c>
      <c r="CE77" s="193">
        <f>SUM(C77:CD77)</f>
        <v>124575</v>
      </c>
      <c r="CF77" s="193">
        <f>AY59-CE77</f>
        <v>0</v>
      </c>
    </row>
    <row r="78" spans="1:84" ht="12.6" customHeight="1" x14ac:dyDescent="0.25">
      <c r="A78" s="171" t="s">
        <v>250</v>
      </c>
      <c r="B78" s="175"/>
      <c r="C78" s="184">
        <v>4333.5769739861971</v>
      </c>
      <c r="D78" s="184">
        <v>0</v>
      </c>
      <c r="E78" s="184">
        <v>18107.993131700106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8746.8862826957284</v>
      </c>
      <c r="Q78" s="184">
        <v>1127.776500129655</v>
      </c>
      <c r="R78" s="184">
        <v>0</v>
      </c>
      <c r="S78" s="184">
        <v>2361.4475073137373</v>
      </c>
      <c r="T78" s="184">
        <v>0</v>
      </c>
      <c r="U78" s="184">
        <v>2272.0600851825002</v>
      </c>
      <c r="V78" s="184">
        <v>0</v>
      </c>
      <c r="W78" s="184">
        <v>342.59987576432491</v>
      </c>
      <c r="X78" s="184">
        <v>303.97952613271008</v>
      </c>
      <c r="Y78" s="184">
        <v>4669.6363066677486</v>
      </c>
      <c r="Z78" s="184">
        <v>0</v>
      </c>
      <c r="AA78" s="184">
        <v>0</v>
      </c>
      <c r="AB78" s="184">
        <v>882.9733161744191</v>
      </c>
      <c r="AC78" s="184">
        <v>204.62556216105588</v>
      </c>
      <c r="AD78" s="184">
        <v>0</v>
      </c>
      <c r="AE78" s="184">
        <v>1807.0586174405573</v>
      </c>
      <c r="AF78" s="184">
        <v>0</v>
      </c>
      <c r="AG78" s="184">
        <v>4829.100976114416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5" t="s">
        <v>221</v>
      </c>
      <c r="AY78" s="245" t="s">
        <v>221</v>
      </c>
      <c r="AZ78" s="245" t="s">
        <v>221</v>
      </c>
      <c r="BA78" s="184">
        <v>278.12880823412922</v>
      </c>
      <c r="BB78" s="184">
        <v>0</v>
      </c>
      <c r="BC78" s="184">
        <v>0</v>
      </c>
      <c r="BD78" s="245" t="s">
        <v>221</v>
      </c>
      <c r="BE78" s="245" t="s">
        <v>221</v>
      </c>
      <c r="BF78" s="245" t="s">
        <v>221</v>
      </c>
      <c r="BG78" s="245" t="s">
        <v>221</v>
      </c>
      <c r="BH78" s="184">
        <v>0</v>
      </c>
      <c r="BI78" s="184">
        <v>209.92028751377723</v>
      </c>
      <c r="BJ78" s="245" t="s">
        <v>221</v>
      </c>
      <c r="BK78" s="184">
        <v>0</v>
      </c>
      <c r="BL78" s="184">
        <v>0</v>
      </c>
      <c r="BM78" s="184">
        <v>0</v>
      </c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>
        <v>0</v>
      </c>
      <c r="BT78" s="184">
        <v>0</v>
      </c>
      <c r="BU78" s="184">
        <v>0</v>
      </c>
      <c r="BV78" s="184">
        <v>289.65262223711107</v>
      </c>
      <c r="BW78" s="184">
        <v>0</v>
      </c>
      <c r="BX78" s="184">
        <v>0</v>
      </c>
      <c r="BY78" s="184">
        <v>43.60362055182317</v>
      </c>
      <c r="BZ78" s="184">
        <v>0</v>
      </c>
      <c r="CA78" s="184">
        <v>0</v>
      </c>
      <c r="CB78" s="184">
        <v>0</v>
      </c>
      <c r="CC78" s="245" t="s">
        <v>221</v>
      </c>
      <c r="CD78" s="245" t="s">
        <v>221</v>
      </c>
      <c r="CE78" s="193">
        <f t="shared" si="8"/>
        <v>50811.02</v>
      </c>
      <c r="CF78" s="193"/>
    </row>
    <row r="79" spans="1:84" ht="12.6" customHeight="1" x14ac:dyDescent="0.25">
      <c r="A79" s="171" t="s">
        <v>251</v>
      </c>
      <c r="B79" s="175"/>
      <c r="C79" s="221">
        <v>87935</v>
      </c>
      <c r="D79" s="221">
        <v>0</v>
      </c>
      <c r="E79" s="184">
        <v>318071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102993</v>
      </c>
      <c r="Q79" s="184">
        <v>0</v>
      </c>
      <c r="R79" s="184">
        <v>0</v>
      </c>
      <c r="S79" s="184">
        <v>4136</v>
      </c>
      <c r="T79" s="184"/>
      <c r="U79" s="184">
        <v>0</v>
      </c>
      <c r="V79" s="184">
        <v>0</v>
      </c>
      <c r="W79" s="184">
        <v>0</v>
      </c>
      <c r="X79" s="184">
        <v>0</v>
      </c>
      <c r="Y79" s="184">
        <v>60124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8476</v>
      </c>
      <c r="AF79" s="184">
        <v>0</v>
      </c>
      <c r="AG79" s="184">
        <v>171705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54</v>
      </c>
      <c r="AW79" s="184">
        <v>0</v>
      </c>
      <c r="AX79" s="245" t="s">
        <v>221</v>
      </c>
      <c r="AY79" s="245" t="s">
        <v>221</v>
      </c>
      <c r="AZ79" s="245" t="s">
        <v>221</v>
      </c>
      <c r="BA79" s="245" t="s">
        <v>221</v>
      </c>
      <c r="BB79" s="184">
        <v>0</v>
      </c>
      <c r="BC79" s="184">
        <v>0</v>
      </c>
      <c r="BD79" s="245" t="s">
        <v>221</v>
      </c>
      <c r="BE79" s="245" t="s">
        <v>221</v>
      </c>
      <c r="BF79" s="245" t="s">
        <v>221</v>
      </c>
      <c r="BG79" s="245" t="s">
        <v>221</v>
      </c>
      <c r="BH79" s="184">
        <v>0</v>
      </c>
      <c r="BI79" s="184">
        <v>0</v>
      </c>
      <c r="BJ79" s="245" t="s">
        <v>221</v>
      </c>
      <c r="BK79" s="184">
        <v>0</v>
      </c>
      <c r="BL79" s="184">
        <v>0</v>
      </c>
      <c r="BM79" s="184">
        <v>0</v>
      </c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5" t="s">
        <v>221</v>
      </c>
      <c r="CD79" s="245" t="s">
        <v>221</v>
      </c>
      <c r="CE79" s="193">
        <f t="shared" si="8"/>
        <v>753494</v>
      </c>
      <c r="CF79" s="193">
        <f>BA59</f>
        <v>0</v>
      </c>
    </row>
    <row r="80" spans="1:84" ht="21" customHeight="1" x14ac:dyDescent="0.25">
      <c r="A80" s="171" t="s">
        <v>252</v>
      </c>
      <c r="B80" s="175"/>
      <c r="C80" s="184">
        <v>28.535115384615384</v>
      </c>
      <c r="D80" s="184">
        <v>0</v>
      </c>
      <c r="E80" s="184">
        <v>88.644240384615372</v>
      </c>
      <c r="F80" s="184">
        <v>0</v>
      </c>
      <c r="G80" s="184">
        <v>0</v>
      </c>
      <c r="H80" s="184">
        <v>0</v>
      </c>
      <c r="I80" s="184">
        <v>0</v>
      </c>
      <c r="J80" s="184">
        <v>0</v>
      </c>
      <c r="K80" s="184">
        <v>0</v>
      </c>
      <c r="L80" s="184">
        <v>0</v>
      </c>
      <c r="M80" s="184">
        <v>0</v>
      </c>
      <c r="N80" s="184">
        <v>0</v>
      </c>
      <c r="O80" s="184">
        <v>0</v>
      </c>
      <c r="P80" s="184">
        <v>13.185192307692308</v>
      </c>
      <c r="Q80" s="184">
        <v>17.370052884615383</v>
      </c>
      <c r="R80" s="184">
        <v>0</v>
      </c>
      <c r="S80" s="184">
        <v>0</v>
      </c>
      <c r="T80" s="184">
        <v>4.1600240384615388</v>
      </c>
      <c r="U80" s="184">
        <v>0</v>
      </c>
      <c r="V80" s="184">
        <v>0</v>
      </c>
      <c r="W80" s="184">
        <v>0</v>
      </c>
      <c r="X80" s="184">
        <v>0</v>
      </c>
      <c r="Y80" s="184">
        <v>4.807692307692308E-4</v>
      </c>
      <c r="Z80" s="184">
        <v>0</v>
      </c>
      <c r="AA80" s="184">
        <v>0</v>
      </c>
      <c r="AB80" s="184">
        <v>0</v>
      </c>
      <c r="AC80" s="184">
        <v>0</v>
      </c>
      <c r="AD80" s="184">
        <v>0</v>
      </c>
      <c r="AE80" s="184">
        <v>0</v>
      </c>
      <c r="AF80" s="184">
        <v>0</v>
      </c>
      <c r="AG80" s="184">
        <v>21.912956730769228</v>
      </c>
      <c r="AH80" s="184">
        <v>0</v>
      </c>
      <c r="AI80" s="184">
        <v>0</v>
      </c>
      <c r="AJ80" s="184">
        <v>2.6293557692307696</v>
      </c>
      <c r="AK80" s="184">
        <v>0</v>
      </c>
      <c r="AL80" s="184">
        <v>0</v>
      </c>
      <c r="AM80" s="184">
        <v>0</v>
      </c>
      <c r="AN80" s="184">
        <v>0</v>
      </c>
      <c r="AO80" s="184">
        <v>0</v>
      </c>
      <c r="AP80" s="184">
        <v>0</v>
      </c>
      <c r="AQ80" s="184">
        <v>0</v>
      </c>
      <c r="AR80" s="184">
        <v>0</v>
      </c>
      <c r="AS80" s="184">
        <v>0</v>
      </c>
      <c r="AT80" s="184">
        <v>0</v>
      </c>
      <c r="AU80" s="184">
        <v>0</v>
      </c>
      <c r="AV80" s="184">
        <v>0.15486057692307692</v>
      </c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 t="shared" si="8"/>
        <v>176.59227884615379</v>
      </c>
      <c r="CF80" s="251"/>
    </row>
    <row r="81" spans="1:5" ht="12.6" customHeight="1" x14ac:dyDescent="0.25">
      <c r="A81" s="206" t="s">
        <v>253</v>
      </c>
      <c r="B81" s="206"/>
      <c r="C81" s="206"/>
      <c r="D81" s="206"/>
      <c r="E81" s="206"/>
    </row>
    <row r="82" spans="1:5" ht="12.6" customHeight="1" x14ac:dyDescent="0.25">
      <c r="A82" s="171" t="s">
        <v>254</v>
      </c>
      <c r="B82" s="172"/>
      <c r="C82" s="278" t="s">
        <v>1265</v>
      </c>
      <c r="D82" s="252"/>
      <c r="E82" s="175"/>
    </row>
    <row r="83" spans="1:5" ht="12.6" customHeight="1" x14ac:dyDescent="0.25">
      <c r="A83" s="173" t="s">
        <v>255</v>
      </c>
      <c r="B83" s="172" t="s">
        <v>256</v>
      </c>
      <c r="C83" s="223" t="s">
        <v>1274</v>
      </c>
      <c r="D83" s="252"/>
      <c r="E83" s="175"/>
    </row>
    <row r="84" spans="1:5" ht="12.6" customHeight="1" x14ac:dyDescent="0.25">
      <c r="A84" s="173" t="s">
        <v>257</v>
      </c>
      <c r="B84" s="172" t="s">
        <v>256</v>
      </c>
      <c r="C84" s="226" t="s">
        <v>1275</v>
      </c>
      <c r="D84" s="203"/>
      <c r="E84" s="202"/>
    </row>
    <row r="85" spans="1:5" ht="12.6" customHeight="1" x14ac:dyDescent="0.25">
      <c r="A85" s="173" t="s">
        <v>1251</v>
      </c>
      <c r="B85" s="172"/>
      <c r="C85" s="267" t="s">
        <v>1276</v>
      </c>
      <c r="D85" s="203"/>
      <c r="E85" s="202"/>
    </row>
    <row r="86" spans="1:5" ht="12.6" customHeight="1" x14ac:dyDescent="0.25">
      <c r="A86" s="173" t="s">
        <v>1252</v>
      </c>
      <c r="B86" s="172" t="s">
        <v>256</v>
      </c>
      <c r="C86" s="227" t="s">
        <v>1276</v>
      </c>
      <c r="D86" s="203"/>
      <c r="E86" s="202"/>
    </row>
    <row r="87" spans="1:5" ht="12.6" customHeight="1" x14ac:dyDescent="0.25">
      <c r="A87" s="173" t="s">
        <v>258</v>
      </c>
      <c r="B87" s="172" t="s">
        <v>256</v>
      </c>
      <c r="C87" s="226" t="s">
        <v>1277</v>
      </c>
      <c r="D87" s="203"/>
      <c r="E87" s="202"/>
    </row>
    <row r="88" spans="1:5" ht="12.6" customHeight="1" x14ac:dyDescent="0.25">
      <c r="A88" s="173" t="s">
        <v>259</v>
      </c>
      <c r="B88" s="172" t="s">
        <v>256</v>
      </c>
      <c r="C88" s="226" t="s">
        <v>1268</v>
      </c>
      <c r="D88" s="203"/>
      <c r="E88" s="202"/>
    </row>
    <row r="89" spans="1:5" ht="12.6" customHeight="1" x14ac:dyDescent="0.25">
      <c r="A89" s="173" t="s">
        <v>260</v>
      </c>
      <c r="B89" s="172" t="s">
        <v>256</v>
      </c>
      <c r="C89" s="226" t="s">
        <v>1269</v>
      </c>
      <c r="D89" s="203"/>
      <c r="E89" s="202"/>
    </row>
    <row r="90" spans="1:5" ht="12.6" customHeight="1" x14ac:dyDescent="0.25">
      <c r="A90" s="173" t="s">
        <v>261</v>
      </c>
      <c r="B90" s="172" t="s">
        <v>256</v>
      </c>
      <c r="C90" s="226" t="s">
        <v>1270</v>
      </c>
      <c r="D90" s="203"/>
      <c r="E90" s="202"/>
    </row>
    <row r="91" spans="1:5" ht="12.6" customHeight="1" x14ac:dyDescent="0.25">
      <c r="A91" s="173" t="s">
        <v>262</v>
      </c>
      <c r="B91" s="172" t="s">
        <v>256</v>
      </c>
      <c r="C91" s="226" t="s">
        <v>1271</v>
      </c>
      <c r="D91" s="203"/>
      <c r="E91" s="202"/>
    </row>
    <row r="92" spans="1:5" ht="12.6" customHeight="1" x14ac:dyDescent="0.25">
      <c r="A92" s="173" t="s">
        <v>263</v>
      </c>
      <c r="B92" s="172" t="s">
        <v>256</v>
      </c>
      <c r="C92" s="222" t="s">
        <v>1278</v>
      </c>
      <c r="D92" s="252"/>
      <c r="E92" s="175"/>
    </row>
    <row r="93" spans="1:5" ht="12.6" customHeight="1" x14ac:dyDescent="0.25">
      <c r="A93" s="173" t="s">
        <v>264</v>
      </c>
      <c r="B93" s="172" t="s">
        <v>256</v>
      </c>
      <c r="C93" s="266" t="s">
        <v>1278</v>
      </c>
      <c r="D93" s="252"/>
      <c r="E93" s="175"/>
    </row>
    <row r="94" spans="1:5" ht="12.6" customHeight="1" x14ac:dyDescent="0.25">
      <c r="A94" s="173"/>
      <c r="B94" s="173"/>
      <c r="C94" s="189"/>
      <c r="D94" s="175"/>
      <c r="E94" s="175"/>
    </row>
    <row r="95" spans="1:5" ht="12.6" customHeight="1" x14ac:dyDescent="0.25">
      <c r="A95" s="206" t="s">
        <v>265</v>
      </c>
      <c r="B95" s="206"/>
      <c r="C95" s="206"/>
      <c r="D95" s="206"/>
      <c r="E95" s="206"/>
    </row>
    <row r="96" spans="1:5" ht="12.6" customHeight="1" x14ac:dyDescent="0.25">
      <c r="A96" s="253" t="s">
        <v>266</v>
      </c>
      <c r="B96" s="253"/>
      <c r="C96" s="253"/>
      <c r="D96" s="253"/>
      <c r="E96" s="253"/>
    </row>
    <row r="97" spans="1:5" ht="12.6" customHeight="1" x14ac:dyDescent="0.25">
      <c r="A97" s="173" t="s">
        <v>267</v>
      </c>
      <c r="B97" s="172" t="s">
        <v>256</v>
      </c>
      <c r="C97" s="187">
        <v>0</v>
      </c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7">
        <v>0</v>
      </c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7">
        <v>0</v>
      </c>
      <c r="D99" s="175"/>
      <c r="E99" s="175"/>
    </row>
    <row r="100" spans="1:5" ht="12.6" customHeight="1" x14ac:dyDescent="0.25">
      <c r="A100" s="253" t="s">
        <v>269</v>
      </c>
      <c r="B100" s="253"/>
      <c r="C100" s="253"/>
      <c r="D100" s="253"/>
      <c r="E100" s="253"/>
    </row>
    <row r="101" spans="1:5" ht="12.6" customHeight="1" x14ac:dyDescent="0.25">
      <c r="A101" s="173" t="s">
        <v>270</v>
      </c>
      <c r="B101" s="172" t="s">
        <v>256</v>
      </c>
      <c r="C101" s="187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187">
        <v>0</v>
      </c>
      <c r="D102" s="175"/>
      <c r="E102" s="175"/>
    </row>
    <row r="103" spans="1:5" ht="12.6" customHeight="1" x14ac:dyDescent="0.25">
      <c r="A103" s="253" t="s">
        <v>271</v>
      </c>
      <c r="B103" s="253"/>
      <c r="C103" s="253"/>
      <c r="D103" s="253"/>
      <c r="E103" s="253"/>
    </row>
    <row r="104" spans="1:5" ht="12.6" customHeight="1" x14ac:dyDescent="0.25">
      <c r="A104" s="173" t="s">
        <v>272</v>
      </c>
      <c r="B104" s="172" t="s">
        <v>256</v>
      </c>
      <c r="C104" s="187">
        <v>0</v>
      </c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7">
        <v>0</v>
      </c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7">
        <v>0</v>
      </c>
      <c r="D106" s="175"/>
      <c r="E106" s="175"/>
    </row>
    <row r="107" spans="1:5" ht="21.75" customHeight="1" x14ac:dyDescent="0.25">
      <c r="A107" s="173"/>
      <c r="B107" s="172"/>
      <c r="C107" s="188"/>
      <c r="D107" s="175"/>
      <c r="E107" s="175"/>
    </row>
    <row r="108" spans="1:5" ht="13.5" customHeight="1" x14ac:dyDescent="0.25">
      <c r="A108" s="205" t="s">
        <v>275</v>
      </c>
      <c r="B108" s="206"/>
      <c r="C108" s="206"/>
      <c r="D108" s="206"/>
      <c r="E108" s="206"/>
    </row>
    <row r="109" spans="1:5" ht="13.5" customHeight="1" x14ac:dyDescent="0.25">
      <c r="A109" s="173"/>
      <c r="B109" s="172"/>
      <c r="C109" s="188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7">
        <v>5513</v>
      </c>
      <c r="D111" s="174">
        <v>26300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7">
        <v>0</v>
      </c>
      <c r="D112" s="174">
        <v>0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7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7">
        <v>0</v>
      </c>
      <c r="D114" s="174">
        <v>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7">
        <v>16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7">
        <v>0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7">
        <v>96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7">
        <v>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7">
        <v>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7">
        <v>0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7">
        <v>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7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7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7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7">
        <v>0</v>
      </c>
      <c r="D126" s="175"/>
      <c r="E126" s="175"/>
    </row>
    <row r="127" spans="1:5" ht="12.6" customHeight="1" x14ac:dyDescent="0.25">
      <c r="A127" s="173" t="s">
        <v>291</v>
      </c>
      <c r="B127" s="175"/>
      <c r="C127" s="189"/>
      <c r="D127" s="175"/>
      <c r="E127" s="175">
        <f>SUM(C116:C126)</f>
        <v>112</v>
      </c>
    </row>
    <row r="128" spans="1:5" ht="12.6" customHeight="1" x14ac:dyDescent="0.25">
      <c r="A128" s="173" t="s">
        <v>292</v>
      </c>
      <c r="B128" s="172" t="s">
        <v>256</v>
      </c>
      <c r="C128" s="187">
        <v>112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7">
        <v>0</v>
      </c>
      <c r="D129" s="175"/>
      <c r="E129" s="175"/>
    </row>
    <row r="130" spans="1:6" ht="12.6" customHeight="1" x14ac:dyDescent="0.25">
      <c r="A130" s="173"/>
      <c r="B130" s="175"/>
      <c r="C130" s="189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7">
        <v>0</v>
      </c>
      <c r="D131" s="175"/>
      <c r="E131" s="175"/>
    </row>
    <row r="132" spans="1:6" ht="12.6" customHeight="1" x14ac:dyDescent="0.25">
      <c r="A132" s="173"/>
      <c r="B132" s="173"/>
      <c r="C132" s="189"/>
      <c r="D132" s="175"/>
      <c r="E132" s="175"/>
    </row>
    <row r="133" spans="1:6" ht="12.6" customHeight="1" x14ac:dyDescent="0.25">
      <c r="A133" s="173"/>
      <c r="B133" s="173"/>
      <c r="C133" s="189"/>
      <c r="D133" s="175"/>
      <c r="E133" s="175"/>
    </row>
    <row r="134" spans="1:6" ht="12.6" customHeight="1" x14ac:dyDescent="0.25">
      <c r="A134" s="173"/>
      <c r="B134" s="173"/>
      <c r="C134" s="189"/>
      <c r="D134" s="175"/>
      <c r="E134" s="175"/>
    </row>
    <row r="135" spans="1:6" ht="18" customHeight="1" x14ac:dyDescent="0.25">
      <c r="A135" s="173"/>
      <c r="B135" s="173"/>
      <c r="C135" s="189"/>
      <c r="D135" s="175"/>
      <c r="E135" s="175"/>
    </row>
    <row r="136" spans="1:6" ht="12.6" customHeight="1" x14ac:dyDescent="0.25">
      <c r="A136" s="206" t="s">
        <v>1240</v>
      </c>
      <c r="B136" s="205"/>
      <c r="C136" s="205"/>
      <c r="D136" s="205"/>
      <c r="E136" s="205"/>
    </row>
    <row r="137" spans="1:6" ht="12.6" customHeight="1" x14ac:dyDescent="0.25">
      <c r="A137" s="254" t="s">
        <v>295</v>
      </c>
      <c r="B137" s="176" t="s">
        <v>296</v>
      </c>
      <c r="C137" s="190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f>2668+709+1</f>
        <v>3378</v>
      </c>
      <c r="C138" s="187">
        <f>32+699+2</f>
        <v>733</v>
      </c>
      <c r="D138" s="174">
        <f>1147+3+176+63+13</f>
        <v>1402</v>
      </c>
      <c r="E138" s="175">
        <f>SUM(B138:D138)</f>
        <v>5513</v>
      </c>
    </row>
    <row r="139" spans="1:6" ht="12.6" customHeight="1" x14ac:dyDescent="0.25">
      <c r="A139" s="173" t="s">
        <v>215</v>
      </c>
      <c r="B139" s="174">
        <f>13159+3827</f>
        <v>16986</v>
      </c>
      <c r="C139" s="187">
        <f>137+3716+10</f>
        <v>3863</v>
      </c>
      <c r="D139" s="174">
        <f>4321+8+857+224+41</f>
        <v>5451</v>
      </c>
      <c r="E139" s="175">
        <f>SUM(B139:D139)</f>
        <v>26300</v>
      </c>
    </row>
    <row r="140" spans="1:6" ht="12.6" customHeight="1" x14ac:dyDescent="0.25">
      <c r="A140" s="173" t="s">
        <v>298</v>
      </c>
      <c r="B140" s="174">
        <v>0</v>
      </c>
      <c r="C140" s="174">
        <v>0</v>
      </c>
      <c r="D140" s="174">
        <v>0</v>
      </c>
      <c r="E140" s="175">
        <f>SUM(B140:D140)</f>
        <v>0</v>
      </c>
    </row>
    <row r="141" spans="1:6" ht="12.6" customHeight="1" x14ac:dyDescent="0.25">
      <c r="A141" s="173" t="s">
        <v>245</v>
      </c>
      <c r="B141" s="174">
        <v>217894810.44999999</v>
      </c>
      <c r="C141" s="187">
        <v>49154092.700000003</v>
      </c>
      <c r="D141" s="174">
        <f>6979861.89+21691922.07+52485504.29+3290299.37+13112763.05</f>
        <v>97560350.670000002</v>
      </c>
      <c r="E141" s="175">
        <f>SUM(B141:D141)</f>
        <v>364609253.81999999</v>
      </c>
      <c r="F141" s="197"/>
    </row>
    <row r="142" spans="1:6" ht="12.6" customHeight="1" x14ac:dyDescent="0.25">
      <c r="A142" s="173" t="s">
        <v>246</v>
      </c>
      <c r="B142" s="174">
        <v>151487840.28999999</v>
      </c>
      <c r="C142" s="187">
        <v>67379163.450000003</v>
      </c>
      <c r="D142" s="174">
        <f>12470355.21+38722320.63+89110831.2+6698582.65+21119799.54</f>
        <v>168121889.23000002</v>
      </c>
      <c r="E142" s="175">
        <f>SUM(B142:D142)</f>
        <v>386988892.97000003</v>
      </c>
      <c r="F142" s="197"/>
    </row>
    <row r="143" spans="1:6" ht="12.6" customHeight="1" x14ac:dyDescent="0.25">
      <c r="A143" s="254" t="s">
        <v>299</v>
      </c>
      <c r="B143" s="176" t="s">
        <v>296</v>
      </c>
      <c r="C143" s="190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0</v>
      </c>
      <c r="C144" s="187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87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298</v>
      </c>
      <c r="B146" s="174">
        <v>0</v>
      </c>
      <c r="C146" s="187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0</v>
      </c>
      <c r="C147" s="187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246</v>
      </c>
      <c r="B148" s="174">
        <v>0</v>
      </c>
      <c r="C148" s="187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4" t="s">
        <v>300</v>
      </c>
      <c r="B149" s="176" t="s">
        <v>296</v>
      </c>
      <c r="C149" s="190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87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87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87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87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87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1"/>
      <c r="D155" s="178"/>
      <c r="E155" s="175"/>
    </row>
    <row r="156" spans="1:5" ht="12.6" customHeight="1" x14ac:dyDescent="0.25">
      <c r="A156" s="254" t="s">
        <v>301</v>
      </c>
      <c r="B156" s="176" t="s">
        <v>302</v>
      </c>
      <c r="C156" s="190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0</v>
      </c>
      <c r="C157" s="174">
        <v>0</v>
      </c>
      <c r="D157" s="175"/>
      <c r="E157" s="175"/>
    </row>
    <row r="158" spans="1:5" ht="12.6" customHeight="1" x14ac:dyDescent="0.25">
      <c r="A158" s="177"/>
      <c r="B158" s="178"/>
      <c r="C158" s="191"/>
      <c r="D158" s="175"/>
      <c r="E158" s="175"/>
    </row>
    <row r="159" spans="1:5" ht="12.6" customHeight="1" x14ac:dyDescent="0.25">
      <c r="A159" s="177"/>
      <c r="B159" s="177"/>
      <c r="C159" s="191"/>
      <c r="D159" s="178"/>
      <c r="E159" s="175"/>
    </row>
    <row r="160" spans="1:5" ht="12.6" customHeight="1" x14ac:dyDescent="0.25">
      <c r="A160" s="177"/>
      <c r="B160" s="177"/>
      <c r="C160" s="191"/>
      <c r="D160" s="178"/>
      <c r="E160" s="175"/>
    </row>
    <row r="161" spans="1:5" ht="12.6" customHeight="1" x14ac:dyDescent="0.25">
      <c r="A161" s="177"/>
      <c r="B161" s="177"/>
      <c r="C161" s="191"/>
      <c r="D161" s="178"/>
      <c r="E161" s="175"/>
    </row>
    <row r="162" spans="1:5" ht="21.75" customHeight="1" x14ac:dyDescent="0.25">
      <c r="A162" s="177"/>
      <c r="B162" s="177"/>
      <c r="C162" s="191"/>
      <c r="D162" s="178"/>
      <c r="E162" s="175"/>
    </row>
    <row r="163" spans="1:5" ht="11.4" customHeight="1" x14ac:dyDescent="0.25">
      <c r="A163" s="205" t="s">
        <v>305</v>
      </c>
      <c r="B163" s="206"/>
      <c r="C163" s="206"/>
      <c r="D163" s="206"/>
      <c r="E163" s="206"/>
    </row>
    <row r="164" spans="1:5" ht="11.4" customHeight="1" x14ac:dyDescent="0.25">
      <c r="A164" s="253" t="s">
        <v>306</v>
      </c>
      <c r="B164" s="253"/>
      <c r="C164" s="253"/>
      <c r="D164" s="253"/>
      <c r="E164" s="253"/>
    </row>
    <row r="165" spans="1:5" ht="11.4" customHeight="1" x14ac:dyDescent="0.25">
      <c r="A165" s="173" t="s">
        <v>307</v>
      </c>
      <c r="B165" s="172" t="s">
        <v>256</v>
      </c>
      <c r="C165" s="187">
        <v>2944397.76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7">
        <v>21256.6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7">
        <f>587331.96-1382.38</f>
        <v>585949.57999999996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7">
        <f>126899.15+4811464.91-678243.39+313183.96-112636.14+44980.22-45191+114575.79</f>
        <v>4575033.5000000009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7">
        <f>111748.89-92324.01</f>
        <v>19424.880000000005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7">
        <f>1064536.91+713837.02</f>
        <v>1778373.93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7">
        <f>68731.55+22917.27+2076+10415.7+2500+22971.06</f>
        <v>129611.58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7">
        <v>0</v>
      </c>
      <c r="D172" s="175"/>
      <c r="E172" s="175"/>
    </row>
    <row r="173" spans="1:5" ht="11.4" customHeight="1" x14ac:dyDescent="0.25">
      <c r="A173" s="173" t="s">
        <v>203</v>
      </c>
      <c r="B173" s="175"/>
      <c r="C173" s="189"/>
      <c r="D173" s="175">
        <f>SUM(C165:C172)</f>
        <v>10054047.830000002</v>
      </c>
      <c r="E173" s="175"/>
    </row>
    <row r="174" spans="1:5" ht="11.4" customHeight="1" x14ac:dyDescent="0.25">
      <c r="A174" s="253" t="s">
        <v>314</v>
      </c>
      <c r="B174" s="253"/>
      <c r="C174" s="253"/>
      <c r="D174" s="253"/>
      <c r="E174" s="253"/>
    </row>
    <row r="175" spans="1:5" ht="11.4" customHeight="1" x14ac:dyDescent="0.25">
      <c r="A175" s="173" t="s">
        <v>315</v>
      </c>
      <c r="B175" s="172" t="s">
        <v>256</v>
      </c>
      <c r="C175" s="187">
        <v>821080.99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7">
        <f>393510.32-30366.19+144501.9</f>
        <v>507646.03</v>
      </c>
      <c r="D176" s="175"/>
      <c r="E176" s="175"/>
    </row>
    <row r="177" spans="1:5" ht="11.4" customHeight="1" x14ac:dyDescent="0.25">
      <c r="A177" s="173" t="s">
        <v>203</v>
      </c>
      <c r="B177" s="175"/>
      <c r="C177" s="189"/>
      <c r="D177" s="175">
        <f>SUM(C175:C176)</f>
        <v>1328727.02</v>
      </c>
      <c r="E177" s="175"/>
    </row>
    <row r="178" spans="1:5" ht="11.4" customHeight="1" x14ac:dyDescent="0.25">
      <c r="A178" s="253" t="s">
        <v>317</v>
      </c>
      <c r="B178" s="253"/>
      <c r="C178" s="253"/>
      <c r="D178" s="253"/>
      <c r="E178" s="253"/>
    </row>
    <row r="179" spans="1:5" ht="11.4" customHeight="1" x14ac:dyDescent="0.25">
      <c r="A179" s="173" t="s">
        <v>318</v>
      </c>
      <c r="B179" s="172" t="s">
        <v>256</v>
      </c>
      <c r="C179" s="187">
        <v>992232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7">
        <f>212385.6-54713</f>
        <v>157672.6</v>
      </c>
      <c r="D180" s="175"/>
      <c r="E180" s="175"/>
    </row>
    <row r="181" spans="1:5" ht="11.4" customHeight="1" x14ac:dyDescent="0.25">
      <c r="A181" s="173" t="s">
        <v>203</v>
      </c>
      <c r="B181" s="175"/>
      <c r="C181" s="189"/>
      <c r="D181" s="175">
        <f>SUM(C179:C180)</f>
        <v>1149904.6000000001</v>
      </c>
      <c r="E181" s="175"/>
    </row>
    <row r="182" spans="1:5" ht="11.4" customHeight="1" x14ac:dyDescent="0.25">
      <c r="A182" s="253" t="s">
        <v>320</v>
      </c>
      <c r="B182" s="253"/>
      <c r="C182" s="253"/>
      <c r="D182" s="253"/>
      <c r="E182" s="253"/>
    </row>
    <row r="183" spans="1:5" ht="11.4" customHeight="1" x14ac:dyDescent="0.25">
      <c r="A183" s="173" t="s">
        <v>321</v>
      </c>
      <c r="B183" s="172" t="s">
        <v>256</v>
      </c>
      <c r="C183" s="187">
        <v>0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7">
        <v>4361904.9800000004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7">
        <v>0</v>
      </c>
      <c r="D185" s="175"/>
      <c r="E185" s="175"/>
    </row>
    <row r="186" spans="1:5" ht="11.4" customHeight="1" x14ac:dyDescent="0.25">
      <c r="A186" s="173" t="s">
        <v>203</v>
      </c>
      <c r="B186" s="175"/>
      <c r="C186" s="189"/>
      <c r="D186" s="175">
        <f>SUM(C183:C185)</f>
        <v>4361904.9800000004</v>
      </c>
      <c r="E186" s="175"/>
    </row>
    <row r="187" spans="1:5" ht="11.4" customHeight="1" x14ac:dyDescent="0.25">
      <c r="A187" s="253" t="s">
        <v>323</v>
      </c>
      <c r="B187" s="253"/>
      <c r="C187" s="253"/>
      <c r="D187" s="253"/>
      <c r="E187" s="253"/>
    </row>
    <row r="188" spans="1:5" ht="11.4" customHeight="1" x14ac:dyDescent="0.25">
      <c r="A188" s="173" t="s">
        <v>324</v>
      </c>
      <c r="B188" s="172" t="s">
        <v>256</v>
      </c>
      <c r="C188" s="187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7">
        <v>2751083.31</v>
      </c>
      <c r="D189" s="175"/>
      <c r="E189" s="175"/>
    </row>
    <row r="190" spans="1:5" ht="11.4" customHeight="1" x14ac:dyDescent="0.25">
      <c r="A190" s="173" t="s">
        <v>203</v>
      </c>
      <c r="B190" s="175"/>
      <c r="C190" s="189"/>
      <c r="D190" s="175">
        <f>SUM(C188:C189)</f>
        <v>2751083.31</v>
      </c>
      <c r="E190" s="175"/>
    </row>
    <row r="191" spans="1:5" ht="18" customHeight="1" x14ac:dyDescent="0.25">
      <c r="A191" s="173"/>
      <c r="B191" s="175"/>
      <c r="C191" s="189"/>
      <c r="D191" s="175"/>
      <c r="E191" s="175"/>
    </row>
    <row r="192" spans="1:5" ht="12.6" customHeight="1" x14ac:dyDescent="0.25">
      <c r="A192" s="206" t="s">
        <v>326</v>
      </c>
      <c r="B192" s="206"/>
      <c r="C192" s="206"/>
      <c r="D192" s="206"/>
      <c r="E192" s="206"/>
    </row>
    <row r="193" spans="1:8" ht="12.6" customHeight="1" x14ac:dyDescent="0.25">
      <c r="A193" s="205" t="s">
        <v>327</v>
      </c>
      <c r="B193" s="206"/>
      <c r="C193" s="206"/>
      <c r="D193" s="206"/>
      <c r="E193" s="206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3531776</v>
      </c>
      <c r="C195" s="187">
        <v>0</v>
      </c>
      <c r="D195" s="174">
        <v>0</v>
      </c>
      <c r="E195" s="175">
        <f t="shared" ref="E195:E203" si="10">SUM(B195:C195)-D195</f>
        <v>3531776</v>
      </c>
    </row>
    <row r="196" spans="1:8" ht="12.6" customHeight="1" x14ac:dyDescent="0.25">
      <c r="A196" s="173" t="s">
        <v>333</v>
      </c>
      <c r="B196" s="174">
        <v>2067270</v>
      </c>
      <c r="C196" s="187">
        <v>0</v>
      </c>
      <c r="D196" s="174">
        <v>0</v>
      </c>
      <c r="E196" s="175">
        <f t="shared" si="10"/>
        <v>2067270</v>
      </c>
    </row>
    <row r="197" spans="1:8" ht="12.6" customHeight="1" x14ac:dyDescent="0.25">
      <c r="A197" s="173" t="s">
        <v>334</v>
      </c>
      <c r="B197" s="174">
        <v>134516969</v>
      </c>
      <c r="C197" s="187">
        <v>0</v>
      </c>
      <c r="D197" s="174">
        <v>0</v>
      </c>
      <c r="E197" s="175">
        <f t="shared" si="10"/>
        <v>134516969</v>
      </c>
    </row>
    <row r="198" spans="1:8" ht="12.6" customHeight="1" x14ac:dyDescent="0.25">
      <c r="A198" s="173" t="s">
        <v>335</v>
      </c>
      <c r="B198" s="174">
        <v>2303391</v>
      </c>
      <c r="C198" s="187">
        <f>10841574.42+723588.85</f>
        <v>11565163.27</v>
      </c>
      <c r="D198" s="174">
        <v>0</v>
      </c>
      <c r="E198" s="175">
        <f t="shared" si="10"/>
        <v>13868554.27</v>
      </c>
    </row>
    <row r="199" spans="1:8" ht="12.6" customHeight="1" x14ac:dyDescent="0.25">
      <c r="A199" s="173" t="s">
        <v>336</v>
      </c>
      <c r="B199" s="174">
        <v>822475</v>
      </c>
      <c r="C199" s="187">
        <f>106751.32+8736.84</f>
        <v>115488.16</v>
      </c>
      <c r="D199" s="174">
        <v>0</v>
      </c>
      <c r="E199" s="175">
        <f t="shared" si="10"/>
        <v>937963.16</v>
      </c>
    </row>
    <row r="200" spans="1:8" ht="12.6" customHeight="1" x14ac:dyDescent="0.25">
      <c r="A200" s="173" t="s">
        <v>337</v>
      </c>
      <c r="B200" s="174">
        <v>61538806</v>
      </c>
      <c r="C200" s="187">
        <f>6205008.42+1225267.2</f>
        <v>7430275.6200000001</v>
      </c>
      <c r="D200" s="174">
        <v>0</v>
      </c>
      <c r="E200" s="175">
        <f t="shared" si="10"/>
        <v>68969081.620000005</v>
      </c>
    </row>
    <row r="201" spans="1:8" ht="12.6" customHeight="1" x14ac:dyDescent="0.25">
      <c r="A201" s="173" t="s">
        <v>338</v>
      </c>
      <c r="B201" s="174">
        <v>0</v>
      </c>
      <c r="C201" s="187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5849849</v>
      </c>
      <c r="C202" s="187">
        <v>0</v>
      </c>
      <c r="D202" s="174">
        <v>0</v>
      </c>
      <c r="E202" s="175">
        <f t="shared" si="10"/>
        <v>5849849</v>
      </c>
    </row>
    <row r="203" spans="1:8" ht="12.6" customHeight="1" x14ac:dyDescent="0.25">
      <c r="A203" s="173" t="s">
        <v>340</v>
      </c>
      <c r="B203" s="174">
        <v>2995626</v>
      </c>
      <c r="C203" s="187">
        <v>0</v>
      </c>
      <c r="D203" s="174">
        <f>18785350.72-18410434.03</f>
        <v>374916.68999999762</v>
      </c>
      <c r="E203" s="175">
        <f t="shared" si="10"/>
        <v>2620709.3100000024</v>
      </c>
    </row>
    <row r="204" spans="1:8" ht="12.6" customHeight="1" x14ac:dyDescent="0.25">
      <c r="A204" s="173" t="s">
        <v>203</v>
      </c>
      <c r="B204" s="175">
        <f>SUM(B195:B203)</f>
        <v>213626162</v>
      </c>
      <c r="C204" s="189">
        <f>SUM(C195:C203)</f>
        <v>19110927.050000001</v>
      </c>
      <c r="D204" s="175">
        <f>SUM(D195:D203)</f>
        <v>374916.68999999762</v>
      </c>
      <c r="E204" s="175">
        <f>SUM(E195:E203)</f>
        <v>232362172.36000001</v>
      </c>
    </row>
    <row r="205" spans="1:8" ht="12.6" customHeight="1" x14ac:dyDescent="0.25">
      <c r="A205" s="173"/>
      <c r="B205" s="173"/>
      <c r="C205" s="189"/>
      <c r="D205" s="175"/>
      <c r="E205" s="175"/>
    </row>
    <row r="206" spans="1:8" ht="12.6" customHeight="1" x14ac:dyDescent="0.25">
      <c r="A206" s="205" t="s">
        <v>341</v>
      </c>
      <c r="B206" s="205"/>
      <c r="C206" s="205"/>
      <c r="D206" s="205"/>
      <c r="E206" s="205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x14ac:dyDescent="0.25">
      <c r="A208" s="173" t="s">
        <v>332</v>
      </c>
      <c r="B208" s="178"/>
      <c r="C208" s="191"/>
      <c r="D208" s="178"/>
      <c r="E208" s="175"/>
      <c r="H208" s="255"/>
    </row>
    <row r="209" spans="1:8" ht="12.6" customHeight="1" x14ac:dyDescent="0.25">
      <c r="A209" s="173" t="s">
        <v>333</v>
      </c>
      <c r="B209" s="174">
        <v>633408</v>
      </c>
      <c r="C209" s="187">
        <v>86929.39</v>
      </c>
      <c r="D209" s="174">
        <v>0</v>
      </c>
      <c r="E209" s="175">
        <f t="shared" ref="E209:E216" si="11">SUM(B209:C209)-D209</f>
        <v>720337.39</v>
      </c>
      <c r="H209" s="255"/>
    </row>
    <row r="210" spans="1:8" ht="12.6" customHeight="1" x14ac:dyDescent="0.25">
      <c r="A210" s="173" t="s">
        <v>334</v>
      </c>
      <c r="B210" s="174">
        <v>44704156</v>
      </c>
      <c r="C210" s="187">
        <v>4246357.76</v>
      </c>
      <c r="D210" s="174">
        <v>0</v>
      </c>
      <c r="E210" s="175">
        <f t="shared" si="11"/>
        <v>48950513.759999998</v>
      </c>
      <c r="H210" s="255"/>
    </row>
    <row r="211" spans="1:8" ht="12.6" customHeight="1" x14ac:dyDescent="0.25">
      <c r="A211" s="173" t="s">
        <v>335</v>
      </c>
      <c r="B211" s="174">
        <v>576232</v>
      </c>
      <c r="C211" s="187">
        <v>491279.58</v>
      </c>
      <c r="D211" s="174">
        <v>0</v>
      </c>
      <c r="E211" s="175">
        <f t="shared" si="11"/>
        <v>1067511.58</v>
      </c>
      <c r="H211" s="255"/>
    </row>
    <row r="212" spans="1:8" ht="12.6" customHeight="1" x14ac:dyDescent="0.25">
      <c r="A212" s="173" t="s">
        <v>336</v>
      </c>
      <c r="B212" s="174">
        <v>566614</v>
      </c>
      <c r="C212" s="187">
        <v>47091.71</v>
      </c>
      <c r="D212" s="174">
        <v>0</v>
      </c>
      <c r="E212" s="175">
        <f t="shared" si="11"/>
        <v>613705.71</v>
      </c>
      <c r="H212" s="255"/>
    </row>
    <row r="213" spans="1:8" ht="12.6" customHeight="1" x14ac:dyDescent="0.25">
      <c r="A213" s="173" t="s">
        <v>337</v>
      </c>
      <c r="B213" s="174">
        <v>46895869</v>
      </c>
      <c r="C213" s="187">
        <f>4566615.96+0.02+220937</f>
        <v>4787552.9799999995</v>
      </c>
      <c r="D213" s="174">
        <f>-220937.22+220937</f>
        <v>-0.22000000000116415</v>
      </c>
      <c r="E213" s="175">
        <f t="shared" si="11"/>
        <v>51683422.199999996</v>
      </c>
      <c r="H213" s="255"/>
    </row>
    <row r="214" spans="1:8" ht="12.6" customHeight="1" x14ac:dyDescent="0.25">
      <c r="A214" s="173" t="s">
        <v>338</v>
      </c>
      <c r="B214" s="174">
        <v>0</v>
      </c>
      <c r="C214" s="187">
        <v>0</v>
      </c>
      <c r="D214" s="174">
        <v>0</v>
      </c>
      <c r="E214" s="175">
        <f t="shared" si="11"/>
        <v>0</v>
      </c>
      <c r="H214" s="255"/>
    </row>
    <row r="215" spans="1:8" ht="12.6" customHeight="1" x14ac:dyDescent="0.25">
      <c r="A215" s="173" t="s">
        <v>339</v>
      </c>
      <c r="B215" s="174">
        <v>3703423</v>
      </c>
      <c r="C215" s="187">
        <v>604371.19999999995</v>
      </c>
      <c r="D215" s="174">
        <v>0</v>
      </c>
      <c r="E215" s="175">
        <f t="shared" si="11"/>
        <v>4307794.2</v>
      </c>
      <c r="H215" s="255"/>
    </row>
    <row r="216" spans="1:8" ht="12.6" customHeight="1" x14ac:dyDescent="0.25">
      <c r="A216" s="173" t="s">
        <v>340</v>
      </c>
      <c r="B216" s="174">
        <v>0</v>
      </c>
      <c r="C216" s="187">
        <v>0</v>
      </c>
      <c r="D216" s="174">
        <v>0</v>
      </c>
      <c r="E216" s="175">
        <f t="shared" si="11"/>
        <v>0</v>
      </c>
      <c r="H216" s="255"/>
    </row>
    <row r="217" spans="1:8" ht="12.6" customHeight="1" x14ac:dyDescent="0.25">
      <c r="A217" s="173" t="s">
        <v>203</v>
      </c>
      <c r="B217" s="175">
        <f>SUM(B208:B216)</f>
        <v>97079702</v>
      </c>
      <c r="C217" s="189">
        <f>SUM(C208:C216)</f>
        <v>10263582.619999997</v>
      </c>
      <c r="D217" s="175">
        <f>SUM(D208:D216)</f>
        <v>-0.22000000000116415</v>
      </c>
      <c r="E217" s="175">
        <f>SUM(E208:E216)</f>
        <v>107343284.83999999</v>
      </c>
    </row>
    <row r="218" spans="1:8" ht="21.75" customHeight="1" x14ac:dyDescent="0.25">
      <c r="A218" s="173"/>
      <c r="B218" s="175"/>
      <c r="C218" s="189"/>
      <c r="D218" s="175"/>
      <c r="E218" s="175"/>
    </row>
    <row r="219" spans="1:8" ht="12.6" customHeight="1" x14ac:dyDescent="0.25">
      <c r="A219" s="206" t="s">
        <v>342</v>
      </c>
      <c r="B219" s="206"/>
      <c r="C219" s="206"/>
      <c r="D219" s="206"/>
      <c r="E219" s="206"/>
    </row>
    <row r="220" spans="1:8" ht="12.6" customHeight="1" x14ac:dyDescent="0.25">
      <c r="A220" s="206"/>
      <c r="B220" s="341" t="s">
        <v>1255</v>
      </c>
      <c r="C220" s="341"/>
      <c r="D220" s="206"/>
      <c r="E220" s="206"/>
    </row>
    <row r="221" spans="1:8" ht="12.6" customHeight="1" x14ac:dyDescent="0.25">
      <c r="A221" s="268" t="s">
        <v>1255</v>
      </c>
      <c r="B221" s="206"/>
      <c r="C221" s="187">
        <v>2503575.2400000002</v>
      </c>
      <c r="D221" s="172">
        <f>C221</f>
        <v>2503575.2400000002</v>
      </c>
      <c r="E221" s="206"/>
    </row>
    <row r="222" spans="1:8" ht="12.6" customHeight="1" x14ac:dyDescent="0.25">
      <c r="A222" s="253" t="s">
        <v>343</v>
      </c>
      <c r="B222" s="253"/>
      <c r="C222" s="253"/>
      <c r="D222" s="253"/>
      <c r="E222" s="253"/>
    </row>
    <row r="223" spans="1:8" ht="12.6" customHeight="1" x14ac:dyDescent="0.25">
      <c r="A223" s="173" t="s">
        <v>344</v>
      </c>
      <c r="B223" s="172" t="s">
        <v>256</v>
      </c>
      <c r="C223" s="187">
        <f>181755469.17+-1926689.65-206812+132686615.8</f>
        <v>312308583.31999999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7">
        <f>41097259.47+61206196.71</f>
        <v>102303456.18000001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7">
        <v>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7">
        <v>0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7">
        <v>0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7">
        <f>3802680.96+12162927.02+29826530.53+10173127.29-22671-174890-144078.46-1798962.39+5526449.99+25580042.72+63170242.28+17554436.85</f>
        <v>165655835.78999999</v>
      </c>
      <c r="D228" s="175"/>
      <c r="E228" s="175"/>
    </row>
    <row r="229" spans="1:5" ht="12.6" customHeight="1" x14ac:dyDescent="0.25">
      <c r="A229" s="173" t="s">
        <v>350</v>
      </c>
      <c r="B229" s="175"/>
      <c r="C229" s="189"/>
      <c r="D229" s="175">
        <f>SUM(C223:C228)</f>
        <v>580267875.28999996</v>
      </c>
      <c r="E229" s="175"/>
    </row>
    <row r="230" spans="1:5" ht="12.6" customHeight="1" x14ac:dyDescent="0.25">
      <c r="A230" s="253" t="s">
        <v>351</v>
      </c>
      <c r="B230" s="253"/>
      <c r="C230" s="253"/>
      <c r="D230" s="253"/>
      <c r="E230" s="253"/>
    </row>
    <row r="231" spans="1:5" ht="12.6" customHeight="1" x14ac:dyDescent="0.25">
      <c r="A231" s="171" t="s">
        <v>352</v>
      </c>
      <c r="B231" s="172" t="s">
        <v>256</v>
      </c>
      <c r="C231" s="187">
        <v>2457</v>
      </c>
      <c r="D231" s="175"/>
      <c r="E231" s="175"/>
    </row>
    <row r="232" spans="1:5" ht="12.6" customHeight="1" x14ac:dyDescent="0.25">
      <c r="A232" s="171"/>
      <c r="B232" s="172"/>
      <c r="C232" s="189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7">
        <v>3231548.81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7">
        <v>3440666.75</v>
      </c>
      <c r="D234" s="175"/>
      <c r="E234" s="175"/>
    </row>
    <row r="235" spans="1:5" ht="12.6" customHeight="1" x14ac:dyDescent="0.25">
      <c r="A235" s="173"/>
      <c r="B235" s="175"/>
      <c r="C235" s="189"/>
      <c r="D235" s="175"/>
      <c r="E235" s="175"/>
    </row>
    <row r="236" spans="1:5" ht="12.6" customHeight="1" x14ac:dyDescent="0.25">
      <c r="A236" s="171" t="s">
        <v>355</v>
      </c>
      <c r="B236" s="175"/>
      <c r="C236" s="189"/>
      <c r="D236" s="175">
        <f>SUM(C233:C235)</f>
        <v>6672215.5600000005</v>
      </c>
      <c r="E236" s="175"/>
    </row>
    <row r="237" spans="1:5" ht="12.6" customHeight="1" x14ac:dyDescent="0.25">
      <c r="A237" s="253" t="s">
        <v>356</v>
      </c>
      <c r="B237" s="253"/>
      <c r="C237" s="253"/>
      <c r="D237" s="253"/>
      <c r="E237" s="253"/>
    </row>
    <row r="238" spans="1:5" ht="12.6" customHeight="1" x14ac:dyDescent="0.25">
      <c r="A238" s="173" t="s">
        <v>357</v>
      </c>
      <c r="B238" s="172" t="s">
        <v>256</v>
      </c>
      <c r="C238" s="187">
        <f>891856.36+4664229.75</f>
        <v>5556086.1100000003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7">
        <v>0</v>
      </c>
      <c r="D239" s="175"/>
      <c r="E239" s="175"/>
    </row>
    <row r="240" spans="1:5" ht="12.6" customHeight="1" x14ac:dyDescent="0.25">
      <c r="A240" s="173" t="s">
        <v>358</v>
      </c>
      <c r="B240" s="175"/>
      <c r="C240" s="189"/>
      <c r="D240" s="175">
        <f>SUM(C238:C239)</f>
        <v>5556086.1100000003</v>
      </c>
      <c r="E240" s="175"/>
    </row>
    <row r="241" spans="1:5" ht="12.6" customHeight="1" x14ac:dyDescent="0.25">
      <c r="A241" s="173"/>
      <c r="B241" s="175"/>
      <c r="C241" s="189"/>
      <c r="D241" s="175"/>
      <c r="E241" s="175"/>
    </row>
    <row r="242" spans="1:5" ht="12.6" customHeight="1" x14ac:dyDescent="0.25">
      <c r="A242" s="173" t="s">
        <v>359</v>
      </c>
      <c r="B242" s="175"/>
      <c r="C242" s="189"/>
      <c r="D242" s="175">
        <f>D221+D229+D236+D240</f>
        <v>594999752.19999993</v>
      </c>
      <c r="E242" s="175"/>
    </row>
    <row r="243" spans="1:5" ht="12.6" customHeight="1" x14ac:dyDescent="0.25">
      <c r="A243" s="173"/>
      <c r="B243" s="173"/>
      <c r="C243" s="189"/>
      <c r="D243" s="175"/>
      <c r="E243" s="175"/>
    </row>
    <row r="244" spans="1:5" ht="12.6" customHeight="1" x14ac:dyDescent="0.25">
      <c r="A244" s="173"/>
      <c r="B244" s="173"/>
      <c r="C244" s="189"/>
      <c r="D244" s="175"/>
      <c r="E244" s="175"/>
    </row>
    <row r="245" spans="1:5" ht="12.6" customHeight="1" x14ac:dyDescent="0.25">
      <c r="A245" s="173"/>
      <c r="B245" s="173"/>
      <c r="C245" s="189"/>
      <c r="D245" s="175"/>
      <c r="E245" s="175"/>
    </row>
    <row r="246" spans="1:5" ht="12.6" customHeight="1" x14ac:dyDescent="0.25">
      <c r="A246" s="173"/>
      <c r="B246" s="173"/>
      <c r="C246" s="189"/>
      <c r="D246" s="175"/>
      <c r="E246" s="175"/>
    </row>
    <row r="247" spans="1:5" ht="21.75" customHeight="1" x14ac:dyDescent="0.25">
      <c r="A247" s="173"/>
      <c r="B247" s="173"/>
      <c r="C247" s="189"/>
      <c r="D247" s="175"/>
      <c r="E247" s="175"/>
    </row>
    <row r="248" spans="1:5" ht="12.45" customHeight="1" x14ac:dyDescent="0.25">
      <c r="A248" s="206" t="s">
        <v>360</v>
      </c>
      <c r="B248" s="206"/>
      <c r="C248" s="206"/>
      <c r="D248" s="206"/>
      <c r="E248" s="206"/>
    </row>
    <row r="249" spans="1:5" ht="11.25" customHeight="1" x14ac:dyDescent="0.25">
      <c r="A249" s="253" t="s">
        <v>361</v>
      </c>
      <c r="B249" s="253"/>
      <c r="C249" s="253"/>
      <c r="D249" s="253"/>
      <c r="E249" s="253"/>
    </row>
    <row r="250" spans="1:5" ht="12.45" customHeight="1" x14ac:dyDescent="0.25">
      <c r="A250" s="173" t="s">
        <v>362</v>
      </c>
      <c r="B250" s="172" t="s">
        <v>256</v>
      </c>
      <c r="C250" s="187">
        <v>-176163.13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7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7">
        <v>92874522.969999999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7">
        <f>68249747.63+4551054.01</f>
        <v>72800801.640000001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7"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7">
        <v>1361199.32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7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7">
        <v>4759439.58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7">
        <v>66159.95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7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89"/>
      <c r="D260" s="175">
        <f>SUM(C250:C252)-C253+SUM(C254:C259)</f>
        <v>26084357.050000004</v>
      </c>
      <c r="E260" s="175"/>
    </row>
    <row r="261" spans="1:5" ht="11.25" customHeight="1" x14ac:dyDescent="0.25">
      <c r="A261" s="253" t="s">
        <v>372</v>
      </c>
      <c r="B261" s="253"/>
      <c r="C261" s="253"/>
      <c r="D261" s="253"/>
      <c r="E261" s="253"/>
    </row>
    <row r="262" spans="1:5" ht="12.45" customHeight="1" x14ac:dyDescent="0.25">
      <c r="A262" s="173" t="s">
        <v>362</v>
      </c>
      <c r="B262" s="172" t="s">
        <v>256</v>
      </c>
      <c r="C262" s="187">
        <v>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7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7">
        <v>0</v>
      </c>
      <c r="D264" s="175"/>
      <c r="E264" s="175"/>
    </row>
    <row r="265" spans="1:5" ht="12.45" customHeight="1" x14ac:dyDescent="0.25">
      <c r="A265" s="173" t="s">
        <v>374</v>
      </c>
      <c r="B265" s="175"/>
      <c r="C265" s="189"/>
      <c r="D265" s="175">
        <f>SUM(C262:C264)</f>
        <v>0</v>
      </c>
      <c r="E265" s="175"/>
    </row>
    <row r="266" spans="1:5" ht="11.25" customHeight="1" x14ac:dyDescent="0.25">
      <c r="A266" s="253" t="s">
        <v>375</v>
      </c>
      <c r="B266" s="253"/>
      <c r="C266" s="253"/>
      <c r="D266" s="253"/>
      <c r="E266" s="253"/>
    </row>
    <row r="267" spans="1:5" ht="12.45" customHeight="1" x14ac:dyDescent="0.25">
      <c r="A267" s="173" t="s">
        <v>332</v>
      </c>
      <c r="B267" s="172" t="s">
        <v>256</v>
      </c>
      <c r="C267" s="187">
        <v>3531776.4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7">
        <v>2067269.5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7">
        <v>134516969.13999999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7">
        <v>13868553.91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7">
        <v>937963.53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7">
        <v>68969081.760000005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7">
        <v>5849849.1799999997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7">
        <f>1531224.86+1089484.82</f>
        <v>2620709.6800000002</v>
      </c>
      <c r="D274" s="175"/>
      <c r="E274" s="175"/>
    </row>
    <row r="275" spans="1:5" ht="12.45" customHeight="1" x14ac:dyDescent="0.25">
      <c r="A275" s="173" t="s">
        <v>379</v>
      </c>
      <c r="B275" s="175"/>
      <c r="C275" s="189"/>
      <c r="D275" s="175">
        <f>SUM(C267:C274)</f>
        <v>232362173.10000002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7">
        <v>107343283.95</v>
      </c>
      <c r="D276" s="175"/>
      <c r="E276" s="175"/>
    </row>
    <row r="277" spans="1:5" ht="12.6" customHeight="1" x14ac:dyDescent="0.25">
      <c r="A277" s="173" t="s">
        <v>381</v>
      </c>
      <c r="B277" s="175"/>
      <c r="C277" s="189"/>
      <c r="D277" s="175">
        <f>D275-C276</f>
        <v>125018889.15000002</v>
      </c>
      <c r="E277" s="175"/>
    </row>
    <row r="278" spans="1:5" ht="12.6" customHeight="1" x14ac:dyDescent="0.25">
      <c r="A278" s="253" t="s">
        <v>382</v>
      </c>
      <c r="B278" s="253"/>
      <c r="C278" s="253"/>
      <c r="D278" s="253"/>
      <c r="E278" s="253"/>
    </row>
    <row r="279" spans="1:5" ht="12.6" customHeight="1" x14ac:dyDescent="0.25">
      <c r="A279" s="173" t="s">
        <v>383</v>
      </c>
      <c r="B279" s="172" t="s">
        <v>256</v>
      </c>
      <c r="C279" s="187">
        <v>521022.59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7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7">
        <v>38959670.899999999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7">
        <v>0</v>
      </c>
      <c r="D282" s="175"/>
      <c r="E282" s="175"/>
    </row>
    <row r="283" spans="1:5" ht="12.6" customHeight="1" x14ac:dyDescent="0.25">
      <c r="A283" s="173" t="s">
        <v>386</v>
      </c>
      <c r="B283" s="175"/>
      <c r="C283" s="189"/>
      <c r="D283" s="175">
        <f>C279-C280+C281+C282</f>
        <v>39480693.490000002</v>
      </c>
      <c r="E283" s="175"/>
    </row>
    <row r="284" spans="1:5" ht="12.6" customHeight="1" x14ac:dyDescent="0.25">
      <c r="A284" s="173"/>
      <c r="B284" s="175"/>
      <c r="C284" s="189"/>
      <c r="D284" s="175"/>
      <c r="E284" s="175"/>
    </row>
    <row r="285" spans="1:5" ht="12.6" customHeight="1" x14ac:dyDescent="0.25">
      <c r="A285" s="253" t="s">
        <v>387</v>
      </c>
      <c r="B285" s="253"/>
      <c r="C285" s="253"/>
      <c r="D285" s="253"/>
      <c r="E285" s="253"/>
    </row>
    <row r="286" spans="1:5" ht="12.6" customHeight="1" x14ac:dyDescent="0.25">
      <c r="A286" s="173" t="s">
        <v>388</v>
      </c>
      <c r="B286" s="172" t="s">
        <v>256</v>
      </c>
      <c r="C286" s="187">
        <v>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7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7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7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89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89"/>
      <c r="D291" s="175"/>
      <c r="E291" s="175"/>
    </row>
    <row r="292" spans="1:5" ht="12.6" customHeight="1" x14ac:dyDescent="0.25">
      <c r="A292" s="173" t="s">
        <v>393</v>
      </c>
      <c r="B292" s="175"/>
      <c r="C292" s="189"/>
      <c r="D292" s="175">
        <f>D260+D265+D277+D283+D290</f>
        <v>190583939.69000003</v>
      </c>
      <c r="E292" s="175"/>
    </row>
    <row r="293" spans="1:5" ht="12.6" customHeight="1" x14ac:dyDescent="0.25">
      <c r="A293" s="173"/>
      <c r="B293" s="173"/>
      <c r="C293" s="189"/>
      <c r="D293" s="175"/>
      <c r="E293" s="175"/>
    </row>
    <row r="294" spans="1:5" ht="12.6" customHeight="1" x14ac:dyDescent="0.25">
      <c r="A294" s="173"/>
      <c r="B294" s="173"/>
      <c r="C294" s="189"/>
      <c r="D294" s="175"/>
      <c r="E294" s="175"/>
    </row>
    <row r="295" spans="1:5" ht="12.6" customHeight="1" x14ac:dyDescent="0.25">
      <c r="A295" s="173"/>
      <c r="B295" s="173"/>
      <c r="C295" s="189"/>
      <c r="D295" s="175"/>
      <c r="E295" s="175"/>
    </row>
    <row r="296" spans="1:5" ht="12.6" customHeight="1" x14ac:dyDescent="0.25">
      <c r="A296" s="173"/>
      <c r="B296" s="173"/>
      <c r="C296" s="189"/>
      <c r="D296" s="175"/>
      <c r="E296" s="175"/>
    </row>
    <row r="297" spans="1:5" ht="12.6" customHeight="1" x14ac:dyDescent="0.25">
      <c r="A297" s="173"/>
      <c r="B297" s="173"/>
      <c r="C297" s="189"/>
      <c r="D297" s="175"/>
      <c r="E297" s="175"/>
    </row>
    <row r="298" spans="1:5" ht="12.6" customHeight="1" x14ac:dyDescent="0.25">
      <c r="A298" s="173"/>
      <c r="B298" s="173"/>
      <c r="C298" s="189"/>
      <c r="D298" s="175"/>
      <c r="E298" s="175"/>
    </row>
    <row r="299" spans="1:5" ht="12.6" customHeight="1" x14ac:dyDescent="0.25">
      <c r="A299" s="173"/>
      <c r="B299" s="173"/>
      <c r="C299" s="189"/>
      <c r="D299" s="175"/>
      <c r="E299" s="175"/>
    </row>
    <row r="300" spans="1:5" ht="12.6" customHeight="1" x14ac:dyDescent="0.25">
      <c r="A300" s="173"/>
      <c r="B300" s="173"/>
      <c r="C300" s="189"/>
      <c r="D300" s="175"/>
      <c r="E300" s="175"/>
    </row>
    <row r="301" spans="1:5" ht="20.25" customHeight="1" x14ac:dyDescent="0.25">
      <c r="A301" s="173"/>
      <c r="B301" s="173"/>
      <c r="C301" s="189"/>
      <c r="D301" s="175"/>
      <c r="E301" s="175"/>
    </row>
    <row r="302" spans="1:5" ht="12.6" customHeight="1" x14ac:dyDescent="0.25">
      <c r="A302" s="206" t="s">
        <v>394</v>
      </c>
      <c r="B302" s="206"/>
      <c r="C302" s="206"/>
      <c r="D302" s="206"/>
      <c r="E302" s="206"/>
    </row>
    <row r="303" spans="1:5" ht="14.25" customHeight="1" x14ac:dyDescent="0.25">
      <c r="A303" s="253" t="s">
        <v>395</v>
      </c>
      <c r="B303" s="253"/>
      <c r="C303" s="253"/>
      <c r="D303" s="253"/>
      <c r="E303" s="253"/>
    </row>
    <row r="304" spans="1:5" ht="12.6" customHeight="1" x14ac:dyDescent="0.25">
      <c r="A304" s="173" t="s">
        <v>396</v>
      </c>
      <c r="B304" s="172" t="s">
        <v>256</v>
      </c>
      <c r="C304" s="187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7">
        <f>2917735.71+4903903.4</f>
        <v>7821639.1100000003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7">
        <v>3815392.67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7">
        <v>63495.13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7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7">
        <v>3056610.95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7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7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7">
        <f>255903.19-188427.53</f>
        <v>67475.66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7">
        <v>5600150.7300000004</v>
      </c>
      <c r="D313" s="175"/>
      <c r="E313" s="175"/>
    </row>
    <row r="314" spans="1:5" ht="12.6" customHeight="1" x14ac:dyDescent="0.25">
      <c r="A314" s="173" t="s">
        <v>405</v>
      </c>
      <c r="B314" s="175"/>
      <c r="C314" s="189"/>
      <c r="D314" s="175">
        <f>SUM(C304:C313)</f>
        <v>20424764.250000004</v>
      </c>
      <c r="E314" s="175"/>
    </row>
    <row r="315" spans="1:5" ht="12.6" customHeight="1" x14ac:dyDescent="0.25">
      <c r="A315" s="253" t="s">
        <v>406</v>
      </c>
      <c r="B315" s="253"/>
      <c r="C315" s="253"/>
      <c r="D315" s="253"/>
      <c r="E315" s="253"/>
    </row>
    <row r="316" spans="1:5" ht="12.6" customHeight="1" x14ac:dyDescent="0.25">
      <c r="A316" s="173" t="s">
        <v>407</v>
      </c>
      <c r="B316" s="172" t="s">
        <v>256</v>
      </c>
      <c r="C316" s="187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7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7">
        <v>315370</v>
      </c>
      <c r="D318" s="175"/>
      <c r="E318" s="175"/>
    </row>
    <row r="319" spans="1:5" ht="12.6" customHeight="1" x14ac:dyDescent="0.25">
      <c r="A319" s="173" t="s">
        <v>410</v>
      </c>
      <c r="B319" s="175"/>
      <c r="C319" s="189"/>
      <c r="D319" s="175">
        <f>SUM(C316:C318)</f>
        <v>315370</v>
      </c>
      <c r="E319" s="175"/>
    </row>
    <row r="320" spans="1:5" ht="12.6" customHeight="1" x14ac:dyDescent="0.25">
      <c r="A320" s="253" t="s">
        <v>411</v>
      </c>
      <c r="B320" s="253"/>
      <c r="C320" s="253"/>
      <c r="D320" s="253"/>
      <c r="E320" s="253"/>
    </row>
    <row r="321" spans="1:5" ht="12.6" customHeight="1" x14ac:dyDescent="0.25">
      <c r="A321" s="173" t="s">
        <v>412</v>
      </c>
      <c r="B321" s="172" t="s">
        <v>256</v>
      </c>
      <c r="C321" s="187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7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7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7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7">
        <f>5600150.73+55051302.21</f>
        <v>60651452.939999998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7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7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89"/>
      <c r="D328" s="175">
        <f>SUM(C321:C327)</f>
        <v>60651452.939999998</v>
      </c>
      <c r="E328" s="175"/>
    </row>
    <row r="329" spans="1:5" ht="12.6" customHeight="1" x14ac:dyDescent="0.25">
      <c r="A329" s="173" t="s">
        <v>419</v>
      </c>
      <c r="B329" s="175"/>
      <c r="C329" s="189"/>
      <c r="D329" s="175">
        <f>C313</f>
        <v>5600150.7300000004</v>
      </c>
      <c r="E329" s="175"/>
    </row>
    <row r="330" spans="1:5" ht="12.6" customHeight="1" x14ac:dyDescent="0.25">
      <c r="A330" s="173" t="s">
        <v>420</v>
      </c>
      <c r="B330" s="175"/>
      <c r="C330" s="189"/>
      <c r="D330" s="175">
        <f>D328-D329</f>
        <v>55051302.209999993</v>
      </c>
      <c r="E330" s="175"/>
    </row>
    <row r="331" spans="1:5" ht="12.6" customHeight="1" x14ac:dyDescent="0.25">
      <c r="A331" s="173"/>
      <c r="B331" s="175"/>
      <c r="C331" s="189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9">
        <v>114792503.23</v>
      </c>
      <c r="D332" s="175"/>
      <c r="E332" s="175"/>
    </row>
    <row r="333" spans="1:5" ht="12.6" customHeight="1" x14ac:dyDescent="0.25">
      <c r="A333" s="173"/>
      <c r="B333" s="172"/>
      <c r="C333" s="228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187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187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187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7">
        <v>0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7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89"/>
      <c r="D339" s="175">
        <f>D314+D319+D330+C332+C336+C337</f>
        <v>190583939.69</v>
      </c>
      <c r="E339" s="175"/>
    </row>
    <row r="340" spans="1:5" ht="12.6" customHeight="1" x14ac:dyDescent="0.25">
      <c r="A340" s="173"/>
      <c r="B340" s="175"/>
      <c r="C340" s="189"/>
      <c r="D340" s="175"/>
      <c r="E340" s="175"/>
    </row>
    <row r="341" spans="1:5" ht="12.6" customHeight="1" x14ac:dyDescent="0.25">
      <c r="A341" s="173" t="s">
        <v>425</v>
      </c>
      <c r="B341" s="175"/>
      <c r="C341" s="189"/>
      <c r="D341" s="175">
        <f>D292</f>
        <v>190583939.69000003</v>
      </c>
      <c r="E341" s="175"/>
    </row>
    <row r="342" spans="1:5" ht="12.6" customHeight="1" x14ac:dyDescent="0.25">
      <c r="A342" s="173"/>
      <c r="B342" s="173"/>
      <c r="C342" s="189"/>
      <c r="D342" s="175"/>
      <c r="E342" s="175"/>
    </row>
    <row r="343" spans="1:5" ht="12.6" customHeight="1" x14ac:dyDescent="0.25">
      <c r="A343" s="173"/>
      <c r="B343" s="173"/>
      <c r="C343" s="189"/>
      <c r="D343" s="175"/>
      <c r="E343" s="175"/>
    </row>
    <row r="344" spans="1:5" ht="12.6" customHeight="1" x14ac:dyDescent="0.25">
      <c r="A344" s="173"/>
      <c r="B344" s="173"/>
      <c r="C344" s="189"/>
      <c r="D344" s="175"/>
      <c r="E344" s="175"/>
    </row>
    <row r="345" spans="1:5" ht="12.6" customHeight="1" x14ac:dyDescent="0.25">
      <c r="A345" s="173"/>
      <c r="B345" s="173"/>
      <c r="C345" s="189"/>
      <c r="D345" s="175"/>
      <c r="E345" s="175"/>
    </row>
    <row r="346" spans="1:5" ht="12.6" customHeight="1" x14ac:dyDescent="0.25">
      <c r="A346" s="173"/>
      <c r="B346" s="173"/>
      <c r="C346" s="189"/>
      <c r="D346" s="175"/>
      <c r="E346" s="175"/>
    </row>
    <row r="347" spans="1:5" ht="12.6" customHeight="1" x14ac:dyDescent="0.25">
      <c r="A347" s="173"/>
      <c r="B347" s="173"/>
      <c r="C347" s="189"/>
      <c r="D347" s="175"/>
      <c r="E347" s="175"/>
    </row>
    <row r="348" spans="1:5" ht="12.6" customHeight="1" x14ac:dyDescent="0.25">
      <c r="A348" s="173"/>
      <c r="B348" s="173"/>
      <c r="C348" s="189"/>
      <c r="D348" s="175"/>
      <c r="E348" s="175"/>
    </row>
    <row r="349" spans="1:5" ht="12.6" customHeight="1" x14ac:dyDescent="0.25">
      <c r="A349" s="173"/>
      <c r="B349" s="173"/>
      <c r="C349" s="189"/>
      <c r="D349" s="175"/>
      <c r="E349" s="175"/>
    </row>
    <row r="350" spans="1:5" ht="12.6" customHeight="1" x14ac:dyDescent="0.25">
      <c r="A350" s="173"/>
      <c r="B350" s="173"/>
      <c r="C350" s="189"/>
      <c r="D350" s="175"/>
      <c r="E350" s="175"/>
    </row>
    <row r="351" spans="1:5" ht="12.6" customHeight="1" x14ac:dyDescent="0.25">
      <c r="A351" s="173"/>
      <c r="B351" s="173"/>
      <c r="C351" s="189"/>
      <c r="D351" s="175"/>
      <c r="E351" s="175"/>
    </row>
    <row r="352" spans="1:5" ht="12.6" customHeight="1" x14ac:dyDescent="0.25">
      <c r="A352" s="173"/>
      <c r="B352" s="173"/>
      <c r="C352" s="189"/>
      <c r="D352" s="175"/>
      <c r="E352" s="175"/>
    </row>
    <row r="353" spans="1:5" ht="12.6" customHeight="1" x14ac:dyDescent="0.25">
      <c r="A353" s="173"/>
      <c r="B353" s="173"/>
      <c r="C353" s="189"/>
      <c r="D353" s="175"/>
      <c r="E353" s="175"/>
    </row>
    <row r="354" spans="1:5" ht="12.6" customHeight="1" x14ac:dyDescent="0.25">
      <c r="A354" s="173"/>
      <c r="B354" s="173"/>
      <c r="C354" s="189"/>
      <c r="D354" s="175"/>
      <c r="E354" s="175"/>
    </row>
    <row r="355" spans="1:5" ht="12.6" customHeight="1" x14ac:dyDescent="0.25">
      <c r="A355" s="173"/>
      <c r="B355" s="173"/>
      <c r="C355" s="189"/>
      <c r="D355" s="175"/>
      <c r="E355" s="175"/>
    </row>
    <row r="356" spans="1:5" ht="20.25" customHeight="1" x14ac:dyDescent="0.25">
      <c r="A356" s="173"/>
      <c r="B356" s="173"/>
      <c r="C356" s="189"/>
      <c r="D356" s="175"/>
      <c r="E356" s="175"/>
    </row>
    <row r="357" spans="1:5" ht="12.6" customHeight="1" x14ac:dyDescent="0.25">
      <c r="A357" s="206" t="s">
        <v>426</v>
      </c>
      <c r="B357" s="206"/>
      <c r="C357" s="206"/>
      <c r="D357" s="206"/>
      <c r="E357" s="206"/>
    </row>
    <row r="358" spans="1:5" ht="12.6" customHeight="1" x14ac:dyDescent="0.25">
      <c r="A358" s="253" t="s">
        <v>427</v>
      </c>
      <c r="B358" s="253"/>
      <c r="C358" s="253"/>
      <c r="D358" s="253"/>
      <c r="E358" s="253"/>
    </row>
    <row r="359" spans="1:5" ht="12.6" customHeight="1" x14ac:dyDescent="0.25">
      <c r="A359" s="173" t="s">
        <v>428</v>
      </c>
      <c r="B359" s="172" t="s">
        <v>256</v>
      </c>
      <c r="C359" s="187">
        <v>364609253.81999999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7">
        <v>386988892.97000003</v>
      </c>
      <c r="D360" s="175"/>
      <c r="E360" s="175"/>
    </row>
    <row r="361" spans="1:5" ht="12.6" customHeight="1" x14ac:dyDescent="0.25">
      <c r="A361" s="173" t="s">
        <v>430</v>
      </c>
      <c r="B361" s="175"/>
      <c r="C361" s="189"/>
      <c r="D361" s="175">
        <f>SUM(C359:C360)</f>
        <v>751598146.78999996</v>
      </c>
      <c r="E361" s="175"/>
    </row>
    <row r="362" spans="1:5" ht="12.6" customHeight="1" x14ac:dyDescent="0.25">
      <c r="A362" s="253" t="s">
        <v>431</v>
      </c>
      <c r="B362" s="253"/>
      <c r="C362" s="253"/>
      <c r="D362" s="253"/>
      <c r="E362" s="253"/>
    </row>
    <row r="363" spans="1:5" ht="12.6" customHeight="1" x14ac:dyDescent="0.25">
      <c r="A363" s="173" t="s">
        <v>1255</v>
      </c>
      <c r="B363" s="253"/>
      <c r="C363" s="187">
        <v>2503575.2400000002</v>
      </c>
      <c r="D363" s="175"/>
      <c r="E363" s="253"/>
    </row>
    <row r="364" spans="1:5" ht="12.6" customHeight="1" x14ac:dyDescent="0.25">
      <c r="A364" s="173" t="s">
        <v>432</v>
      </c>
      <c r="B364" s="172" t="s">
        <v>256</v>
      </c>
      <c r="C364" s="187">
        <f>-891856.36+277569248.95-4664229.75+308254712.45</f>
        <v>580267875.28999996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7">
        <v>6672215.5599999996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7">
        <f>891856.36+4664229.75</f>
        <v>5556086.1100000003</v>
      </c>
      <c r="D366" s="175"/>
      <c r="E366" s="175"/>
    </row>
    <row r="367" spans="1:5" ht="12.6" customHeight="1" x14ac:dyDescent="0.25">
      <c r="A367" s="173" t="s">
        <v>359</v>
      </c>
      <c r="B367" s="175"/>
      <c r="C367" s="189"/>
      <c r="D367" s="175">
        <f>SUM(C363:C366)</f>
        <v>594999752.19999993</v>
      </c>
      <c r="E367" s="175"/>
    </row>
    <row r="368" spans="1:5" ht="12.6" customHeight="1" x14ac:dyDescent="0.25">
      <c r="A368" s="173" t="s">
        <v>435</v>
      </c>
      <c r="B368" s="175"/>
      <c r="C368" s="189"/>
      <c r="D368" s="175">
        <f>D361-D367</f>
        <v>156598394.59000003</v>
      </c>
      <c r="E368" s="175"/>
    </row>
    <row r="369" spans="1:5" ht="12.6" customHeight="1" x14ac:dyDescent="0.25">
      <c r="A369" s="253" t="s">
        <v>436</v>
      </c>
      <c r="B369" s="253"/>
      <c r="C369" s="253"/>
      <c r="D369" s="253"/>
      <c r="E369" s="253"/>
    </row>
    <row r="370" spans="1:5" ht="12.6" customHeight="1" x14ac:dyDescent="0.25">
      <c r="A370" s="173" t="s">
        <v>437</v>
      </c>
      <c r="B370" s="172" t="s">
        <v>256</v>
      </c>
      <c r="C370" s="187">
        <f>6819277.9+11274.83+107664.02</f>
        <v>6938216.75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7">
        <v>0</v>
      </c>
      <c r="D371" s="175"/>
      <c r="E371" s="175"/>
    </row>
    <row r="372" spans="1:5" ht="12.6" customHeight="1" x14ac:dyDescent="0.25">
      <c r="A372" s="173" t="s">
        <v>439</v>
      </c>
      <c r="B372" s="175"/>
      <c r="C372" s="189"/>
      <c r="D372" s="175">
        <f>SUM(C370:C371)</f>
        <v>6938216.75</v>
      </c>
      <c r="E372" s="175"/>
    </row>
    <row r="373" spans="1:5" ht="12.6" customHeight="1" x14ac:dyDescent="0.25">
      <c r="A373" s="173" t="s">
        <v>440</v>
      </c>
      <c r="B373" s="175"/>
      <c r="C373" s="189"/>
      <c r="D373" s="175">
        <f>D368+D372</f>
        <v>163536611.34000003</v>
      </c>
      <c r="E373" s="175"/>
    </row>
    <row r="374" spans="1:5" ht="12.6" customHeight="1" x14ac:dyDescent="0.25">
      <c r="A374" s="173"/>
      <c r="B374" s="175"/>
      <c r="C374" s="189"/>
      <c r="D374" s="175"/>
      <c r="E374" s="175"/>
    </row>
    <row r="375" spans="1:5" ht="12.6" customHeight="1" x14ac:dyDescent="0.25">
      <c r="A375" s="173"/>
      <c r="B375" s="175"/>
      <c r="C375" s="189"/>
      <c r="D375" s="175"/>
      <c r="E375" s="175"/>
    </row>
    <row r="376" spans="1:5" ht="12.6" customHeight="1" x14ac:dyDescent="0.25">
      <c r="A376" s="173"/>
      <c r="B376" s="175"/>
      <c r="C376" s="189"/>
      <c r="D376" s="175"/>
      <c r="E376" s="175"/>
    </row>
    <row r="377" spans="1:5" ht="12.6" customHeight="1" x14ac:dyDescent="0.25">
      <c r="A377" s="253" t="s">
        <v>441</v>
      </c>
      <c r="B377" s="253"/>
      <c r="C377" s="253"/>
      <c r="D377" s="253"/>
      <c r="E377" s="253"/>
    </row>
    <row r="378" spans="1:5" ht="12.6" customHeight="1" x14ac:dyDescent="0.25">
      <c r="A378" s="173" t="s">
        <v>442</v>
      </c>
      <c r="B378" s="172" t="s">
        <v>256</v>
      </c>
      <c r="C378" s="187">
        <f>39969430.07+1203522.17</f>
        <v>41172952.240000002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7">
        <v>10054047.83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7">
        <v>4968300.96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7">
        <v>23492856.809999999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7">
        <v>1172902.74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7">
        <f>29431053.82+666680.48+1441680</f>
        <v>31539414.300000001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7">
        <v>10263582.82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7">
        <v>1328727.02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7">
        <v>1149904.6000000001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7">
        <v>4361904.9800000004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7">
        <v>2751083.31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7">
        <f>51347.57+48300.71+77060.46+3009.29+28121.3+3646147.48+288837.4+108126.11+48378.64</f>
        <v>4299328.96</v>
      </c>
      <c r="D389" s="175"/>
      <c r="E389" s="175"/>
    </row>
    <row r="390" spans="1:6" ht="12.6" customHeight="1" x14ac:dyDescent="0.25">
      <c r="A390" s="173" t="s">
        <v>452</v>
      </c>
      <c r="B390" s="175"/>
      <c r="C390" s="189"/>
      <c r="D390" s="175">
        <f>SUM(C378:C389)</f>
        <v>136555006.56999999</v>
      </c>
      <c r="E390" s="175"/>
    </row>
    <row r="391" spans="1:6" ht="12.6" customHeight="1" x14ac:dyDescent="0.25">
      <c r="A391" s="173" t="s">
        <v>453</v>
      </c>
      <c r="B391" s="175"/>
      <c r="C391" s="189"/>
      <c r="D391" s="175">
        <f>D373-D390</f>
        <v>26981604.770000041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7">
        <v>2611651.21</v>
      </c>
      <c r="D392" s="175"/>
      <c r="E392" s="175"/>
    </row>
    <row r="393" spans="1:6" ht="12.6" customHeight="1" x14ac:dyDescent="0.25">
      <c r="A393" s="173" t="s">
        <v>455</v>
      </c>
      <c r="B393" s="175"/>
      <c r="C393" s="189"/>
      <c r="D393" s="193">
        <f>D391+C392</f>
        <v>29593255.980000041</v>
      </c>
      <c r="E393" s="175"/>
      <c r="F393" s="195"/>
    </row>
    <row r="394" spans="1:6" ht="12.6" customHeight="1" x14ac:dyDescent="0.25">
      <c r="A394" s="173" t="s">
        <v>456</v>
      </c>
      <c r="B394" s="172" t="s">
        <v>256</v>
      </c>
      <c r="C394" s="187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7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89"/>
      <c r="D396" s="175">
        <f>D393+C394-C395</f>
        <v>29593255.980000041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St. Anthony Hospital   H-0     FYE 06/30/2018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5513</v>
      </c>
      <c r="C414" s="192">
        <f>E138</f>
        <v>5513</v>
      </c>
      <c r="D414" s="179"/>
    </row>
    <row r="415" spans="1:5" ht="12.6" customHeight="1" x14ac:dyDescent="0.25">
      <c r="A415" s="179" t="s">
        <v>464</v>
      </c>
      <c r="B415" s="179">
        <f>D111</f>
        <v>26300</v>
      </c>
      <c r="C415" s="179">
        <f>E139</f>
        <v>26300</v>
      </c>
      <c r="D415" s="192">
        <f>SUM(C59:H59)+N59</f>
        <v>26300</v>
      </c>
    </row>
    <row r="416" spans="1:5" ht="12.6" customHeight="1" x14ac:dyDescent="0.25">
      <c r="A416" s="179"/>
      <c r="B416" s="179"/>
      <c r="C416" s="192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2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2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4"/>
      <c r="B422" s="204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4"/>
      <c r="B425" s="204"/>
      <c r="C425" s="204"/>
      <c r="D425" s="204"/>
      <c r="F425" s="204"/>
      <c r="G425" s="204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41172952.240000002</v>
      </c>
      <c r="C427" s="179">
        <f t="shared" ref="C427:C434" si="13">CE61</f>
        <v>41172952.239999995</v>
      </c>
      <c r="D427" s="179"/>
    </row>
    <row r="428" spans="1:7" ht="12.6" customHeight="1" x14ac:dyDescent="0.25">
      <c r="A428" s="179" t="s">
        <v>3</v>
      </c>
      <c r="B428" s="179">
        <f t="shared" si="12"/>
        <v>10054047.83</v>
      </c>
      <c r="C428" s="179">
        <f t="shared" si="13"/>
        <v>10054048</v>
      </c>
      <c r="D428" s="179">
        <f>D173</f>
        <v>10054047.830000002</v>
      </c>
    </row>
    <row r="429" spans="1:7" ht="12.6" customHeight="1" x14ac:dyDescent="0.25">
      <c r="A429" s="179" t="s">
        <v>236</v>
      </c>
      <c r="B429" s="179">
        <f t="shared" si="12"/>
        <v>4968300.96</v>
      </c>
      <c r="C429" s="179">
        <f t="shared" si="13"/>
        <v>4968300.96</v>
      </c>
      <c r="D429" s="179"/>
    </row>
    <row r="430" spans="1:7" ht="12.6" customHeight="1" x14ac:dyDescent="0.25">
      <c r="A430" s="179" t="s">
        <v>237</v>
      </c>
      <c r="B430" s="179">
        <f t="shared" si="12"/>
        <v>23492856.809999999</v>
      </c>
      <c r="C430" s="179">
        <f t="shared" si="13"/>
        <v>23492856.810000002</v>
      </c>
      <c r="D430" s="179"/>
    </row>
    <row r="431" spans="1:7" ht="12.6" customHeight="1" x14ac:dyDescent="0.25">
      <c r="A431" s="179" t="s">
        <v>444</v>
      </c>
      <c r="B431" s="179">
        <f t="shared" si="12"/>
        <v>1172902.74</v>
      </c>
      <c r="C431" s="179">
        <f t="shared" si="13"/>
        <v>1172902.7400000002</v>
      </c>
      <c r="D431" s="179"/>
    </row>
    <row r="432" spans="1:7" ht="12.6" customHeight="1" x14ac:dyDescent="0.25">
      <c r="A432" s="179" t="s">
        <v>445</v>
      </c>
      <c r="B432" s="179">
        <f t="shared" si="12"/>
        <v>31539414.300000001</v>
      </c>
      <c r="C432" s="179">
        <f t="shared" si="13"/>
        <v>31539414.306274876</v>
      </c>
      <c r="D432" s="179"/>
    </row>
    <row r="433" spans="1:7" ht="12.6" customHeight="1" x14ac:dyDescent="0.25">
      <c r="A433" s="179" t="s">
        <v>6</v>
      </c>
      <c r="B433" s="179">
        <f t="shared" si="12"/>
        <v>10263582.82</v>
      </c>
      <c r="C433" s="179">
        <f t="shared" si="13"/>
        <v>10263583</v>
      </c>
      <c r="D433" s="179">
        <f>C217</f>
        <v>10263582.619999997</v>
      </c>
    </row>
    <row r="434" spans="1:7" ht="12.6" customHeight="1" x14ac:dyDescent="0.25">
      <c r="A434" s="179" t="s">
        <v>474</v>
      </c>
      <c r="B434" s="179">
        <f t="shared" si="12"/>
        <v>1328727.02</v>
      </c>
      <c r="C434" s="179">
        <f t="shared" si="13"/>
        <v>1328727.0199999998</v>
      </c>
      <c r="D434" s="179">
        <f>D177</f>
        <v>1328727.02</v>
      </c>
    </row>
    <row r="435" spans="1:7" ht="12.6" customHeight="1" x14ac:dyDescent="0.25">
      <c r="A435" s="179" t="s">
        <v>447</v>
      </c>
      <c r="B435" s="179">
        <f t="shared" si="12"/>
        <v>1149904.6000000001</v>
      </c>
      <c r="C435" s="179"/>
      <c r="D435" s="179">
        <f>D181</f>
        <v>1149904.6000000001</v>
      </c>
    </row>
    <row r="436" spans="1:7" ht="12.6" customHeight="1" x14ac:dyDescent="0.25">
      <c r="A436" s="179" t="s">
        <v>475</v>
      </c>
      <c r="B436" s="179">
        <f t="shared" si="12"/>
        <v>4361904.9800000004</v>
      </c>
      <c r="C436" s="179"/>
      <c r="D436" s="179">
        <f>D186</f>
        <v>4361904.9800000004</v>
      </c>
    </row>
    <row r="437" spans="1:7" ht="12.6" customHeight="1" x14ac:dyDescent="0.25">
      <c r="A437" s="192" t="s">
        <v>449</v>
      </c>
      <c r="B437" s="192">
        <f t="shared" si="12"/>
        <v>2751083.31</v>
      </c>
      <c r="C437" s="192"/>
      <c r="D437" s="192">
        <f>D190</f>
        <v>2751083.31</v>
      </c>
    </row>
    <row r="438" spans="1:7" ht="12.6" customHeight="1" x14ac:dyDescent="0.25">
      <c r="A438" s="192" t="s">
        <v>476</v>
      </c>
      <c r="B438" s="192">
        <f>C386+C387+C388</f>
        <v>8262892.8900000006</v>
      </c>
      <c r="C438" s="192">
        <f>CD69</f>
        <v>8331209.7800000003</v>
      </c>
      <c r="D438" s="192">
        <f>D181+D186+D190</f>
        <v>8262892.8900000006</v>
      </c>
    </row>
    <row r="439" spans="1:7" ht="12.6" customHeight="1" x14ac:dyDescent="0.25">
      <c r="A439" s="179" t="s">
        <v>451</v>
      </c>
      <c r="B439" s="192">
        <f>C389</f>
        <v>4299328.96</v>
      </c>
      <c r="C439" s="192">
        <f>SUM(C69:CC69)</f>
        <v>4231012.0699999994</v>
      </c>
      <c r="D439" s="179"/>
    </row>
    <row r="440" spans="1:7" ht="12.6" customHeight="1" x14ac:dyDescent="0.25">
      <c r="A440" s="179" t="s">
        <v>477</v>
      </c>
      <c r="B440" s="192">
        <f>B438+B439</f>
        <v>12562221.850000001</v>
      </c>
      <c r="C440" s="192">
        <f>CE69</f>
        <v>12562221.85</v>
      </c>
      <c r="D440" s="179"/>
    </row>
    <row r="441" spans="1:7" ht="12.6" customHeight="1" x14ac:dyDescent="0.25">
      <c r="A441" s="179" t="s">
        <v>478</v>
      </c>
      <c r="B441" s="179">
        <f>D390</f>
        <v>136555006.56999999</v>
      </c>
      <c r="C441" s="179">
        <f>SUM(C427:C437)+C440</f>
        <v>136555006.92627487</v>
      </c>
      <c r="D441" s="179"/>
    </row>
    <row r="442" spans="1:7" ht="12.6" customHeight="1" x14ac:dyDescent="0.25">
      <c r="A442" s="204"/>
      <c r="B442" s="204"/>
      <c r="C442" s="204"/>
      <c r="D442" s="204"/>
      <c r="F442" s="204"/>
      <c r="G442" s="204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2503575.2400000002</v>
      </c>
      <c r="C444" s="179">
        <f>C363</f>
        <v>2503575.2400000002</v>
      </c>
      <c r="D444" s="179"/>
    </row>
    <row r="445" spans="1:7" ht="12.6" customHeight="1" x14ac:dyDescent="0.25">
      <c r="A445" s="179" t="s">
        <v>343</v>
      </c>
      <c r="B445" s="179">
        <f>D229</f>
        <v>580267875.28999996</v>
      </c>
      <c r="C445" s="179">
        <f>C364</f>
        <v>580267875.28999996</v>
      </c>
      <c r="D445" s="179"/>
    </row>
    <row r="446" spans="1:7" ht="12.6" customHeight="1" x14ac:dyDescent="0.25">
      <c r="A446" s="179" t="s">
        <v>351</v>
      </c>
      <c r="B446" s="179">
        <f>D236</f>
        <v>6672215.5600000005</v>
      </c>
      <c r="C446" s="179">
        <f>C365</f>
        <v>6672215.5599999996</v>
      </c>
      <c r="D446" s="179"/>
    </row>
    <row r="447" spans="1:7" ht="12.6" customHeight="1" x14ac:dyDescent="0.25">
      <c r="A447" s="179" t="s">
        <v>356</v>
      </c>
      <c r="B447" s="179">
        <f>D240</f>
        <v>5556086.1100000003</v>
      </c>
      <c r="C447" s="179">
        <f>C366</f>
        <v>5556086.1100000003</v>
      </c>
      <c r="D447" s="179"/>
    </row>
    <row r="448" spans="1:7" ht="12.6" customHeight="1" x14ac:dyDescent="0.25">
      <c r="A448" s="179" t="s">
        <v>358</v>
      </c>
      <c r="B448" s="179">
        <f>D242</f>
        <v>594999752.19999993</v>
      </c>
      <c r="C448" s="179">
        <f>D367</f>
        <v>594999752.19999993</v>
      </c>
      <c r="D448" s="179"/>
    </row>
    <row r="449" spans="1:7" ht="12.6" customHeight="1" x14ac:dyDescent="0.25">
      <c r="A449" s="204"/>
      <c r="B449" s="204"/>
      <c r="C449" s="204"/>
      <c r="D449" s="204"/>
      <c r="F449" s="204"/>
      <c r="G449" s="204"/>
    </row>
    <row r="450" spans="1:7" ht="12.6" customHeight="1" x14ac:dyDescent="0.25">
      <c r="A450" s="180" t="s">
        <v>481</v>
      </c>
      <c r="B450" s="181" t="s">
        <v>482</v>
      </c>
      <c r="C450" s="204"/>
      <c r="D450" s="204"/>
      <c r="F450" s="204"/>
      <c r="G450" s="204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7" t="s">
        <v>484</v>
      </c>
      <c r="B453" s="180">
        <f>C231</f>
        <v>2457</v>
      </c>
    </row>
    <row r="454" spans="1:7" ht="12.6" customHeight="1" x14ac:dyDescent="0.25">
      <c r="A454" s="179" t="s">
        <v>168</v>
      </c>
      <c r="B454" s="179">
        <f>C233</f>
        <v>3231548.81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3440666.75</v>
      </c>
      <c r="C455" s="179"/>
      <c r="D455" s="179"/>
    </row>
    <row r="456" spans="1:7" ht="12.6" customHeight="1" x14ac:dyDescent="0.25">
      <c r="A456" s="204"/>
      <c r="B456" s="204"/>
      <c r="C456" s="204"/>
      <c r="D456" s="204"/>
      <c r="F456" s="204"/>
      <c r="G456" s="204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2">
        <f>C370</f>
        <v>6938216.75</v>
      </c>
      <c r="C458" s="192">
        <f>CE70</f>
        <v>6938216.7499999981</v>
      </c>
      <c r="D458" s="192"/>
    </row>
    <row r="459" spans="1:7" ht="12.6" customHeight="1" x14ac:dyDescent="0.25">
      <c r="A459" s="179" t="s">
        <v>244</v>
      </c>
      <c r="B459" s="192">
        <f>C371</f>
        <v>0</v>
      </c>
      <c r="C459" s="192">
        <f>CE72</f>
        <v>0</v>
      </c>
      <c r="D459" s="192"/>
    </row>
    <row r="460" spans="1:7" ht="12.6" customHeight="1" x14ac:dyDescent="0.25">
      <c r="A460" s="204"/>
      <c r="B460" s="204"/>
      <c r="C460" s="204"/>
      <c r="D460" s="204"/>
      <c r="F460" s="204"/>
      <c r="G460" s="204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2">
        <f>C359</f>
        <v>364609253.81999999</v>
      </c>
      <c r="C463" s="192">
        <f>CE73</f>
        <v>364609253.81999993</v>
      </c>
      <c r="D463" s="192">
        <f>E141+E147+E153</f>
        <v>364609253.81999999</v>
      </c>
    </row>
    <row r="464" spans="1:7" ht="12.6" customHeight="1" x14ac:dyDescent="0.25">
      <c r="A464" s="179" t="s">
        <v>246</v>
      </c>
      <c r="B464" s="192">
        <f>C360</f>
        <v>386988892.97000003</v>
      </c>
      <c r="C464" s="192">
        <f>CE74</f>
        <v>386988892.97000003</v>
      </c>
      <c r="D464" s="192">
        <f>E142+E148+E154</f>
        <v>386988892.97000003</v>
      </c>
    </row>
    <row r="465" spans="1:7" ht="12.6" customHeight="1" x14ac:dyDescent="0.25">
      <c r="A465" s="179" t="s">
        <v>247</v>
      </c>
      <c r="B465" s="192">
        <f>D361</f>
        <v>751598146.78999996</v>
      </c>
      <c r="C465" s="192">
        <f>CE75</f>
        <v>751598146.78999984</v>
      </c>
      <c r="D465" s="192">
        <f>D463+D464</f>
        <v>751598146.78999996</v>
      </c>
    </row>
    <row r="466" spans="1:7" ht="12.6" customHeight="1" x14ac:dyDescent="0.25">
      <c r="A466" s="204"/>
      <c r="B466" s="204"/>
      <c r="C466" s="204"/>
      <c r="D466" s="204"/>
      <c r="F466" s="204"/>
      <c r="G466" s="204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3531776.4</v>
      </c>
      <c r="C468" s="179">
        <f>E195</f>
        <v>3531776</v>
      </c>
      <c r="D468" s="179"/>
    </row>
    <row r="469" spans="1:7" ht="12.6" customHeight="1" x14ac:dyDescent="0.25">
      <c r="A469" s="179" t="s">
        <v>333</v>
      </c>
      <c r="B469" s="179">
        <f t="shared" si="14"/>
        <v>2067269.5</v>
      </c>
      <c r="C469" s="179">
        <f>E196</f>
        <v>2067270</v>
      </c>
      <c r="D469" s="179"/>
    </row>
    <row r="470" spans="1:7" ht="12.6" customHeight="1" x14ac:dyDescent="0.25">
      <c r="A470" s="179" t="s">
        <v>334</v>
      </c>
      <c r="B470" s="179">
        <f t="shared" si="14"/>
        <v>134516969.13999999</v>
      </c>
      <c r="C470" s="179">
        <f>E197</f>
        <v>134516969</v>
      </c>
      <c r="D470" s="179"/>
    </row>
    <row r="471" spans="1:7" ht="12.6" customHeight="1" x14ac:dyDescent="0.25">
      <c r="A471" s="179" t="s">
        <v>494</v>
      </c>
      <c r="B471" s="179">
        <f t="shared" si="14"/>
        <v>13868553.91</v>
      </c>
      <c r="C471" s="179">
        <f>E198</f>
        <v>13868554.27</v>
      </c>
      <c r="D471" s="179"/>
    </row>
    <row r="472" spans="1:7" ht="12.6" customHeight="1" x14ac:dyDescent="0.25">
      <c r="A472" s="179" t="s">
        <v>377</v>
      </c>
      <c r="B472" s="179">
        <f t="shared" si="14"/>
        <v>937963.53</v>
      </c>
      <c r="C472" s="179">
        <f>E199</f>
        <v>937963.16</v>
      </c>
      <c r="D472" s="179"/>
    </row>
    <row r="473" spans="1:7" ht="12.6" customHeight="1" x14ac:dyDescent="0.25">
      <c r="A473" s="179" t="s">
        <v>495</v>
      </c>
      <c r="B473" s="179">
        <f t="shared" si="14"/>
        <v>68969081.760000005</v>
      </c>
      <c r="C473" s="179">
        <f>SUM(E200:E201)</f>
        <v>68969081.620000005</v>
      </c>
      <c r="D473" s="179"/>
    </row>
    <row r="474" spans="1:7" ht="12.6" customHeight="1" x14ac:dyDescent="0.25">
      <c r="A474" s="179" t="s">
        <v>339</v>
      </c>
      <c r="B474" s="179">
        <f t="shared" si="14"/>
        <v>5849849.1799999997</v>
      </c>
      <c r="C474" s="179">
        <f>E202</f>
        <v>5849849</v>
      </c>
      <c r="D474" s="179"/>
    </row>
    <row r="475" spans="1:7" ht="12.6" customHeight="1" x14ac:dyDescent="0.25">
      <c r="A475" s="179" t="s">
        <v>340</v>
      </c>
      <c r="B475" s="179">
        <f t="shared" si="14"/>
        <v>2620709.6800000002</v>
      </c>
      <c r="C475" s="179">
        <f>E203</f>
        <v>2620709.3100000024</v>
      </c>
      <c r="D475" s="179"/>
    </row>
    <row r="476" spans="1:7" ht="12.6" customHeight="1" x14ac:dyDescent="0.25">
      <c r="A476" s="179" t="s">
        <v>203</v>
      </c>
      <c r="B476" s="179">
        <f>D275</f>
        <v>232362173.10000002</v>
      </c>
      <c r="C476" s="179">
        <f>E204</f>
        <v>232362172.36000001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107343283.95</v>
      </c>
      <c r="C478" s="179">
        <f>E217</f>
        <v>107343284.83999999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190583939.69000003</v>
      </c>
    </row>
    <row r="482" spans="1:12" ht="12.6" customHeight="1" x14ac:dyDescent="0.25">
      <c r="A482" s="180" t="s">
        <v>499</v>
      </c>
      <c r="C482" s="180">
        <f>D339</f>
        <v>190583939.69</v>
      </c>
    </row>
    <row r="485" spans="1:12" ht="12.6" customHeight="1" x14ac:dyDescent="0.25">
      <c r="A485" s="197" t="s">
        <v>500</v>
      </c>
    </row>
    <row r="486" spans="1:12" ht="12.6" customHeight="1" x14ac:dyDescent="0.25">
      <c r="A486" s="197" t="s">
        <v>501</v>
      </c>
    </row>
    <row r="487" spans="1:12" ht="12.6" customHeight="1" x14ac:dyDescent="0.25">
      <c r="A487" s="197" t="s">
        <v>502</v>
      </c>
    </row>
    <row r="488" spans="1:12" ht="12.6" customHeight="1" x14ac:dyDescent="0.25">
      <c r="A488" s="197"/>
    </row>
    <row r="489" spans="1:12" ht="12.6" customHeight="1" x14ac:dyDescent="0.25">
      <c r="A489" s="196" t="s">
        <v>503</v>
      </c>
    </row>
    <row r="490" spans="1:12" ht="12.6" customHeight="1" x14ac:dyDescent="0.25">
      <c r="A490" s="197" t="s">
        <v>504</v>
      </c>
    </row>
    <row r="491" spans="1:12" ht="12.6" customHeight="1" x14ac:dyDescent="0.25">
      <c r="A491" s="197"/>
    </row>
    <row r="493" spans="1:12" ht="12.6" customHeight="1" x14ac:dyDescent="0.25">
      <c r="A493" s="180" t="str">
        <f>C84</f>
        <v>St. Anthony Hospital</v>
      </c>
      <c r="B493" s="257" t="s">
        <v>1266</v>
      </c>
      <c r="C493" s="257" t="str">
        <f>RIGHT(C82,4)</f>
        <v>2018</v>
      </c>
      <c r="D493" s="257" t="s">
        <v>1266</v>
      </c>
      <c r="E493" s="257" t="str">
        <f>RIGHT(C82,4)</f>
        <v>2018</v>
      </c>
      <c r="F493" s="257" t="s">
        <v>1266</v>
      </c>
      <c r="G493" s="257" t="str">
        <f>RIGHT(C82,4)</f>
        <v>2018</v>
      </c>
      <c r="H493" s="257"/>
      <c r="K493" s="257"/>
      <c r="L493" s="257"/>
    </row>
    <row r="494" spans="1:12" ht="12.6" customHeight="1" x14ac:dyDescent="0.25">
      <c r="A494" s="196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v>6376547.5200000014</v>
      </c>
      <c r="C496" s="236">
        <f>C71</f>
        <v>6739971.9700000007</v>
      </c>
      <c r="D496" s="236">
        <v>4811</v>
      </c>
      <c r="E496" s="180">
        <f>C59</f>
        <v>4785</v>
      </c>
      <c r="F496" s="259">
        <f t="shared" ref="F496:G511" si="15">IF(B496=0,"",IF(D496=0,"",B496/D496))</f>
        <v>1325.4100020785702</v>
      </c>
      <c r="G496" s="260">
        <f t="shared" si="15"/>
        <v>1408.5625851619645</v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v>0</v>
      </c>
      <c r="C497" s="236">
        <f>D71</f>
        <v>0</v>
      </c>
      <c r="D497" s="236">
        <v>0</v>
      </c>
      <c r="E497" s="180">
        <f>D59</f>
        <v>0</v>
      </c>
      <c r="F497" s="259" t="str">
        <f t="shared" si="15"/>
        <v/>
      </c>
      <c r="G497" s="259" t="str">
        <f t="shared" si="15"/>
        <v/>
      </c>
      <c r="H497" s="261" t="str">
        <f t="shared" ref="H497:H550" si="16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v>15511821.270000001</v>
      </c>
      <c r="C498" s="236">
        <f>E71</f>
        <v>10746701.619999999</v>
      </c>
      <c r="D498" s="236">
        <v>19229</v>
      </c>
      <c r="E498" s="180">
        <f>E59</f>
        <v>21515</v>
      </c>
      <c r="F498" s="259">
        <f t="shared" si="15"/>
        <v>806.68892142077084</v>
      </c>
      <c r="G498" s="259">
        <f t="shared" si="15"/>
        <v>499.49809993028117</v>
      </c>
      <c r="H498" s="261">
        <f t="shared" si="16"/>
        <v>-0.3808045621222288</v>
      </c>
      <c r="I498" s="263" t="s">
        <v>1279</v>
      </c>
      <c r="K498" s="257"/>
      <c r="L498" s="257"/>
    </row>
    <row r="499" spans="1:12" ht="12.6" customHeight="1" x14ac:dyDescent="0.25">
      <c r="A499" s="180" t="s">
        <v>515</v>
      </c>
      <c r="B499" s="236">
        <v>0</v>
      </c>
      <c r="C499" s="236">
        <f>F71</f>
        <v>0</v>
      </c>
      <c r="D499" s="236">
        <v>0</v>
      </c>
      <c r="E499" s="180">
        <f>F59</f>
        <v>0</v>
      </c>
      <c r="F499" s="259" t="str">
        <f t="shared" si="15"/>
        <v/>
      </c>
      <c r="G499" s="259" t="str">
        <f t="shared" si="15"/>
        <v/>
      </c>
      <c r="H499" s="261" t="str">
        <f t="shared" si="16"/>
        <v/>
      </c>
      <c r="I499" s="263"/>
      <c r="K499" s="257"/>
      <c r="L499" s="257"/>
    </row>
    <row r="500" spans="1:12" ht="12.6" customHeight="1" x14ac:dyDescent="0.25">
      <c r="A500" s="180" t="s">
        <v>516</v>
      </c>
      <c r="B500" s="236">
        <v>0</v>
      </c>
      <c r="C500" s="236">
        <f>G71</f>
        <v>0</v>
      </c>
      <c r="D500" s="236">
        <v>0</v>
      </c>
      <c r="E500" s="180">
        <f>G59</f>
        <v>0</v>
      </c>
      <c r="F500" s="259" t="str">
        <f t="shared" si="15"/>
        <v/>
      </c>
      <c r="G500" s="259" t="str">
        <f t="shared" si="15"/>
        <v/>
      </c>
      <c r="H500" s="261" t="str">
        <f t="shared" si="16"/>
        <v/>
      </c>
      <c r="I500" s="263"/>
      <c r="K500" s="257"/>
      <c r="L500" s="257"/>
    </row>
    <row r="501" spans="1:12" ht="12.6" customHeight="1" x14ac:dyDescent="0.25">
      <c r="A501" s="180" t="s">
        <v>517</v>
      </c>
      <c r="B501" s="236">
        <v>0</v>
      </c>
      <c r="C501" s="236">
        <f>H71</f>
        <v>0</v>
      </c>
      <c r="D501" s="236">
        <v>0</v>
      </c>
      <c r="E501" s="180">
        <f>H59</f>
        <v>0</v>
      </c>
      <c r="F501" s="259" t="str">
        <f t="shared" si="15"/>
        <v/>
      </c>
      <c r="G501" s="259" t="str">
        <f t="shared" si="15"/>
        <v/>
      </c>
      <c r="H501" s="261" t="str">
        <f t="shared" si="16"/>
        <v/>
      </c>
      <c r="I501" s="263"/>
      <c r="K501" s="257"/>
      <c r="L501" s="257"/>
    </row>
    <row r="502" spans="1:12" ht="12.6" customHeight="1" x14ac:dyDescent="0.25">
      <c r="A502" s="180" t="s">
        <v>518</v>
      </c>
      <c r="B502" s="236">
        <v>0</v>
      </c>
      <c r="C502" s="236">
        <f>I71</f>
        <v>0</v>
      </c>
      <c r="D502" s="236">
        <v>0</v>
      </c>
      <c r="E502" s="180">
        <f>I59</f>
        <v>0</v>
      </c>
      <c r="F502" s="259" t="str">
        <f t="shared" si="15"/>
        <v/>
      </c>
      <c r="G502" s="259" t="str">
        <f t="shared" si="15"/>
        <v/>
      </c>
      <c r="H502" s="261" t="str">
        <f t="shared" si="16"/>
        <v/>
      </c>
      <c r="I502" s="263"/>
      <c r="K502" s="257"/>
      <c r="L502" s="257"/>
    </row>
    <row r="503" spans="1:12" ht="12.6" customHeight="1" x14ac:dyDescent="0.25">
      <c r="A503" s="180" t="s">
        <v>519</v>
      </c>
      <c r="B503" s="236">
        <v>0</v>
      </c>
      <c r="C503" s="236">
        <f>J71</f>
        <v>0</v>
      </c>
      <c r="D503" s="236">
        <v>0</v>
      </c>
      <c r="E503" s="180">
        <f>J59</f>
        <v>0</v>
      </c>
      <c r="F503" s="259" t="str">
        <f t="shared" si="15"/>
        <v/>
      </c>
      <c r="G503" s="259" t="str">
        <f t="shared" si="15"/>
        <v/>
      </c>
      <c r="H503" s="261" t="str">
        <f t="shared" si="16"/>
        <v/>
      </c>
      <c r="I503" s="263"/>
      <c r="K503" s="257"/>
      <c r="L503" s="257"/>
    </row>
    <row r="504" spans="1:12" ht="12.6" customHeight="1" x14ac:dyDescent="0.25">
      <c r="A504" s="180" t="s">
        <v>520</v>
      </c>
      <c r="B504" s="236">
        <v>0</v>
      </c>
      <c r="C504" s="236">
        <f>K71</f>
        <v>0</v>
      </c>
      <c r="D504" s="236">
        <v>0</v>
      </c>
      <c r="E504" s="180">
        <f>K59</f>
        <v>0</v>
      </c>
      <c r="F504" s="259" t="str">
        <f t="shared" si="15"/>
        <v/>
      </c>
      <c r="G504" s="259" t="str">
        <f t="shared" si="15"/>
        <v/>
      </c>
      <c r="H504" s="261" t="str">
        <f t="shared" si="16"/>
        <v/>
      </c>
      <c r="I504" s="263"/>
      <c r="K504" s="257"/>
      <c r="L504" s="257"/>
    </row>
    <row r="505" spans="1:12" ht="12.6" customHeight="1" x14ac:dyDescent="0.25">
      <c r="A505" s="180" t="s">
        <v>521</v>
      </c>
      <c r="B505" s="236">
        <v>0</v>
      </c>
      <c r="C505" s="236">
        <f>L71</f>
        <v>0</v>
      </c>
      <c r="D505" s="236">
        <v>0</v>
      </c>
      <c r="E505" s="180">
        <f>L59</f>
        <v>0</v>
      </c>
      <c r="F505" s="259" t="str">
        <f t="shared" si="15"/>
        <v/>
      </c>
      <c r="G505" s="259" t="str">
        <f t="shared" si="15"/>
        <v/>
      </c>
      <c r="H505" s="261" t="str">
        <f t="shared" si="16"/>
        <v/>
      </c>
      <c r="I505" s="263"/>
      <c r="K505" s="257"/>
      <c r="L505" s="257"/>
    </row>
    <row r="506" spans="1:12" ht="12.6" customHeight="1" x14ac:dyDescent="0.25">
      <c r="A506" s="180" t="s">
        <v>522</v>
      </c>
      <c r="B506" s="236">
        <v>0</v>
      </c>
      <c r="C506" s="236">
        <f>M71</f>
        <v>0</v>
      </c>
      <c r="D506" s="236">
        <v>0</v>
      </c>
      <c r="E506" s="180">
        <f>M59</f>
        <v>0</v>
      </c>
      <c r="F506" s="259" t="str">
        <f t="shared" si="15"/>
        <v/>
      </c>
      <c r="G506" s="259" t="str">
        <f t="shared" si="15"/>
        <v/>
      </c>
      <c r="H506" s="261" t="str">
        <f t="shared" si="16"/>
        <v/>
      </c>
      <c r="I506" s="263"/>
      <c r="K506" s="257"/>
      <c r="L506" s="257"/>
    </row>
    <row r="507" spans="1:12" ht="12.6" customHeight="1" x14ac:dyDescent="0.25">
      <c r="A507" s="180" t="s">
        <v>523</v>
      </c>
      <c r="B507" s="236">
        <v>0</v>
      </c>
      <c r="C507" s="236">
        <f>N71</f>
        <v>0</v>
      </c>
      <c r="D507" s="236">
        <v>0</v>
      </c>
      <c r="E507" s="180">
        <f>N59</f>
        <v>0</v>
      </c>
      <c r="F507" s="259" t="str">
        <f t="shared" si="15"/>
        <v/>
      </c>
      <c r="G507" s="259" t="str">
        <f t="shared" si="15"/>
        <v/>
      </c>
      <c r="H507" s="261" t="str">
        <f t="shared" si="16"/>
        <v/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v>0</v>
      </c>
      <c r="C508" s="236">
        <f>O71</f>
        <v>0</v>
      </c>
      <c r="D508" s="236">
        <v>0</v>
      </c>
      <c r="E508" s="180">
        <f>O59</f>
        <v>0</v>
      </c>
      <c r="F508" s="259" t="str">
        <f t="shared" si="15"/>
        <v/>
      </c>
      <c r="G508" s="259" t="str">
        <f t="shared" si="15"/>
        <v/>
      </c>
      <c r="H508" s="261" t="str">
        <f t="shared" si="16"/>
        <v/>
      </c>
      <c r="I508" s="263"/>
      <c r="K508" s="257"/>
      <c r="L508" s="257"/>
    </row>
    <row r="509" spans="1:12" ht="12.6" customHeight="1" x14ac:dyDescent="0.25">
      <c r="A509" s="180" t="s">
        <v>525</v>
      </c>
      <c r="B509" s="236">
        <v>18616986.367416147</v>
      </c>
      <c r="C509" s="236">
        <f>P71</f>
        <v>26762420.380002581</v>
      </c>
      <c r="D509" s="236">
        <v>553482</v>
      </c>
      <c r="E509" s="180">
        <f>P59</f>
        <v>484912</v>
      </c>
      <c r="F509" s="259">
        <f t="shared" si="15"/>
        <v>33.636118911574627</v>
      </c>
      <c r="G509" s="259">
        <f t="shared" si="15"/>
        <v>55.190262109418988</v>
      </c>
      <c r="H509" s="261">
        <f t="shared" si="16"/>
        <v>0.64080351405902847</v>
      </c>
      <c r="I509" s="263" t="s">
        <v>1280</v>
      </c>
      <c r="K509" s="257"/>
      <c r="L509" s="257"/>
    </row>
    <row r="510" spans="1:12" ht="12.6" customHeight="1" x14ac:dyDescent="0.25">
      <c r="A510" s="180" t="s">
        <v>526</v>
      </c>
      <c r="B510" s="236">
        <v>3121315.1199999996</v>
      </c>
      <c r="C510" s="236">
        <f>Q71</f>
        <v>3458326.9</v>
      </c>
      <c r="D510" s="236">
        <v>1385415</v>
      </c>
      <c r="E510" s="180">
        <f>Q59</f>
        <v>15723</v>
      </c>
      <c r="F510" s="259">
        <f t="shared" si="15"/>
        <v>2.2529820450911817</v>
      </c>
      <c r="G510" s="259">
        <f t="shared" si="15"/>
        <v>219.95337403803345</v>
      </c>
      <c r="H510" s="261">
        <f t="shared" si="16"/>
        <v>96.627663974184756</v>
      </c>
      <c r="I510" s="263" t="s">
        <v>1272</v>
      </c>
      <c r="K510" s="257"/>
      <c r="L510" s="257"/>
    </row>
    <row r="511" spans="1:12" ht="12.6" customHeight="1" x14ac:dyDescent="0.25">
      <c r="A511" s="180" t="s">
        <v>527</v>
      </c>
      <c r="B511" s="236">
        <v>0</v>
      </c>
      <c r="C511" s="236">
        <f>R71</f>
        <v>0</v>
      </c>
      <c r="D511" s="236">
        <v>0</v>
      </c>
      <c r="E511" s="180">
        <f>R59</f>
        <v>0</v>
      </c>
      <c r="F511" s="259" t="str">
        <f t="shared" si="15"/>
        <v/>
      </c>
      <c r="G511" s="259" t="str">
        <f t="shared" si="15"/>
        <v/>
      </c>
      <c r="H511" s="261" t="str">
        <f t="shared" si="16"/>
        <v/>
      </c>
      <c r="I511" s="263"/>
      <c r="K511" s="257"/>
      <c r="L511" s="257"/>
    </row>
    <row r="512" spans="1:12" ht="12.6" customHeight="1" x14ac:dyDescent="0.25">
      <c r="A512" s="180" t="s">
        <v>528</v>
      </c>
      <c r="B512" s="236">
        <v>1160855.9163136</v>
      </c>
      <c r="C512" s="236">
        <f>S71</f>
        <v>1404845.6532321998</v>
      </c>
      <c r="D512" s="181" t="s">
        <v>529</v>
      </c>
      <c r="E512" s="181" t="s">
        <v>529</v>
      </c>
      <c r="F512" s="259" t="str">
        <f t="shared" ref="F512:G527" si="17">IF(B512=0,"",IF(D512=0,"",B512/D512))</f>
        <v/>
      </c>
      <c r="G512" s="259" t="str">
        <f t="shared" si="17"/>
        <v/>
      </c>
      <c r="H512" s="261" t="str">
        <f t="shared" si="16"/>
        <v/>
      </c>
      <c r="I512" s="263"/>
      <c r="K512" s="257"/>
      <c r="L512" s="257"/>
    </row>
    <row r="513" spans="1:12" ht="12.6" customHeight="1" x14ac:dyDescent="0.25">
      <c r="A513" s="180" t="s">
        <v>1246</v>
      </c>
      <c r="B513" s="236">
        <v>590832.52</v>
      </c>
      <c r="C513" s="236">
        <f>T71</f>
        <v>709712.57</v>
      </c>
      <c r="D513" s="181" t="s">
        <v>529</v>
      </c>
      <c r="E513" s="181" t="s">
        <v>529</v>
      </c>
      <c r="F513" s="259" t="str">
        <f t="shared" si="17"/>
        <v/>
      </c>
      <c r="G513" s="259" t="str">
        <f t="shared" si="17"/>
        <v/>
      </c>
      <c r="H513" s="261" t="str">
        <f t="shared" si="16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v>3635317.75</v>
      </c>
      <c r="C514" s="236">
        <f>U71</f>
        <v>3628721.31</v>
      </c>
      <c r="D514" s="236">
        <v>319591</v>
      </c>
      <c r="E514" s="180">
        <f>U59</f>
        <v>307972</v>
      </c>
      <c r="F514" s="259">
        <f t="shared" si="17"/>
        <v>11.374906521147341</v>
      </c>
      <c r="G514" s="259">
        <f t="shared" si="17"/>
        <v>11.782633843336408</v>
      </c>
      <c r="H514" s="261" t="str">
        <f t="shared" si="16"/>
        <v/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v>0</v>
      </c>
      <c r="C515" s="236">
        <f>V71</f>
        <v>0</v>
      </c>
      <c r="D515" s="236">
        <v>0</v>
      </c>
      <c r="E515" s="180">
        <f>V59</f>
        <v>0</v>
      </c>
      <c r="F515" s="259" t="str">
        <f t="shared" si="17"/>
        <v/>
      </c>
      <c r="G515" s="259" t="str">
        <f t="shared" si="17"/>
        <v/>
      </c>
      <c r="H515" s="261" t="str">
        <f t="shared" si="16"/>
        <v/>
      </c>
      <c r="I515" s="263"/>
      <c r="K515" s="257"/>
      <c r="L515" s="257"/>
    </row>
    <row r="516" spans="1:12" ht="12.6" customHeight="1" x14ac:dyDescent="0.25">
      <c r="A516" s="180" t="s">
        <v>532</v>
      </c>
      <c r="B516" s="236">
        <v>598974.04999999993</v>
      </c>
      <c r="C516" s="236">
        <f>W71</f>
        <v>531010.44999999995</v>
      </c>
      <c r="D516" s="236">
        <v>19321</v>
      </c>
      <c r="E516" s="180">
        <f>W59</f>
        <v>3220</v>
      </c>
      <c r="F516" s="259">
        <f t="shared" si="17"/>
        <v>31.001193002432583</v>
      </c>
      <c r="G516" s="259">
        <f t="shared" si="17"/>
        <v>164.91007763975153</v>
      </c>
      <c r="H516" s="261">
        <f t="shared" si="16"/>
        <v>4.3194752094479547</v>
      </c>
      <c r="I516" s="263" t="s">
        <v>1273</v>
      </c>
      <c r="K516" s="257"/>
      <c r="L516" s="257"/>
    </row>
    <row r="517" spans="1:12" ht="12.6" customHeight="1" x14ac:dyDescent="0.25">
      <c r="A517" s="180" t="s">
        <v>533</v>
      </c>
      <c r="B517" s="236">
        <v>989367.89000000013</v>
      </c>
      <c r="C517" s="236">
        <f>X71</f>
        <v>1025321.3099999999</v>
      </c>
      <c r="D517" s="236">
        <v>48645</v>
      </c>
      <c r="E517" s="180">
        <f>X59</f>
        <v>13540</v>
      </c>
      <c r="F517" s="259">
        <f t="shared" si="17"/>
        <v>20.338532017679107</v>
      </c>
      <c r="G517" s="259">
        <f t="shared" si="17"/>
        <v>75.725355243722305</v>
      </c>
      <c r="H517" s="261">
        <f t="shared" si="16"/>
        <v>2.7232458654291589</v>
      </c>
      <c r="I517" s="263" t="s">
        <v>1273</v>
      </c>
      <c r="K517" s="257"/>
      <c r="L517" s="257"/>
    </row>
    <row r="518" spans="1:12" ht="12.6" customHeight="1" x14ac:dyDescent="0.25">
      <c r="A518" s="180" t="s">
        <v>534</v>
      </c>
      <c r="B518" s="236">
        <v>3626426.14</v>
      </c>
      <c r="C518" s="236">
        <f>Y71</f>
        <v>3737832.3499999996</v>
      </c>
      <c r="D518" s="236">
        <v>169911</v>
      </c>
      <c r="E518" s="180">
        <f>Y59</f>
        <v>80887</v>
      </c>
      <c r="F518" s="259">
        <f t="shared" si="17"/>
        <v>21.343092207096657</v>
      </c>
      <c r="G518" s="259">
        <f t="shared" si="17"/>
        <v>46.210544957780606</v>
      </c>
      <c r="H518" s="261">
        <f t="shared" si="16"/>
        <v>1.1651288627434888</v>
      </c>
      <c r="I518" s="263" t="s">
        <v>1273</v>
      </c>
      <c r="K518" s="257"/>
      <c r="L518" s="257"/>
    </row>
    <row r="519" spans="1:12" ht="12.6" customHeight="1" x14ac:dyDescent="0.25">
      <c r="A519" s="180" t="s">
        <v>535</v>
      </c>
      <c r="B519" s="236">
        <v>0</v>
      </c>
      <c r="C519" s="236">
        <f>Z71</f>
        <v>0</v>
      </c>
      <c r="D519" s="236">
        <v>0</v>
      </c>
      <c r="E519" s="180">
        <f>Z59</f>
        <v>0</v>
      </c>
      <c r="F519" s="259" t="str">
        <f t="shared" si="17"/>
        <v/>
      </c>
      <c r="G519" s="259" t="str">
        <f t="shared" si="17"/>
        <v/>
      </c>
      <c r="H519" s="261" t="str">
        <f t="shared" si="16"/>
        <v/>
      </c>
      <c r="I519" s="263"/>
      <c r="K519" s="257"/>
      <c r="L519" s="257"/>
    </row>
    <row r="520" spans="1:12" ht="12.6" customHeight="1" x14ac:dyDescent="0.25">
      <c r="A520" s="180" t="s">
        <v>536</v>
      </c>
      <c r="B520" s="236">
        <v>693833.09</v>
      </c>
      <c r="C520" s="236">
        <f>AA71</f>
        <v>654432.50000000012</v>
      </c>
      <c r="D520" s="236">
        <v>16887</v>
      </c>
      <c r="E520" s="180">
        <f>AA59</f>
        <v>1391</v>
      </c>
      <c r="F520" s="259">
        <f t="shared" si="17"/>
        <v>41.086817670397345</v>
      </c>
      <c r="G520" s="259">
        <f t="shared" si="17"/>
        <v>470.47627606038827</v>
      </c>
      <c r="H520" s="261">
        <f t="shared" si="16"/>
        <v>10.450784040628239</v>
      </c>
      <c r="I520" s="263" t="s">
        <v>1273</v>
      </c>
      <c r="K520" s="257"/>
      <c r="L520" s="257"/>
    </row>
    <row r="521" spans="1:12" ht="12.6" customHeight="1" x14ac:dyDescent="0.25">
      <c r="A521" s="180" t="s">
        <v>537</v>
      </c>
      <c r="B521" s="236">
        <v>8736465.9199999981</v>
      </c>
      <c r="C521" s="236">
        <f>AB71</f>
        <v>9151921.9600000009</v>
      </c>
      <c r="D521" s="181" t="s">
        <v>529</v>
      </c>
      <c r="E521" s="181" t="s">
        <v>529</v>
      </c>
      <c r="F521" s="259" t="str">
        <f t="shared" si="17"/>
        <v/>
      </c>
      <c r="G521" s="259" t="str">
        <f t="shared" si="17"/>
        <v/>
      </c>
      <c r="H521" s="261" t="str">
        <f t="shared" si="16"/>
        <v/>
      </c>
      <c r="I521" s="263"/>
      <c r="K521" s="257"/>
      <c r="L521" s="257"/>
    </row>
    <row r="522" spans="1:12" ht="12.6" customHeight="1" x14ac:dyDescent="0.25">
      <c r="A522" s="180" t="s">
        <v>538</v>
      </c>
      <c r="B522" s="236">
        <v>1445023.9699999997</v>
      </c>
      <c r="C522" s="236">
        <f>AC71</f>
        <v>1601399.1199999996</v>
      </c>
      <c r="D522" s="236">
        <v>40606</v>
      </c>
      <c r="E522" s="180">
        <f>AC59</f>
        <v>22353</v>
      </c>
      <c r="F522" s="259">
        <f t="shared" si="17"/>
        <v>35.586464315618372</v>
      </c>
      <c r="G522" s="259">
        <f t="shared" si="17"/>
        <v>71.641351049076164</v>
      </c>
      <c r="H522" s="261">
        <f t="shared" si="16"/>
        <v>1.0131629378430222</v>
      </c>
      <c r="I522" s="263" t="s">
        <v>1273</v>
      </c>
      <c r="K522" s="257"/>
      <c r="L522" s="257"/>
    </row>
    <row r="523" spans="1:12" ht="12.6" customHeight="1" x14ac:dyDescent="0.25">
      <c r="A523" s="180" t="s">
        <v>539</v>
      </c>
      <c r="B523" s="236">
        <v>132745.82</v>
      </c>
      <c r="C523" s="236">
        <f>AD71</f>
        <v>477740.73000000004</v>
      </c>
      <c r="D523" s="236">
        <v>0</v>
      </c>
      <c r="E523" s="180">
        <f>AD59</f>
        <v>0</v>
      </c>
      <c r="F523" s="259" t="str">
        <f t="shared" si="17"/>
        <v/>
      </c>
      <c r="G523" s="259" t="str">
        <f t="shared" si="17"/>
        <v/>
      </c>
      <c r="H523" s="261" t="str">
        <f t="shared" si="16"/>
        <v/>
      </c>
      <c r="I523" s="263"/>
      <c r="K523" s="257"/>
      <c r="L523" s="257"/>
    </row>
    <row r="524" spans="1:12" ht="12.6" customHeight="1" x14ac:dyDescent="0.25">
      <c r="A524" s="180" t="s">
        <v>540</v>
      </c>
      <c r="B524" s="236">
        <v>1432377.3199999998</v>
      </c>
      <c r="C524" s="236">
        <f>AE71</f>
        <v>1550840.94</v>
      </c>
      <c r="D524" s="236">
        <v>44149</v>
      </c>
      <c r="E524" s="180">
        <f>AE59</f>
        <v>42723</v>
      </c>
      <c r="F524" s="259">
        <f t="shared" si="17"/>
        <v>32.444162268681055</v>
      </c>
      <c r="G524" s="259">
        <f t="shared" si="17"/>
        <v>36.29990730987992</v>
      </c>
      <c r="H524" s="261" t="str">
        <f t="shared" si="16"/>
        <v/>
      </c>
      <c r="I524" s="263"/>
      <c r="K524" s="257"/>
      <c r="L524" s="257"/>
    </row>
    <row r="525" spans="1:12" ht="12.6" customHeight="1" x14ac:dyDescent="0.25">
      <c r="A525" s="180" t="s">
        <v>541</v>
      </c>
      <c r="B525" s="236">
        <v>0</v>
      </c>
      <c r="C525" s="236">
        <f>AF71</f>
        <v>0</v>
      </c>
      <c r="D525" s="236">
        <v>0</v>
      </c>
      <c r="E525" s="180">
        <f>AF59</f>
        <v>0</v>
      </c>
      <c r="F525" s="259" t="str">
        <f t="shared" si="17"/>
        <v/>
      </c>
      <c r="G525" s="259" t="str">
        <f t="shared" si="17"/>
        <v/>
      </c>
      <c r="H525" s="261" t="str">
        <f t="shared" si="16"/>
        <v/>
      </c>
      <c r="I525" s="263"/>
      <c r="K525" s="257"/>
      <c r="L525" s="257"/>
    </row>
    <row r="526" spans="1:12" ht="12.6" customHeight="1" x14ac:dyDescent="0.25">
      <c r="A526" s="180" t="s">
        <v>542</v>
      </c>
      <c r="B526" s="236">
        <v>8043453.1899999995</v>
      </c>
      <c r="C526" s="236">
        <f>AG71</f>
        <v>7821817.8899999987</v>
      </c>
      <c r="D526" s="236">
        <v>27564</v>
      </c>
      <c r="E526" s="180">
        <f>AG59</f>
        <v>25335</v>
      </c>
      <c r="F526" s="259">
        <f t="shared" si="17"/>
        <v>291.81008525613117</v>
      </c>
      <c r="G526" s="259">
        <f t="shared" si="17"/>
        <v>308.73565778567195</v>
      </c>
      <c r="H526" s="261" t="str">
        <f t="shared" si="16"/>
        <v/>
      </c>
      <c r="I526" s="263"/>
      <c r="K526" s="257"/>
      <c r="L526" s="257"/>
    </row>
    <row r="527" spans="1:12" ht="12.6" customHeight="1" x14ac:dyDescent="0.25">
      <c r="A527" s="180" t="s">
        <v>543</v>
      </c>
      <c r="B527" s="236">
        <v>0</v>
      </c>
      <c r="C527" s="236">
        <f>AH71</f>
        <v>0</v>
      </c>
      <c r="D527" s="236">
        <v>0</v>
      </c>
      <c r="E527" s="180">
        <f>AH59</f>
        <v>0</v>
      </c>
      <c r="F527" s="259" t="str">
        <f t="shared" si="17"/>
        <v/>
      </c>
      <c r="G527" s="259" t="str">
        <f t="shared" si="17"/>
        <v/>
      </c>
      <c r="H527" s="261" t="str">
        <f t="shared" si="16"/>
        <v/>
      </c>
      <c r="I527" s="263"/>
      <c r="K527" s="257"/>
      <c r="L527" s="257"/>
    </row>
    <row r="528" spans="1:12" ht="12.6" customHeight="1" x14ac:dyDescent="0.25">
      <c r="A528" s="180" t="s">
        <v>544</v>
      </c>
      <c r="B528" s="236">
        <v>0</v>
      </c>
      <c r="C528" s="236">
        <f>AI71</f>
        <v>0</v>
      </c>
      <c r="D528" s="236">
        <v>0</v>
      </c>
      <c r="E528" s="180">
        <f>AI59</f>
        <v>0</v>
      </c>
      <c r="F528" s="259" t="str">
        <f t="shared" ref="F528:G540" si="18">IF(B528=0,"",IF(D528=0,"",B528/D528))</f>
        <v/>
      </c>
      <c r="G528" s="259" t="str">
        <f t="shared" si="18"/>
        <v/>
      </c>
      <c r="H528" s="261" t="str">
        <f t="shared" si="16"/>
        <v/>
      </c>
      <c r="I528" s="263"/>
      <c r="K528" s="257"/>
      <c r="L528" s="257"/>
    </row>
    <row r="529" spans="1:12" ht="12.6" customHeight="1" x14ac:dyDescent="0.25">
      <c r="A529" s="180" t="s">
        <v>545</v>
      </c>
      <c r="B529" s="236">
        <v>1348790.11</v>
      </c>
      <c r="C529" s="236">
        <f>AJ71</f>
        <v>1469175.06</v>
      </c>
      <c r="D529" s="236">
        <v>4279</v>
      </c>
      <c r="E529" s="180">
        <f>AJ59</f>
        <v>5263</v>
      </c>
      <c r="F529" s="259">
        <f t="shared" si="18"/>
        <v>315.21152372049545</v>
      </c>
      <c r="G529" s="259">
        <f t="shared" si="18"/>
        <v>279.15163594907847</v>
      </c>
      <c r="H529" s="261" t="str">
        <f t="shared" si="16"/>
        <v/>
      </c>
      <c r="I529" s="263"/>
      <c r="K529" s="257"/>
      <c r="L529" s="257"/>
    </row>
    <row r="530" spans="1:12" ht="12.6" customHeight="1" x14ac:dyDescent="0.25">
      <c r="A530" s="180" t="s">
        <v>546</v>
      </c>
      <c r="B530" s="236">
        <v>410791.52999999997</v>
      </c>
      <c r="C530" s="236">
        <f>AK71</f>
        <v>420932.84</v>
      </c>
      <c r="D530" s="236">
        <v>10535</v>
      </c>
      <c r="E530" s="180">
        <f>AK59</f>
        <v>9996</v>
      </c>
      <c r="F530" s="259">
        <f t="shared" si="18"/>
        <v>38.993026103464636</v>
      </c>
      <c r="G530" s="259">
        <f t="shared" si="18"/>
        <v>42.110128051220492</v>
      </c>
      <c r="H530" s="261" t="str">
        <f t="shared" si="16"/>
        <v/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v>88578.880000000005</v>
      </c>
      <c r="C531" s="236">
        <f>AL71</f>
        <v>96779.680000000008</v>
      </c>
      <c r="D531" s="236">
        <v>1409</v>
      </c>
      <c r="E531" s="180">
        <f>AL59</f>
        <v>1500</v>
      </c>
      <c r="F531" s="259">
        <f t="shared" si="18"/>
        <v>62.866486870120653</v>
      </c>
      <c r="G531" s="259">
        <f t="shared" si="18"/>
        <v>64.519786666666676</v>
      </c>
      <c r="H531" s="261" t="str">
        <f t="shared" si="16"/>
        <v/>
      </c>
      <c r="I531" s="263"/>
      <c r="K531" s="257"/>
      <c r="L531" s="257"/>
    </row>
    <row r="532" spans="1:12" ht="12.6" customHeight="1" x14ac:dyDescent="0.25">
      <c r="A532" s="180" t="s">
        <v>548</v>
      </c>
      <c r="B532" s="236">
        <v>0</v>
      </c>
      <c r="C532" s="236">
        <f>AM71</f>
        <v>0</v>
      </c>
      <c r="D532" s="236">
        <v>0</v>
      </c>
      <c r="E532" s="180">
        <f>AM59</f>
        <v>0</v>
      </c>
      <c r="F532" s="259" t="str">
        <f t="shared" si="18"/>
        <v/>
      </c>
      <c r="G532" s="259" t="str">
        <f t="shared" si="18"/>
        <v/>
      </c>
      <c r="H532" s="261" t="str">
        <f t="shared" si="16"/>
        <v/>
      </c>
      <c r="I532" s="263"/>
      <c r="K532" s="257"/>
      <c r="L532" s="257"/>
    </row>
    <row r="533" spans="1:12" ht="12.6" customHeight="1" x14ac:dyDescent="0.25">
      <c r="A533" s="180" t="s">
        <v>1247</v>
      </c>
      <c r="B533" s="236">
        <v>0</v>
      </c>
      <c r="C533" s="236">
        <f>AN71</f>
        <v>0</v>
      </c>
      <c r="D533" s="236">
        <v>0</v>
      </c>
      <c r="E533" s="180">
        <f>AN59</f>
        <v>0</v>
      </c>
      <c r="F533" s="259" t="str">
        <f t="shared" si="18"/>
        <v/>
      </c>
      <c r="G533" s="259" t="str">
        <f t="shared" si="18"/>
        <v/>
      </c>
      <c r="H533" s="261" t="str">
        <f t="shared" si="16"/>
        <v/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v>0</v>
      </c>
      <c r="C534" s="236">
        <f>AO71</f>
        <v>0</v>
      </c>
      <c r="D534" s="236">
        <v>0</v>
      </c>
      <c r="E534" s="180">
        <f>AO59</f>
        <v>0</v>
      </c>
      <c r="F534" s="259" t="str">
        <f t="shared" si="18"/>
        <v/>
      </c>
      <c r="G534" s="259" t="str">
        <f t="shared" si="18"/>
        <v/>
      </c>
      <c r="H534" s="261" t="str">
        <f t="shared" si="16"/>
        <v/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v>0</v>
      </c>
      <c r="C535" s="236">
        <f>AP71</f>
        <v>0</v>
      </c>
      <c r="D535" s="236">
        <v>0</v>
      </c>
      <c r="E535" s="180">
        <f>AP59</f>
        <v>0</v>
      </c>
      <c r="F535" s="259" t="str">
        <f t="shared" si="18"/>
        <v/>
      </c>
      <c r="G535" s="259" t="str">
        <f t="shared" si="18"/>
        <v/>
      </c>
      <c r="H535" s="261" t="str">
        <f t="shared" si="16"/>
        <v/>
      </c>
      <c r="I535" s="263"/>
      <c r="K535" s="257"/>
      <c r="L535" s="257"/>
    </row>
    <row r="536" spans="1:12" ht="12.6" customHeight="1" x14ac:dyDescent="0.25">
      <c r="A536" s="180" t="s">
        <v>551</v>
      </c>
      <c r="B536" s="236">
        <v>0</v>
      </c>
      <c r="C536" s="236">
        <f>AQ71</f>
        <v>0</v>
      </c>
      <c r="D536" s="236">
        <v>0</v>
      </c>
      <c r="E536" s="180">
        <f>AQ59</f>
        <v>0</v>
      </c>
      <c r="F536" s="259" t="str">
        <f t="shared" si="18"/>
        <v/>
      </c>
      <c r="G536" s="259" t="str">
        <f t="shared" si="18"/>
        <v/>
      </c>
      <c r="H536" s="261" t="str">
        <f t="shared" si="16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v>0</v>
      </c>
      <c r="C537" s="236">
        <f>AR71</f>
        <v>0</v>
      </c>
      <c r="D537" s="236">
        <v>0</v>
      </c>
      <c r="E537" s="180">
        <f>AR59</f>
        <v>0</v>
      </c>
      <c r="F537" s="259" t="str">
        <f t="shared" si="18"/>
        <v/>
      </c>
      <c r="G537" s="259" t="str">
        <f t="shared" si="18"/>
        <v/>
      </c>
      <c r="H537" s="261" t="str">
        <f t="shared" si="16"/>
        <v/>
      </c>
      <c r="I537" s="263"/>
      <c r="K537" s="257"/>
      <c r="L537" s="257"/>
    </row>
    <row r="538" spans="1:12" ht="12.6" customHeight="1" x14ac:dyDescent="0.25">
      <c r="A538" s="180" t="s">
        <v>553</v>
      </c>
      <c r="B538" s="236">
        <v>0</v>
      </c>
      <c r="C538" s="236">
        <f>AS71</f>
        <v>0</v>
      </c>
      <c r="D538" s="236">
        <v>0</v>
      </c>
      <c r="E538" s="180">
        <f>AS59</f>
        <v>0</v>
      </c>
      <c r="F538" s="259" t="str">
        <f t="shared" si="18"/>
        <v/>
      </c>
      <c r="G538" s="259" t="str">
        <f t="shared" si="18"/>
        <v/>
      </c>
      <c r="H538" s="261" t="str">
        <f t="shared" si="16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v>0</v>
      </c>
      <c r="C539" s="236">
        <f>AT71</f>
        <v>0</v>
      </c>
      <c r="D539" s="236">
        <v>0</v>
      </c>
      <c r="E539" s="180">
        <f>AT59</f>
        <v>0</v>
      </c>
      <c r="F539" s="259" t="str">
        <f t="shared" si="18"/>
        <v/>
      </c>
      <c r="G539" s="259" t="str">
        <f t="shared" si="18"/>
        <v/>
      </c>
      <c r="H539" s="261" t="str">
        <f t="shared" si="16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v>0</v>
      </c>
      <c r="C540" s="236">
        <f>AU71</f>
        <v>0</v>
      </c>
      <c r="D540" s="236">
        <v>0</v>
      </c>
      <c r="E540" s="180">
        <f>AU59</f>
        <v>0</v>
      </c>
      <c r="F540" s="259" t="str">
        <f t="shared" si="18"/>
        <v/>
      </c>
      <c r="G540" s="259" t="str">
        <f t="shared" si="18"/>
        <v/>
      </c>
      <c r="H540" s="261" t="str">
        <f t="shared" si="16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v>2573905.4728000001</v>
      </c>
      <c r="C541" s="236">
        <f>AV71</f>
        <v>3592062.0153999999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1248</v>
      </c>
      <c r="B542" s="236">
        <v>0</v>
      </c>
      <c r="C542" s="236">
        <f>AW71</f>
        <v>0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v>82316.444000000018</v>
      </c>
      <c r="C543" s="236">
        <f>AX71</f>
        <v>432.41590000000002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25">
      <c r="A544" s="180" t="s">
        <v>558</v>
      </c>
      <c r="B544" s="236">
        <v>9418</v>
      </c>
      <c r="C544" s="236">
        <f>AY71</f>
        <v>13599</v>
      </c>
      <c r="D544" s="236">
        <v>118728</v>
      </c>
      <c r="E544" s="180">
        <f>AY59</f>
        <v>124575</v>
      </c>
      <c r="F544" s="259">
        <f t="shared" ref="F544:G550" si="19">IF(B544=0,"",IF(D544=0,"",B544/D544))</f>
        <v>7.9324169530355093E-2</v>
      </c>
      <c r="G544" s="259">
        <f t="shared" si="19"/>
        <v>0.10916315472606863</v>
      </c>
      <c r="H544" s="261">
        <f t="shared" si="16"/>
        <v>0.37616511300877864</v>
      </c>
      <c r="I544" s="263" t="s">
        <v>1281</v>
      </c>
      <c r="K544" s="257"/>
      <c r="L544" s="257"/>
    </row>
    <row r="545" spans="1:13" ht="12.6" customHeight="1" x14ac:dyDescent="0.25">
      <c r="A545" s="180" t="s">
        <v>559</v>
      </c>
      <c r="B545" s="236">
        <v>2087298.4900000005</v>
      </c>
      <c r="C545" s="236">
        <f>AZ71</f>
        <v>2284199.2600000002</v>
      </c>
      <c r="D545" s="236">
        <v>407270</v>
      </c>
      <c r="E545" s="180">
        <f>AZ59</f>
        <v>351722</v>
      </c>
      <c r="F545" s="259">
        <f t="shared" si="19"/>
        <v>5.1250975765462723</v>
      </c>
      <c r="G545" s="259">
        <f t="shared" si="19"/>
        <v>6.4943314890737582</v>
      </c>
      <c r="H545" s="261">
        <f t="shared" si="16"/>
        <v>0.26716250609421421</v>
      </c>
      <c r="I545" s="263" t="s">
        <v>1282</v>
      </c>
      <c r="K545" s="257"/>
      <c r="L545" s="257"/>
    </row>
    <row r="546" spans="1:13" ht="12.6" customHeight="1" x14ac:dyDescent="0.25">
      <c r="A546" s="180" t="s">
        <v>560</v>
      </c>
      <c r="B546" s="236">
        <v>83722.260000000009</v>
      </c>
      <c r="C546" s="236">
        <f>BA71</f>
        <v>167993.14</v>
      </c>
      <c r="D546" s="236">
        <v>0</v>
      </c>
      <c r="E546" s="180">
        <f>BA59</f>
        <v>0</v>
      </c>
      <c r="F546" s="259" t="str">
        <f t="shared" si="19"/>
        <v/>
      </c>
      <c r="G546" s="259" t="str">
        <f t="shared" si="19"/>
        <v/>
      </c>
      <c r="H546" s="261" t="str">
        <f t="shared" si="16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v>0</v>
      </c>
      <c r="C547" s="236">
        <f>BB71</f>
        <v>0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v>294758.64899496175</v>
      </c>
      <c r="C548" s="236">
        <f>BC71</f>
        <v>314980.85964115127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v>0</v>
      </c>
      <c r="C549" s="236">
        <f>BD71</f>
        <v>0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v>5736996.4462000011</v>
      </c>
      <c r="C550" s="236">
        <f>BE71</f>
        <v>5770554.2041999996</v>
      </c>
      <c r="D550" s="236">
        <v>285856</v>
      </c>
      <c r="E550" s="180">
        <f>BE59</f>
        <v>285855</v>
      </c>
      <c r="F550" s="259">
        <f t="shared" si="19"/>
        <v>20.069533073295649</v>
      </c>
      <c r="G550" s="259">
        <f t="shared" si="19"/>
        <v>20.186997618372949</v>
      </c>
      <c r="H550" s="261" t="str">
        <f t="shared" si="16"/>
        <v/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v>1492174.8800000001</v>
      </c>
      <c r="C551" s="236">
        <f>BF71</f>
        <v>1690849.53</v>
      </c>
      <c r="D551" s="181" t="s">
        <v>529</v>
      </c>
      <c r="E551" s="181" t="s">
        <v>529</v>
      </c>
      <c r="F551" s="259"/>
      <c r="G551" s="259"/>
      <c r="H551" s="261"/>
      <c r="I551" s="263"/>
      <c r="J551" s="197"/>
      <c r="M551" s="261"/>
    </row>
    <row r="552" spans="1:13" ht="12.6" customHeight="1" x14ac:dyDescent="0.25">
      <c r="A552" s="180" t="s">
        <v>566</v>
      </c>
      <c r="B552" s="236">
        <v>202201.31800000003</v>
      </c>
      <c r="C552" s="236">
        <f>BG71</f>
        <v>20898.564400000003</v>
      </c>
      <c r="D552" s="181" t="s">
        <v>529</v>
      </c>
      <c r="E552" s="181" t="s">
        <v>529</v>
      </c>
      <c r="F552" s="259"/>
      <c r="G552" s="259"/>
      <c r="H552" s="261"/>
      <c r="J552" s="197"/>
      <c r="M552" s="261"/>
    </row>
    <row r="553" spans="1:13" ht="12.6" customHeight="1" x14ac:dyDescent="0.25">
      <c r="A553" s="180" t="s">
        <v>567</v>
      </c>
      <c r="B553" s="236">
        <v>535178.67480000004</v>
      </c>
      <c r="C553" s="236">
        <f>BH71</f>
        <v>40377.332100000007</v>
      </c>
      <c r="D553" s="181" t="s">
        <v>529</v>
      </c>
      <c r="E553" s="181" t="s">
        <v>529</v>
      </c>
      <c r="F553" s="259"/>
      <c r="G553" s="259"/>
      <c r="H553" s="261"/>
      <c r="J553" s="197"/>
      <c r="M553" s="261"/>
    </row>
    <row r="554" spans="1:13" ht="12.6" customHeight="1" x14ac:dyDescent="0.25">
      <c r="A554" s="180" t="s">
        <v>568</v>
      </c>
      <c r="B554" s="236">
        <v>-23375.600000000006</v>
      </c>
      <c r="C554" s="236">
        <f>BI71</f>
        <v>-15227.509999999995</v>
      </c>
      <c r="D554" s="181" t="s">
        <v>529</v>
      </c>
      <c r="E554" s="181" t="s">
        <v>529</v>
      </c>
      <c r="F554" s="259"/>
      <c r="G554" s="259"/>
      <c r="H554" s="261"/>
      <c r="J554" s="197"/>
      <c r="M554" s="261"/>
    </row>
    <row r="555" spans="1:13" ht="12.6" customHeight="1" x14ac:dyDescent="0.25">
      <c r="A555" s="180" t="s">
        <v>569</v>
      </c>
      <c r="B555" s="236">
        <v>294270.2133</v>
      </c>
      <c r="C555" s="236">
        <f>BJ71</f>
        <v>366648.74795366998</v>
      </c>
      <c r="D555" s="181" t="s">
        <v>529</v>
      </c>
      <c r="E555" s="181" t="s">
        <v>529</v>
      </c>
      <c r="F555" s="259"/>
      <c r="G555" s="259"/>
      <c r="H555" s="261"/>
      <c r="J555" s="197"/>
      <c r="M555" s="261"/>
    </row>
    <row r="556" spans="1:13" ht="12.6" customHeight="1" x14ac:dyDescent="0.25">
      <c r="A556" s="180" t="s">
        <v>570</v>
      </c>
      <c r="B556" s="236">
        <v>1324419.8367616569</v>
      </c>
      <c r="C556" s="236">
        <f>BK71</f>
        <v>1564029.202882919</v>
      </c>
      <c r="D556" s="181" t="s">
        <v>529</v>
      </c>
      <c r="E556" s="181" t="s">
        <v>529</v>
      </c>
      <c r="F556" s="259"/>
      <c r="G556" s="259"/>
      <c r="H556" s="261"/>
      <c r="J556" s="197"/>
      <c r="M556" s="261"/>
    </row>
    <row r="557" spans="1:13" ht="12.6" customHeight="1" x14ac:dyDescent="0.25">
      <c r="A557" s="180" t="s">
        <v>571</v>
      </c>
      <c r="B557" s="236">
        <v>1681877.7979520815</v>
      </c>
      <c r="C557" s="236">
        <f>BL71</f>
        <v>1854723.5899532808</v>
      </c>
      <c r="D557" s="181" t="s">
        <v>529</v>
      </c>
      <c r="E557" s="181" t="s">
        <v>529</v>
      </c>
      <c r="F557" s="259"/>
      <c r="G557" s="259"/>
      <c r="H557" s="261"/>
      <c r="J557" s="197"/>
      <c r="M557" s="261"/>
    </row>
    <row r="558" spans="1:13" ht="12.6" customHeight="1" x14ac:dyDescent="0.25">
      <c r="A558" s="180" t="s">
        <v>572</v>
      </c>
      <c r="B558" s="236">
        <v>0</v>
      </c>
      <c r="C558" s="236">
        <f>BM71</f>
        <v>0</v>
      </c>
      <c r="D558" s="181" t="s">
        <v>529</v>
      </c>
      <c r="E558" s="181" t="s">
        <v>529</v>
      </c>
      <c r="F558" s="259"/>
      <c r="G558" s="259"/>
      <c r="H558" s="261"/>
      <c r="J558" s="197"/>
      <c r="M558" s="261"/>
    </row>
    <row r="559" spans="1:13" ht="12.6" customHeight="1" x14ac:dyDescent="0.25">
      <c r="A559" s="180" t="s">
        <v>573</v>
      </c>
      <c r="B559" s="236">
        <v>4637299.3460798999</v>
      </c>
      <c r="C559" s="236">
        <f>BN71</f>
        <v>6189824.4024667097</v>
      </c>
      <c r="D559" s="181" t="s">
        <v>529</v>
      </c>
      <c r="E559" s="181" t="s">
        <v>529</v>
      </c>
      <c r="F559" s="259"/>
      <c r="G559" s="259"/>
      <c r="H559" s="261"/>
      <c r="J559" s="197"/>
      <c r="M559" s="261"/>
    </row>
    <row r="560" spans="1:13" ht="12.6" customHeight="1" x14ac:dyDescent="0.25">
      <c r="A560" s="180" t="s">
        <v>574</v>
      </c>
      <c r="B560" s="236">
        <v>166165.965</v>
      </c>
      <c r="C560" s="236">
        <f>BO71</f>
        <v>201916.9852</v>
      </c>
      <c r="D560" s="181" t="s">
        <v>529</v>
      </c>
      <c r="E560" s="181" t="s">
        <v>529</v>
      </c>
      <c r="F560" s="259"/>
      <c r="G560" s="259"/>
      <c r="H560" s="261"/>
      <c r="J560" s="197"/>
      <c r="M560" s="261"/>
    </row>
    <row r="561" spans="1:13" ht="12.6" customHeight="1" x14ac:dyDescent="0.25">
      <c r="A561" s="180" t="s">
        <v>575</v>
      </c>
      <c r="B561" s="236">
        <v>1068526.1209</v>
      </c>
      <c r="C561" s="236">
        <f>BP71</f>
        <v>264696.23180000001</v>
      </c>
      <c r="D561" s="181" t="s">
        <v>529</v>
      </c>
      <c r="E561" s="181" t="s">
        <v>529</v>
      </c>
      <c r="F561" s="259"/>
      <c r="G561" s="259"/>
      <c r="H561" s="261"/>
      <c r="J561" s="197"/>
      <c r="M561" s="261"/>
    </row>
    <row r="562" spans="1:13" ht="12.6" customHeight="1" x14ac:dyDescent="0.25">
      <c r="A562" s="180" t="s">
        <v>576</v>
      </c>
      <c r="B562" s="236">
        <v>0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7"/>
      <c r="M562" s="261"/>
    </row>
    <row r="563" spans="1:13" ht="12.6" customHeight="1" x14ac:dyDescent="0.25">
      <c r="A563" s="180" t="s">
        <v>577</v>
      </c>
      <c r="B563" s="236">
        <v>363519.79440000007</v>
      </c>
      <c r="C563" s="236">
        <f>BR71</f>
        <v>804833.58850000007</v>
      </c>
      <c r="D563" s="181" t="s">
        <v>529</v>
      </c>
      <c r="E563" s="181" t="s">
        <v>529</v>
      </c>
      <c r="F563" s="259"/>
      <c r="G563" s="259"/>
      <c r="H563" s="261"/>
      <c r="J563" s="197"/>
      <c r="M563" s="261"/>
    </row>
    <row r="564" spans="1:13" ht="12.6" customHeight="1" x14ac:dyDescent="0.25">
      <c r="A564" s="180" t="s">
        <v>1249</v>
      </c>
      <c r="B564" s="236">
        <v>53591.303500000009</v>
      </c>
      <c r="C564" s="236">
        <f>BS71</f>
        <v>9.8672000000000022</v>
      </c>
      <c r="D564" s="181" t="s">
        <v>529</v>
      </c>
      <c r="E564" s="181" t="s">
        <v>529</v>
      </c>
      <c r="F564" s="259"/>
      <c r="G564" s="259"/>
      <c r="H564" s="261"/>
      <c r="J564" s="197"/>
      <c r="M564" s="261"/>
    </row>
    <row r="565" spans="1:13" ht="12.6" customHeight="1" x14ac:dyDescent="0.25">
      <c r="A565" s="180" t="s">
        <v>578</v>
      </c>
      <c r="B565" s="236">
        <v>84240.910599999988</v>
      </c>
      <c r="C565" s="236">
        <f>BT71</f>
        <v>14623.380100000002</v>
      </c>
      <c r="D565" s="181" t="s">
        <v>529</v>
      </c>
      <c r="E565" s="181" t="s">
        <v>529</v>
      </c>
      <c r="F565" s="259"/>
      <c r="G565" s="259"/>
      <c r="H565" s="261"/>
      <c r="J565" s="197"/>
      <c r="M565" s="261"/>
    </row>
    <row r="566" spans="1:13" ht="12.6" customHeight="1" x14ac:dyDescent="0.25">
      <c r="A566" s="180" t="s">
        <v>579</v>
      </c>
      <c r="B566" s="236">
        <v>20052.1041</v>
      </c>
      <c r="C566" s="236">
        <f>BU71</f>
        <v>23719.724700000002</v>
      </c>
      <c r="D566" s="181" t="s">
        <v>529</v>
      </c>
      <c r="E566" s="181" t="s">
        <v>529</v>
      </c>
      <c r="F566" s="259"/>
      <c r="G566" s="259"/>
      <c r="H566" s="261"/>
      <c r="J566" s="197"/>
      <c r="M566" s="261"/>
    </row>
    <row r="567" spans="1:13" ht="12.6" customHeight="1" x14ac:dyDescent="0.25">
      <c r="A567" s="180" t="s">
        <v>580</v>
      </c>
      <c r="B567" s="236">
        <v>1893300.1085454742</v>
      </c>
      <c r="C567" s="236">
        <f>BV71</f>
        <v>2264329.1232410455</v>
      </c>
      <c r="D567" s="181" t="s">
        <v>529</v>
      </c>
      <c r="E567" s="181" t="s">
        <v>529</v>
      </c>
      <c r="F567" s="259"/>
      <c r="G567" s="259"/>
      <c r="H567" s="261"/>
      <c r="J567" s="197"/>
      <c r="M567" s="261"/>
    </row>
    <row r="568" spans="1:13" ht="12.6" customHeight="1" x14ac:dyDescent="0.25">
      <c r="A568" s="180" t="s">
        <v>581</v>
      </c>
      <c r="B568" s="236">
        <v>270696.45399104001</v>
      </c>
      <c r="C568" s="236">
        <f>BW71</f>
        <v>246110.86666600005</v>
      </c>
      <c r="D568" s="181" t="s">
        <v>529</v>
      </c>
      <c r="E568" s="181" t="s">
        <v>529</v>
      </c>
      <c r="F568" s="259"/>
      <c r="G568" s="259"/>
      <c r="H568" s="261"/>
      <c r="J568" s="197"/>
      <c r="M568" s="261"/>
    </row>
    <row r="569" spans="1:13" ht="12.6" customHeight="1" x14ac:dyDescent="0.25">
      <c r="A569" s="180" t="s">
        <v>582</v>
      </c>
      <c r="B569" s="236">
        <v>646108.66316976014</v>
      </c>
      <c r="C569" s="236">
        <f>BX71</f>
        <v>1014488.24896874</v>
      </c>
      <c r="D569" s="181" t="s">
        <v>529</v>
      </c>
      <c r="E569" s="181" t="s">
        <v>529</v>
      </c>
      <c r="F569" s="259"/>
      <c r="G569" s="259"/>
      <c r="H569" s="261"/>
      <c r="J569" s="197"/>
      <c r="M569" s="261"/>
    </row>
    <row r="570" spans="1:13" ht="12.6" customHeight="1" x14ac:dyDescent="0.25">
      <c r="A570" s="180" t="s">
        <v>583</v>
      </c>
      <c r="B570" s="236">
        <v>1025691.2122999999</v>
      </c>
      <c r="C570" s="236">
        <f>BY71</f>
        <v>1429206.8063999999</v>
      </c>
      <c r="D570" s="181" t="s">
        <v>529</v>
      </c>
      <c r="E570" s="181" t="s">
        <v>529</v>
      </c>
      <c r="F570" s="259"/>
      <c r="G570" s="259"/>
      <c r="H570" s="261"/>
      <c r="J570" s="197"/>
      <c r="M570" s="261"/>
    </row>
    <row r="571" spans="1:13" ht="12.6" customHeight="1" x14ac:dyDescent="0.25">
      <c r="A571" s="180" t="s">
        <v>584</v>
      </c>
      <c r="B571" s="236">
        <v>0</v>
      </c>
      <c r="C571" s="236">
        <f>BZ71</f>
        <v>0</v>
      </c>
      <c r="D571" s="181" t="s">
        <v>529</v>
      </c>
      <c r="E571" s="181" t="s">
        <v>529</v>
      </c>
      <c r="F571" s="259"/>
      <c r="G571" s="259"/>
      <c r="H571" s="261"/>
      <c r="J571" s="197"/>
      <c r="M571" s="261"/>
    </row>
    <row r="572" spans="1:13" ht="12.6" customHeight="1" x14ac:dyDescent="0.25">
      <c r="A572" s="180" t="s">
        <v>585</v>
      </c>
      <c r="B572" s="236">
        <v>417498.34700000007</v>
      </c>
      <c r="C572" s="236">
        <f>CA71</f>
        <v>467306.25950000004</v>
      </c>
      <c r="D572" s="181" t="s">
        <v>529</v>
      </c>
      <c r="E572" s="181" t="s">
        <v>529</v>
      </c>
      <c r="F572" s="259"/>
      <c r="G572" s="259"/>
      <c r="H572" s="261"/>
      <c r="J572" s="197"/>
      <c r="M572" s="261"/>
    </row>
    <row r="573" spans="1:13" ht="12.6" customHeight="1" x14ac:dyDescent="0.25">
      <c r="A573" s="180" t="s">
        <v>586</v>
      </c>
      <c r="B573" s="236">
        <v>24588.099900000001</v>
      </c>
      <c r="C573" s="236">
        <f>CB71</f>
        <v>29311.808400000005</v>
      </c>
      <c r="D573" s="181" t="s">
        <v>529</v>
      </c>
      <c r="E573" s="181" t="s">
        <v>529</v>
      </c>
      <c r="F573" s="259"/>
      <c r="G573" s="259"/>
      <c r="H573" s="261"/>
      <c r="J573" s="197"/>
      <c r="M573" s="261"/>
    </row>
    <row r="574" spans="1:13" ht="12.6" customHeight="1" x14ac:dyDescent="0.25">
      <c r="A574" s="180" t="s">
        <v>587</v>
      </c>
      <c r="B574" s="236">
        <v>8963986.1152999997</v>
      </c>
      <c r="C574" s="236">
        <f>CC71</f>
        <v>8938344.1174665801</v>
      </c>
      <c r="D574" s="181" t="s">
        <v>529</v>
      </c>
      <c r="E574" s="181" t="s">
        <v>529</v>
      </c>
      <c r="F574" s="259"/>
      <c r="G574" s="259"/>
      <c r="H574" s="261"/>
      <c r="J574" s="197"/>
      <c r="M574" s="261"/>
    </row>
    <row r="575" spans="1:13" ht="12.6" customHeight="1" x14ac:dyDescent="0.25">
      <c r="A575" s="180" t="s">
        <v>588</v>
      </c>
      <c r="B575" s="236">
        <v>8219022.8999999994</v>
      </c>
      <c r="C575" s="236">
        <f>CD71</f>
        <v>8072043.1800000006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4"/>
      <c r="C612" s="181" t="s">
        <v>589</v>
      </c>
      <c r="D612" s="180">
        <f>CE76-(BE76+CD76)</f>
        <v>266827.83891847613</v>
      </c>
      <c r="E612" s="180">
        <f>SUM(C624:D647)+SUM(C668:D713)</f>
        <v>108890599.99462114</v>
      </c>
      <c r="F612" s="180">
        <f>CE64-(AX64+BD64+BE64+BG64+BJ64+BN64+BP64+BQ64+CB64+CC64+CD64)</f>
        <v>23387648.430000003</v>
      </c>
      <c r="G612" s="180">
        <f>CE77-(AX77+AY77+BD77+BE77+BG77+BJ77+BN77+BP77+BQ77+CB77+CC77+CD77)</f>
        <v>124575</v>
      </c>
      <c r="H612" s="195">
        <f>CE60-(AX60+AY60+AZ60+BD60+BE60+BG60+BJ60+BN60+BO60+BP60+BQ60+BR60+CB60+CC60+CD60)</f>
        <v>462.1200673076923</v>
      </c>
      <c r="I612" s="180">
        <f>CE78-(AX78+AY78+AZ78+BD78+BE78+BF78+BG78+BJ78+BN78+BO78+BP78+BQ78+BR78+CB78+CC78+CD78)</f>
        <v>50811.02</v>
      </c>
      <c r="J612" s="180">
        <f>CE79-(AX79+AY79+AZ79+BA79+BD79+BE79+BF79+BG79+BJ79+BN79+BO79+BP79+BQ79+BR79+CB79+CC79+CD79)</f>
        <v>753494</v>
      </c>
      <c r="K612" s="180">
        <f>CE75-(AW75+AX75+AY75+AZ75+BA75+BB75+BC75+BD75+BE75+BF75+BG75+BH75+BI75+BJ75+BK75+BL75+BM75+BN75+BO75+BP75+BQ75+BR75+BS75+BT75+BU75+BV75+BW75+BX75+CB75+CC75+CD75)</f>
        <v>751598146.78999984</v>
      </c>
      <c r="L612" s="195">
        <f>CE80-(AW80+AX80+AY80+AZ80+BA80+BB80+BC80+BD80+BE80+BF80+BG80+BH80+BI80+BJ80+BK80+BL80+BM80+BN80+BO80+BP80+BQ80+BR80+BS80+BT80+BU80+BV80+BW80+BX80+BY80+BZ80+CA80+CB80+CC80+CD80)</f>
        <v>176.59227884615379</v>
      </c>
    </row>
    <row r="613" spans="1:14" ht="12.6" customHeight="1" x14ac:dyDescent="0.25">
      <c r="A613" s="194"/>
      <c r="C613" s="181" t="s">
        <v>590</v>
      </c>
      <c r="D613" s="181" t="s">
        <v>591</v>
      </c>
      <c r="E613" s="196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6" t="s">
        <v>599</v>
      </c>
    </row>
    <row r="614" spans="1:14" ht="12.6" customHeight="1" x14ac:dyDescent="0.25">
      <c r="A614" s="194">
        <v>8430</v>
      </c>
      <c r="B614" s="196" t="s">
        <v>140</v>
      </c>
      <c r="C614" s="180">
        <f>BE71</f>
        <v>5770554.2041999996</v>
      </c>
      <c r="N614" s="197" t="s">
        <v>600</v>
      </c>
    </row>
    <row r="615" spans="1:14" ht="12.6" customHeight="1" x14ac:dyDescent="0.25">
      <c r="A615" s="194"/>
      <c r="B615" s="196" t="s">
        <v>601</v>
      </c>
      <c r="C615" s="269">
        <f>CD69-CD70</f>
        <v>8072043.1800000006</v>
      </c>
      <c r="D615" s="262">
        <f>SUM(C614:C615)</f>
        <v>13842597.384199999</v>
      </c>
      <c r="N615" s="197" t="s">
        <v>602</v>
      </c>
    </row>
    <row r="616" spans="1:14" ht="12.6" customHeight="1" x14ac:dyDescent="0.25">
      <c r="A616" s="194">
        <v>8310</v>
      </c>
      <c r="B616" s="198" t="s">
        <v>603</v>
      </c>
      <c r="C616" s="180">
        <f>AX71</f>
        <v>432.41590000000002</v>
      </c>
      <c r="D616" s="180">
        <f>(D615/D612)*AX76</f>
        <v>0</v>
      </c>
      <c r="N616" s="197" t="s">
        <v>604</v>
      </c>
    </row>
    <row r="617" spans="1:14" ht="12.6" customHeight="1" x14ac:dyDescent="0.25">
      <c r="A617" s="194">
        <v>8510</v>
      </c>
      <c r="B617" s="198" t="s">
        <v>145</v>
      </c>
      <c r="C617" s="180">
        <f>BJ71</f>
        <v>366648.74795366998</v>
      </c>
      <c r="D617" s="180">
        <f>(D615/D612)*BJ76</f>
        <v>0</v>
      </c>
      <c r="N617" s="197" t="s">
        <v>605</v>
      </c>
    </row>
    <row r="618" spans="1:14" ht="12.6" customHeight="1" x14ac:dyDescent="0.25">
      <c r="A618" s="194">
        <v>8470</v>
      </c>
      <c r="B618" s="198" t="s">
        <v>606</v>
      </c>
      <c r="C618" s="180">
        <f>BG71</f>
        <v>20898.564400000003</v>
      </c>
      <c r="D618" s="180">
        <f>(D615/D612)*BG76</f>
        <v>0</v>
      </c>
      <c r="N618" s="197" t="s">
        <v>607</v>
      </c>
    </row>
    <row r="619" spans="1:14" ht="12.6" customHeight="1" x14ac:dyDescent="0.25">
      <c r="A619" s="194">
        <v>8610</v>
      </c>
      <c r="B619" s="198" t="s">
        <v>608</v>
      </c>
      <c r="C619" s="180">
        <f>BN71</f>
        <v>6189824.4024667097</v>
      </c>
      <c r="D619" s="180">
        <f>(D615/D612)*BN76</f>
        <v>4916033.8932668269</v>
      </c>
      <c r="N619" s="197" t="s">
        <v>609</v>
      </c>
    </row>
    <row r="620" spans="1:14" ht="12.6" customHeight="1" x14ac:dyDescent="0.25">
      <c r="A620" s="194">
        <v>8790</v>
      </c>
      <c r="B620" s="198" t="s">
        <v>610</v>
      </c>
      <c r="C620" s="180">
        <f>CC71</f>
        <v>8938344.1174665801</v>
      </c>
      <c r="D620" s="180">
        <f>(D615/D612)*CC76</f>
        <v>0</v>
      </c>
      <c r="N620" s="197" t="s">
        <v>611</v>
      </c>
    </row>
    <row r="621" spans="1:14" ht="12.6" customHeight="1" x14ac:dyDescent="0.25">
      <c r="A621" s="194">
        <v>8630</v>
      </c>
      <c r="B621" s="198" t="s">
        <v>612</v>
      </c>
      <c r="C621" s="180">
        <f>BP71</f>
        <v>264696.23180000001</v>
      </c>
      <c r="D621" s="180">
        <f>(D615/D612)*BP76</f>
        <v>0</v>
      </c>
      <c r="N621" s="197" t="s">
        <v>613</v>
      </c>
    </row>
    <row r="622" spans="1:14" ht="12.6" customHeight="1" x14ac:dyDescent="0.25">
      <c r="A622" s="194">
        <v>8770</v>
      </c>
      <c r="B622" s="196" t="s">
        <v>614</v>
      </c>
      <c r="C622" s="180">
        <f>CB71</f>
        <v>29311.808400000005</v>
      </c>
      <c r="D622" s="180">
        <f>(D615/D612)*CB76</f>
        <v>0</v>
      </c>
      <c r="N622" s="197" t="s">
        <v>615</v>
      </c>
    </row>
    <row r="623" spans="1:14" ht="12.6" customHeight="1" x14ac:dyDescent="0.25">
      <c r="A623" s="194">
        <v>8640</v>
      </c>
      <c r="B623" s="198" t="s">
        <v>616</v>
      </c>
      <c r="C623" s="180">
        <f>BQ71</f>
        <v>0</v>
      </c>
      <c r="D623" s="180">
        <f>(D615/D612)*BQ76</f>
        <v>0</v>
      </c>
      <c r="E623" s="180">
        <f>SUM(C616:D623)</f>
        <v>20726190.18165379</v>
      </c>
      <c r="N623" s="197" t="s">
        <v>617</v>
      </c>
    </row>
    <row r="624" spans="1:14" ht="12.6" customHeight="1" x14ac:dyDescent="0.25">
      <c r="A624" s="194">
        <v>8420</v>
      </c>
      <c r="B624" s="198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7" t="s">
        <v>618</v>
      </c>
    </row>
    <row r="625" spans="1:14" ht="12.6" customHeight="1" x14ac:dyDescent="0.25">
      <c r="A625" s="194">
        <v>8320</v>
      </c>
      <c r="B625" s="198" t="s">
        <v>135</v>
      </c>
      <c r="C625" s="180">
        <f>AY71</f>
        <v>13599</v>
      </c>
      <c r="D625" s="180">
        <f>(D615/D612)*AY76</f>
        <v>64694.947905672212</v>
      </c>
      <c r="E625" s="180">
        <f>(E623/E612)*SUM(C625:D625)</f>
        <v>14902.43652294702</v>
      </c>
      <c r="F625" s="180">
        <f>(F624/F612)*AY64</f>
        <v>0</v>
      </c>
      <c r="G625" s="180">
        <f>SUM(C625:F625)</f>
        <v>93196.384428619232</v>
      </c>
      <c r="N625" s="197" t="s">
        <v>619</v>
      </c>
    </row>
    <row r="626" spans="1:14" ht="12.6" customHeight="1" x14ac:dyDescent="0.25">
      <c r="A626" s="194">
        <v>8650</v>
      </c>
      <c r="B626" s="198" t="s">
        <v>152</v>
      </c>
      <c r="C626" s="180">
        <f>BR71</f>
        <v>804833.58850000007</v>
      </c>
      <c r="D626" s="180">
        <f>(D615/D612)*BR76</f>
        <v>45289.830196836403</v>
      </c>
      <c r="E626" s="180">
        <f>(E623/E612)*SUM(C626:D626)</f>
        <v>161812.12753588179</v>
      </c>
      <c r="F626" s="180">
        <f>(F624/F612)*BR64</f>
        <v>0</v>
      </c>
      <c r="G626" s="180">
        <f>(G625/G612)*BR77</f>
        <v>0</v>
      </c>
      <c r="N626" s="197" t="s">
        <v>620</v>
      </c>
    </row>
    <row r="627" spans="1:14" ht="12.6" customHeight="1" x14ac:dyDescent="0.25">
      <c r="A627" s="194">
        <v>8620</v>
      </c>
      <c r="B627" s="196" t="s">
        <v>621</v>
      </c>
      <c r="C627" s="180">
        <f>BO71</f>
        <v>201916.9852</v>
      </c>
      <c r="D627" s="180">
        <f>(D615/D612)*BO76</f>
        <v>0</v>
      </c>
      <c r="E627" s="180">
        <f>(E623/E612)*SUM(C627:D627)</f>
        <v>38432.792512559376</v>
      </c>
      <c r="F627" s="180">
        <f>(F624/F612)*BO64</f>
        <v>0</v>
      </c>
      <c r="G627" s="180">
        <f>(G625/G612)*BO77</f>
        <v>0</v>
      </c>
      <c r="N627" s="197" t="s">
        <v>622</v>
      </c>
    </row>
    <row r="628" spans="1:14" ht="12.6" customHeight="1" x14ac:dyDescent="0.25">
      <c r="A628" s="194">
        <v>8330</v>
      </c>
      <c r="B628" s="198" t="s">
        <v>136</v>
      </c>
      <c r="C628" s="180">
        <f>AZ71</f>
        <v>2284199.2600000002</v>
      </c>
      <c r="D628" s="180">
        <f>(D615/D612)*AZ76</f>
        <v>315210.46621968056</v>
      </c>
      <c r="E628" s="180">
        <f>(E623/E612)*SUM(C628:D628)</f>
        <v>494770.53435586736</v>
      </c>
      <c r="F628" s="180">
        <f>(F624/F612)*AZ64</f>
        <v>0</v>
      </c>
      <c r="G628" s="180">
        <f>(G625/G612)*AZ77</f>
        <v>0</v>
      </c>
      <c r="H628" s="180">
        <f>SUM(C626:G628)</f>
        <v>4346465.5845208261</v>
      </c>
      <c r="N628" s="197" t="s">
        <v>623</v>
      </c>
    </row>
    <row r="629" spans="1:14" ht="12.6" customHeight="1" x14ac:dyDescent="0.25">
      <c r="A629" s="194">
        <v>8460</v>
      </c>
      <c r="B629" s="198" t="s">
        <v>141</v>
      </c>
      <c r="C629" s="180">
        <f>BF71</f>
        <v>1690849.53</v>
      </c>
      <c r="D629" s="180">
        <f>(D615/D612)*BF76</f>
        <v>37871.221126793323</v>
      </c>
      <c r="E629" s="180">
        <f>(E623/E612)*SUM(C629:D629)</f>
        <v>329043.9676206687</v>
      </c>
      <c r="F629" s="180">
        <f>(F624/F612)*BF64</f>
        <v>0</v>
      </c>
      <c r="G629" s="180">
        <f>(G625/G612)*BF77</f>
        <v>0</v>
      </c>
      <c r="H629" s="180">
        <f>(H628/H612)*BF60</f>
        <v>229760.83216177084</v>
      </c>
      <c r="I629" s="180">
        <f>SUM(C629:H629)</f>
        <v>2287525.5509092328</v>
      </c>
      <c r="N629" s="197" t="s">
        <v>624</v>
      </c>
    </row>
    <row r="630" spans="1:14" ht="12.6" customHeight="1" x14ac:dyDescent="0.25">
      <c r="A630" s="194">
        <v>8350</v>
      </c>
      <c r="B630" s="198" t="s">
        <v>625</v>
      </c>
      <c r="C630" s="180">
        <f>BA71</f>
        <v>167993.14</v>
      </c>
      <c r="D630" s="180">
        <f>(D615/D612)*BA76</f>
        <v>46327.397898940326</v>
      </c>
      <c r="E630" s="180">
        <f>(E623/E612)*SUM(C630:D630)</f>
        <v>40793.679422715999</v>
      </c>
      <c r="F630" s="180">
        <f>(F624/F612)*BA64</f>
        <v>0</v>
      </c>
      <c r="G630" s="180">
        <f>(G625/G612)*BA77</f>
        <v>0</v>
      </c>
      <c r="H630" s="180">
        <f>(H628/H612)*BA60</f>
        <v>14230.325209237935</v>
      </c>
      <c r="I630" s="180">
        <f>(I629/I612)*BA78</f>
        <v>12521.432462475756</v>
      </c>
      <c r="J630" s="180">
        <f>SUM(C630:I630)</f>
        <v>281865.97499337001</v>
      </c>
      <c r="N630" s="197" t="s">
        <v>626</v>
      </c>
    </row>
    <row r="631" spans="1:14" ht="12.6" customHeight="1" x14ac:dyDescent="0.25">
      <c r="A631" s="194">
        <v>8200</v>
      </c>
      <c r="B631" s="198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7" t="s">
        <v>628</v>
      </c>
    </row>
    <row r="632" spans="1:14" ht="12.6" customHeight="1" x14ac:dyDescent="0.25">
      <c r="A632" s="194">
        <v>8360</v>
      </c>
      <c r="B632" s="198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7" t="s">
        <v>630</v>
      </c>
    </row>
    <row r="633" spans="1:14" ht="12.6" customHeight="1" x14ac:dyDescent="0.25">
      <c r="A633" s="194">
        <v>8370</v>
      </c>
      <c r="B633" s="198" t="s">
        <v>631</v>
      </c>
      <c r="C633" s="180">
        <f>BC71</f>
        <v>314980.85964115127</v>
      </c>
      <c r="D633" s="180">
        <f>(D615/D612)*BC76</f>
        <v>0</v>
      </c>
      <c r="E633" s="180">
        <f>(E623/E612)*SUM(C633:D633)</f>
        <v>59953.321965585463</v>
      </c>
      <c r="F633" s="180">
        <f>(F624/F612)*BC64</f>
        <v>0</v>
      </c>
      <c r="G633" s="180">
        <f>(G625/G612)*BC77</f>
        <v>0</v>
      </c>
      <c r="H633" s="180">
        <f>(H628/H612)*BC60</f>
        <v>34516.745826636106</v>
      </c>
      <c r="I633" s="180">
        <f>(I629/I612)*BC78</f>
        <v>0</v>
      </c>
      <c r="J633" s="180">
        <f>(J630/J612)*BC79</f>
        <v>0</v>
      </c>
      <c r="N633" s="197" t="s">
        <v>632</v>
      </c>
    </row>
    <row r="634" spans="1:14" ht="12.6" customHeight="1" x14ac:dyDescent="0.25">
      <c r="A634" s="194">
        <v>8490</v>
      </c>
      <c r="B634" s="198" t="s">
        <v>633</v>
      </c>
      <c r="C634" s="180">
        <f>BI71</f>
        <v>-15227.509999999995</v>
      </c>
      <c r="D634" s="180">
        <f>(D615/D612)*BI76</f>
        <v>34966.031560902331</v>
      </c>
      <c r="E634" s="180">
        <f>(E623/E612)*SUM(C634:D634)</f>
        <v>3757.0217428882211</v>
      </c>
      <c r="F634" s="180">
        <f>(F624/F612)*BI64</f>
        <v>0</v>
      </c>
      <c r="G634" s="180">
        <f>(G625/G612)*BI77</f>
        <v>0</v>
      </c>
      <c r="H634" s="180">
        <f>(H628/H612)*BI60</f>
        <v>3498.7969909907374</v>
      </c>
      <c r="I634" s="180">
        <f>(I629/I612)*BI78</f>
        <v>9450.6668305808034</v>
      </c>
      <c r="J634" s="180">
        <f>(J630/J612)*BI79</f>
        <v>0</v>
      </c>
      <c r="N634" s="197" t="s">
        <v>634</v>
      </c>
    </row>
    <row r="635" spans="1:14" ht="12.6" customHeight="1" x14ac:dyDescent="0.25">
      <c r="A635" s="194">
        <v>8530</v>
      </c>
      <c r="B635" s="198" t="s">
        <v>635</v>
      </c>
      <c r="C635" s="180">
        <f>BK71</f>
        <v>1564029.202882919</v>
      </c>
      <c r="D635" s="180">
        <f>(D615/D612)*BK76</f>
        <v>0</v>
      </c>
      <c r="E635" s="180">
        <f>(E623/E612)*SUM(C635:D635)</f>
        <v>297696.64884033171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7" t="s">
        <v>636</v>
      </c>
    </row>
    <row r="636" spans="1:14" ht="12.6" customHeight="1" x14ac:dyDescent="0.25">
      <c r="A636" s="194">
        <v>8480</v>
      </c>
      <c r="B636" s="198" t="s">
        <v>637</v>
      </c>
      <c r="C636" s="180">
        <f>BH71</f>
        <v>40377.332100000007</v>
      </c>
      <c r="D636" s="180">
        <f>(D615/D612)*BH76</f>
        <v>0</v>
      </c>
      <c r="E636" s="180">
        <f>(E623/E612)*SUM(C636:D636)</f>
        <v>7685.4041044289697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7" t="s">
        <v>638</v>
      </c>
    </row>
    <row r="637" spans="1:14" ht="12.6" customHeight="1" x14ac:dyDescent="0.25">
      <c r="A637" s="194">
        <v>8560</v>
      </c>
      <c r="B637" s="198" t="s">
        <v>147</v>
      </c>
      <c r="C637" s="180">
        <f>BL71</f>
        <v>1854723.5899532808</v>
      </c>
      <c r="D637" s="180">
        <f>(D615/D612)*BL76</f>
        <v>0</v>
      </c>
      <c r="E637" s="180">
        <f>(E623/E612)*SUM(C637:D637)</f>
        <v>353027.29401500442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7" t="s">
        <v>639</v>
      </c>
    </row>
    <row r="638" spans="1:14" ht="12.6" customHeight="1" x14ac:dyDescent="0.25">
      <c r="A638" s="194">
        <v>8590</v>
      </c>
      <c r="B638" s="198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7" t="s">
        <v>641</v>
      </c>
    </row>
    <row r="639" spans="1:14" ht="12.6" customHeight="1" x14ac:dyDescent="0.25">
      <c r="A639" s="194">
        <v>8660</v>
      </c>
      <c r="B639" s="198" t="s">
        <v>642</v>
      </c>
      <c r="C639" s="180">
        <f>BS71</f>
        <v>9.8672000000000022</v>
      </c>
      <c r="D639" s="180">
        <f>(D615/D612)*BS76</f>
        <v>0</v>
      </c>
      <c r="E639" s="180">
        <f>(E623/E612)*SUM(C639:D639)</f>
        <v>1.8781186233753551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7" t="s">
        <v>643</v>
      </c>
    </row>
    <row r="640" spans="1:14" ht="12.6" customHeight="1" x14ac:dyDescent="0.25">
      <c r="A640" s="194">
        <v>8670</v>
      </c>
      <c r="B640" s="198" t="s">
        <v>644</v>
      </c>
      <c r="C640" s="180">
        <f>BT71</f>
        <v>14623.380100000002</v>
      </c>
      <c r="D640" s="180">
        <f>(D615/D612)*BT76</f>
        <v>0</v>
      </c>
      <c r="E640" s="180">
        <f>(E623/E612)*SUM(C640:D640)</f>
        <v>2783.4079072590562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7" t="s">
        <v>645</v>
      </c>
    </row>
    <row r="641" spans="1:14" ht="12.6" customHeight="1" x14ac:dyDescent="0.25">
      <c r="A641" s="194">
        <v>8680</v>
      </c>
      <c r="B641" s="198" t="s">
        <v>646</v>
      </c>
      <c r="C641" s="180">
        <f>BU71</f>
        <v>23719.724700000002</v>
      </c>
      <c r="D641" s="180">
        <f>(D615/D612)*BU76</f>
        <v>0</v>
      </c>
      <c r="E641" s="180">
        <f>(E623/E612)*SUM(C641:D641)</f>
        <v>4514.8022438388198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7" t="s">
        <v>647</v>
      </c>
    </row>
    <row r="642" spans="1:14" ht="12.6" customHeight="1" x14ac:dyDescent="0.25">
      <c r="A642" s="194">
        <v>8690</v>
      </c>
      <c r="B642" s="198" t="s">
        <v>648</v>
      </c>
      <c r="C642" s="180">
        <f>BV71</f>
        <v>2264329.1232410455</v>
      </c>
      <c r="D642" s="180">
        <f>(D615/D612)*BV76</f>
        <v>48246.898147832595</v>
      </c>
      <c r="E642" s="180">
        <f>(E623/E612)*SUM(C642:D642)</f>
        <v>440174.72978572792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13040.237614896363</v>
      </c>
      <c r="J642" s="180">
        <f>(J630/J612)*BV79</f>
        <v>0</v>
      </c>
      <c r="N642" s="197" t="s">
        <v>649</v>
      </c>
    </row>
    <row r="643" spans="1:14" ht="12.6" customHeight="1" x14ac:dyDescent="0.25">
      <c r="A643" s="194">
        <v>8700</v>
      </c>
      <c r="B643" s="198" t="s">
        <v>650</v>
      </c>
      <c r="C643" s="180">
        <f>BW71</f>
        <v>246110.86666600005</v>
      </c>
      <c r="D643" s="180">
        <f>(D615/D612)*BW76</f>
        <v>0</v>
      </c>
      <c r="E643" s="180">
        <f>(E623/E612)*SUM(C643:D643)</f>
        <v>46844.636989263774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7" t="s">
        <v>651</v>
      </c>
    </row>
    <row r="644" spans="1:14" ht="12.6" customHeight="1" x14ac:dyDescent="0.25">
      <c r="A644" s="194">
        <v>8710</v>
      </c>
      <c r="B644" s="198" t="s">
        <v>652</v>
      </c>
      <c r="C644" s="180">
        <f>BX71</f>
        <v>1014488.24896874</v>
      </c>
      <c r="D644" s="180">
        <f>(D615/D612)*BX76</f>
        <v>0</v>
      </c>
      <c r="E644" s="180">
        <f>(E623/E612)*SUM(C644:D644)</f>
        <v>193097.25895731759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8875420.4670952428</v>
      </c>
      <c r="N644" s="197" t="s">
        <v>653</v>
      </c>
    </row>
    <row r="645" spans="1:14" ht="12.6" customHeight="1" x14ac:dyDescent="0.25">
      <c r="A645" s="194">
        <v>8720</v>
      </c>
      <c r="B645" s="198" t="s">
        <v>654</v>
      </c>
      <c r="C645" s="180">
        <f>BY71</f>
        <v>1429206.8063999999</v>
      </c>
      <c r="D645" s="180">
        <f>(D615/D612)*BY76</f>
        <v>7262.9739147274868</v>
      </c>
      <c r="E645" s="180">
        <f>(E623/E612)*SUM(C645:D645)</f>
        <v>273417.04296304868</v>
      </c>
      <c r="F645" s="180">
        <f>(F624/F612)*BY64</f>
        <v>0</v>
      </c>
      <c r="G645" s="180">
        <f>(G625/G612)*BY77</f>
        <v>0</v>
      </c>
      <c r="H645" s="180">
        <f>(H628/H612)*BY60</f>
        <v>114673.3596489404</v>
      </c>
      <c r="I645" s="180">
        <f>(I629/I612)*BY78</f>
        <v>1963.0465226725707</v>
      </c>
      <c r="J645" s="180">
        <f>(J630/J612)*BY79</f>
        <v>0</v>
      </c>
      <c r="K645" s="180">
        <v>0</v>
      </c>
      <c r="N645" s="197" t="s">
        <v>655</v>
      </c>
    </row>
    <row r="646" spans="1:14" ht="12.6" customHeight="1" x14ac:dyDescent="0.25">
      <c r="A646" s="194">
        <v>8730</v>
      </c>
      <c r="B646" s="198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7" t="s">
        <v>657</v>
      </c>
    </row>
    <row r="647" spans="1:14" ht="12.6" customHeight="1" x14ac:dyDescent="0.25">
      <c r="A647" s="194">
        <v>8740</v>
      </c>
      <c r="B647" s="198" t="s">
        <v>658</v>
      </c>
      <c r="C647" s="180">
        <f>CA71</f>
        <v>467306.25950000004</v>
      </c>
      <c r="D647" s="180">
        <f>(D615/D612)*CA76</f>
        <v>0</v>
      </c>
      <c r="E647" s="180">
        <f>(E623/E612)*SUM(C647:D647)</f>
        <v>88946.873356861761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2382776.3623062512</v>
      </c>
      <c r="N647" s="197" t="s">
        <v>659</v>
      </c>
    </row>
    <row r="648" spans="1:14" ht="12.6" customHeight="1" x14ac:dyDescent="0.25">
      <c r="A648" s="194"/>
      <c r="B648" s="194"/>
      <c r="C648" s="180">
        <f>SUM(C614:C647)</f>
        <v>44034822.927640088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6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6" t="s">
        <v>599</v>
      </c>
      <c r="M667" s="181" t="s">
        <v>662</v>
      </c>
    </row>
    <row r="668" spans="1:14" ht="12.6" customHeight="1" x14ac:dyDescent="0.25">
      <c r="A668" s="194">
        <v>6010</v>
      </c>
      <c r="B668" s="196" t="s">
        <v>283</v>
      </c>
      <c r="C668" s="180">
        <f>C71</f>
        <v>6739971.9700000007</v>
      </c>
      <c r="D668" s="180">
        <f>(D615/D612)*C76</f>
        <v>721835.85035370186</v>
      </c>
      <c r="E668" s="180">
        <f>(E623/E612)*SUM(C668:D668)</f>
        <v>1420277.3057659876</v>
      </c>
      <c r="F668" s="180">
        <f>(F624/F612)*C64</f>
        <v>0</v>
      </c>
      <c r="G668" s="180">
        <f>(G625/G612)*C77</f>
        <v>9276.6218496076945</v>
      </c>
      <c r="H668" s="180">
        <f>(H628/H612)*C60</f>
        <v>405788.05581460148</v>
      </c>
      <c r="I668" s="180">
        <f>(I629/I612)*C78</f>
        <v>195098.78083190107</v>
      </c>
      <c r="J668" s="180">
        <f>(J630/J612)*C79</f>
        <v>32894.601033375176</v>
      </c>
      <c r="K668" s="180">
        <f>(K644/K612)*C75</f>
        <v>287225.22970078286</v>
      </c>
      <c r="L668" s="180">
        <f>(L647/L612)*C80</f>
        <v>385027.01748006738</v>
      </c>
      <c r="M668" s="180">
        <f t="shared" ref="M668:M713" si="20">ROUND(SUM(D668:L668),0)</f>
        <v>3457423</v>
      </c>
      <c r="N668" s="196" t="s">
        <v>663</v>
      </c>
    </row>
    <row r="669" spans="1:14" ht="12.6" customHeight="1" x14ac:dyDescent="0.25">
      <c r="A669" s="194">
        <v>6030</v>
      </c>
      <c r="B669" s="196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6" t="s">
        <v>664</v>
      </c>
    </row>
    <row r="670" spans="1:14" ht="12.6" customHeight="1" x14ac:dyDescent="0.25">
      <c r="A670" s="194">
        <v>6070</v>
      </c>
      <c r="B670" s="196" t="s">
        <v>665</v>
      </c>
      <c r="C670" s="180">
        <f>E71</f>
        <v>10746701.619999999</v>
      </c>
      <c r="D670" s="180">
        <f>(D615/D612)*E76</f>
        <v>3016214.7110534683</v>
      </c>
      <c r="E670" s="180">
        <f>(E623/E612)*SUM(C670:D670)</f>
        <v>2619627.6018838501</v>
      </c>
      <c r="F670" s="180">
        <f>(F624/F612)*E64</f>
        <v>0</v>
      </c>
      <c r="G670" s="180">
        <f>(G625/G612)*E77</f>
        <v>81002.863499042156</v>
      </c>
      <c r="H670" s="180">
        <f>(H628/H612)*E60</f>
        <v>1394475.5998908579</v>
      </c>
      <c r="I670" s="180">
        <f>(I629/I612)*E78</f>
        <v>815226.63714392844</v>
      </c>
      <c r="J670" s="180">
        <f>(J630/J612)*E79</f>
        <v>118983.55200189543</v>
      </c>
      <c r="K670" s="180">
        <f>(K644/K612)*E75</f>
        <v>631077.31319436117</v>
      </c>
      <c r="L670" s="180">
        <f>(L647/L612)*E80</f>
        <v>1196085.1404328265</v>
      </c>
      <c r="M670" s="180">
        <f t="shared" si="20"/>
        <v>9872693</v>
      </c>
      <c r="N670" s="196" t="s">
        <v>666</v>
      </c>
    </row>
    <row r="671" spans="1:14" ht="12.6" customHeight="1" x14ac:dyDescent="0.25">
      <c r="A671" s="194">
        <v>6100</v>
      </c>
      <c r="B671" s="196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6" t="s">
        <v>668</v>
      </c>
    </row>
    <row r="672" spans="1:14" ht="12.6" customHeight="1" x14ac:dyDescent="0.25">
      <c r="A672" s="194">
        <v>6120</v>
      </c>
      <c r="B672" s="196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6" t="s">
        <v>670</v>
      </c>
    </row>
    <row r="673" spans="1:14" ht="12.6" customHeight="1" x14ac:dyDescent="0.25">
      <c r="A673" s="194">
        <v>6140</v>
      </c>
      <c r="B673" s="196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6" t="s">
        <v>672</v>
      </c>
    </row>
    <row r="674" spans="1:14" ht="12.6" customHeight="1" x14ac:dyDescent="0.25">
      <c r="A674" s="194">
        <v>6150</v>
      </c>
      <c r="B674" s="196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6" t="s">
        <v>674</v>
      </c>
    </row>
    <row r="675" spans="1:14" ht="12.6" customHeight="1" x14ac:dyDescent="0.25">
      <c r="A675" s="194">
        <v>6170</v>
      </c>
      <c r="B675" s="196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6" t="s">
        <v>675</v>
      </c>
    </row>
    <row r="676" spans="1:14" ht="12.6" customHeight="1" x14ac:dyDescent="0.25">
      <c r="A676" s="194">
        <v>6200</v>
      </c>
      <c r="B676" s="196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6" t="s">
        <v>676</v>
      </c>
    </row>
    <row r="677" spans="1:14" ht="12.6" customHeight="1" x14ac:dyDescent="0.25">
      <c r="A677" s="194">
        <v>6210</v>
      </c>
      <c r="B677" s="196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6" t="s">
        <v>677</v>
      </c>
    </row>
    <row r="678" spans="1:14" ht="12.6" customHeight="1" x14ac:dyDescent="0.25">
      <c r="A678" s="194">
        <v>6330</v>
      </c>
      <c r="B678" s="196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6" t="s">
        <v>679</v>
      </c>
    </row>
    <row r="679" spans="1:14" ht="12.6" customHeight="1" x14ac:dyDescent="0.25">
      <c r="A679" s="194">
        <v>6400</v>
      </c>
      <c r="B679" s="196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6" t="s">
        <v>681</v>
      </c>
    </row>
    <row r="680" spans="1:14" ht="12.6" customHeight="1" x14ac:dyDescent="0.25">
      <c r="A680" s="194">
        <v>7010</v>
      </c>
      <c r="B680" s="196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6" t="s">
        <v>683</v>
      </c>
    </row>
    <row r="681" spans="1:14" ht="12.6" customHeight="1" x14ac:dyDescent="0.25">
      <c r="A681" s="194">
        <v>7020</v>
      </c>
      <c r="B681" s="196" t="s">
        <v>684</v>
      </c>
      <c r="C681" s="180">
        <f>P71</f>
        <v>26762420.380002581</v>
      </c>
      <c r="D681" s="180">
        <f>(D615/D612)*P76</f>
        <v>1456952.5672943338</v>
      </c>
      <c r="E681" s="180">
        <f>(E623/E612)*SUM(C681:D681)</f>
        <v>5371263.3647126853</v>
      </c>
      <c r="F681" s="180">
        <f>(F624/F612)*P64</f>
        <v>0</v>
      </c>
      <c r="G681" s="180">
        <f>(G625/G612)*P77</f>
        <v>0</v>
      </c>
      <c r="H681" s="180">
        <f>(H628/H612)*P60</f>
        <v>333635.19729055051</v>
      </c>
      <c r="I681" s="180">
        <f>(I629/I612)*P78</f>
        <v>393787.13244811771</v>
      </c>
      <c r="J681" s="180">
        <f>(J630/J612)*P79</f>
        <v>38527.476479563418</v>
      </c>
      <c r="K681" s="180">
        <f>(K644/K612)*P75</f>
        <v>2844587.4494379563</v>
      </c>
      <c r="L681" s="180">
        <f>(L647/L612)*P80</f>
        <v>177909.04997948452</v>
      </c>
      <c r="M681" s="180">
        <f t="shared" si="20"/>
        <v>10616662</v>
      </c>
      <c r="N681" s="196" t="s">
        <v>685</v>
      </c>
    </row>
    <row r="682" spans="1:14" ht="12.6" customHeight="1" x14ac:dyDescent="0.25">
      <c r="A682" s="194">
        <v>7030</v>
      </c>
      <c r="B682" s="196" t="s">
        <v>686</v>
      </c>
      <c r="C682" s="180">
        <f>Q71</f>
        <v>3458326.9</v>
      </c>
      <c r="D682" s="180">
        <f>(D615/D612)*Q76</f>
        <v>187851.63246591593</v>
      </c>
      <c r="E682" s="180">
        <f>(E623/E612)*SUM(C682:D682)</f>
        <v>694012.06076451845</v>
      </c>
      <c r="F682" s="180">
        <f>(F624/F612)*Q64</f>
        <v>0</v>
      </c>
      <c r="G682" s="180">
        <f>(G625/G612)*Q77</f>
        <v>0</v>
      </c>
      <c r="H682" s="180">
        <f>(H628/H612)*Q60</f>
        <v>225976.43385517303</v>
      </c>
      <c r="I682" s="180">
        <f>(I629/I612)*Q78</f>
        <v>50772.796132838419</v>
      </c>
      <c r="J682" s="180">
        <f>(J630/J612)*Q79</f>
        <v>0</v>
      </c>
      <c r="K682" s="180">
        <f>(K644/K612)*Q75</f>
        <v>262031.11008314538</v>
      </c>
      <c r="L682" s="180">
        <f>(L647/L612)*Q80</f>
        <v>234375.77053710751</v>
      </c>
      <c r="M682" s="180">
        <f t="shared" si="20"/>
        <v>1655020</v>
      </c>
      <c r="N682" s="196" t="s">
        <v>687</v>
      </c>
    </row>
    <row r="683" spans="1:14" ht="12.6" customHeight="1" x14ac:dyDescent="0.25">
      <c r="A683" s="194">
        <v>7040</v>
      </c>
      <c r="B683" s="196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6" t="s">
        <v>688</v>
      </c>
    </row>
    <row r="684" spans="1:14" ht="12.6" customHeight="1" x14ac:dyDescent="0.25">
      <c r="A684" s="194">
        <v>7050</v>
      </c>
      <c r="B684" s="196" t="s">
        <v>689</v>
      </c>
      <c r="C684" s="180">
        <f>S71</f>
        <v>1404845.6532321998</v>
      </c>
      <c r="D684" s="180">
        <f>(D615/D612)*S76</f>
        <v>393341.91586759861</v>
      </c>
      <c r="E684" s="180">
        <f>(E623/E612)*SUM(C684:D684)</f>
        <v>342266.25201155228</v>
      </c>
      <c r="F684" s="180">
        <f>(F624/F612)*S64</f>
        <v>0</v>
      </c>
      <c r="G684" s="180">
        <f>(G625/G612)*S77</f>
        <v>0</v>
      </c>
      <c r="H684" s="180">
        <f>(H628/H612)*S60</f>
        <v>137751.94461657698</v>
      </c>
      <c r="I684" s="180">
        <f>(I629/I612)*S78</f>
        <v>106312.99096359592</v>
      </c>
      <c r="J684" s="180">
        <f>(J630/J612)*S79</f>
        <v>1547.1890586687862</v>
      </c>
      <c r="K684" s="180">
        <f>(K644/K612)*S75</f>
        <v>0</v>
      </c>
      <c r="L684" s="180">
        <f>(L647/L612)*S80</f>
        <v>0</v>
      </c>
      <c r="M684" s="180">
        <f t="shared" si="20"/>
        <v>981220</v>
      </c>
      <c r="N684" s="196" t="s">
        <v>690</v>
      </c>
    </row>
    <row r="685" spans="1:14" ht="12.6" customHeight="1" x14ac:dyDescent="0.25">
      <c r="A685" s="194">
        <v>7060</v>
      </c>
      <c r="B685" s="196" t="s">
        <v>691</v>
      </c>
      <c r="C685" s="180">
        <f>T71</f>
        <v>709712.57</v>
      </c>
      <c r="D685" s="180">
        <f>(D615/D612)*T76</f>
        <v>0</v>
      </c>
      <c r="E685" s="180">
        <f>(E623/E612)*SUM(C685:D685)</f>
        <v>135086.38671158839</v>
      </c>
      <c r="F685" s="180">
        <f>(F624/F612)*T64</f>
        <v>0</v>
      </c>
      <c r="G685" s="180">
        <f>(G625/G612)*T77</f>
        <v>0</v>
      </c>
      <c r="H685" s="180">
        <f>(H628/H612)*T60</f>
        <v>41248.815596260909</v>
      </c>
      <c r="I685" s="180">
        <f>(I629/I612)*T78</f>
        <v>0</v>
      </c>
      <c r="J685" s="180">
        <f>(J630/J612)*T79</f>
        <v>0</v>
      </c>
      <c r="K685" s="180">
        <f>(K644/K612)*T75</f>
        <v>61363.096976469169</v>
      </c>
      <c r="L685" s="180">
        <f>(L647/L612)*T80</f>
        <v>56131.598789251591</v>
      </c>
      <c r="M685" s="180">
        <f t="shared" si="20"/>
        <v>293830</v>
      </c>
      <c r="N685" s="196" t="s">
        <v>692</v>
      </c>
    </row>
    <row r="686" spans="1:14" ht="12.6" customHeight="1" x14ac:dyDescent="0.25">
      <c r="A686" s="194">
        <v>7070</v>
      </c>
      <c r="B686" s="196" t="s">
        <v>109</v>
      </c>
      <c r="C686" s="180">
        <f>U71</f>
        <v>3628721.31</v>
      </c>
      <c r="D686" s="180">
        <f>(D615/D612)*U76</f>
        <v>378452.81934240728</v>
      </c>
      <c r="E686" s="180">
        <f>(E623/E612)*SUM(C686:D686)</f>
        <v>762723.80811434833</v>
      </c>
      <c r="F686" s="180">
        <f>(F624/F612)*U64</f>
        <v>0</v>
      </c>
      <c r="G686" s="180">
        <f>(G625/G612)*U77</f>
        <v>0</v>
      </c>
      <c r="H686" s="180">
        <f>(H628/H612)*U60</f>
        <v>179321.99386484432</v>
      </c>
      <c r="I686" s="180">
        <f>(I629/I612)*U78</f>
        <v>102288.74559211716</v>
      </c>
      <c r="J686" s="180">
        <f>(J630/J612)*U79</f>
        <v>0</v>
      </c>
      <c r="K686" s="180">
        <f>(K644/K612)*U75</f>
        <v>453330.96731666778</v>
      </c>
      <c r="L686" s="180">
        <f>(L647/L612)*U80</f>
        <v>0</v>
      </c>
      <c r="M686" s="180">
        <f t="shared" si="20"/>
        <v>1876118</v>
      </c>
      <c r="N686" s="196" t="s">
        <v>693</v>
      </c>
    </row>
    <row r="687" spans="1:14" ht="12.6" customHeight="1" x14ac:dyDescent="0.25">
      <c r="A687" s="194">
        <v>7110</v>
      </c>
      <c r="B687" s="196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6" t="s">
        <v>695</v>
      </c>
    </row>
    <row r="688" spans="1:14" ht="12.6" customHeight="1" x14ac:dyDescent="0.25">
      <c r="A688" s="194">
        <v>7120</v>
      </c>
      <c r="B688" s="196" t="s">
        <v>696</v>
      </c>
      <c r="C688" s="180">
        <f>W71</f>
        <v>531010.44999999995</v>
      </c>
      <c r="D688" s="180">
        <f>(D615/D612)*W76</f>
        <v>57066.223615715971</v>
      </c>
      <c r="E688" s="180">
        <f>(E623/E612)*SUM(C688:D688)</f>
        <v>111934.26227200282</v>
      </c>
      <c r="F688" s="180">
        <f>(F624/F612)*W64</f>
        <v>0</v>
      </c>
      <c r="G688" s="180">
        <f>(G625/G612)*W77</f>
        <v>0</v>
      </c>
      <c r="H688" s="180">
        <f>(H628/H612)*W60</f>
        <v>26049.679717789029</v>
      </c>
      <c r="I688" s="180">
        <f>(I629/I612)*W78</f>
        <v>15423.936963855913</v>
      </c>
      <c r="J688" s="180">
        <f>(J630/J612)*W79</f>
        <v>0</v>
      </c>
      <c r="K688" s="180">
        <f>(K644/K612)*W75</f>
        <v>183021.73604948231</v>
      </c>
      <c r="L688" s="180">
        <f>(L647/L612)*W80</f>
        <v>0</v>
      </c>
      <c r="M688" s="180">
        <f t="shared" si="20"/>
        <v>393496</v>
      </c>
      <c r="N688" s="196" t="s">
        <v>697</v>
      </c>
    </row>
    <row r="689" spans="1:14" ht="12.6" customHeight="1" x14ac:dyDescent="0.25">
      <c r="A689" s="194">
        <v>7130</v>
      </c>
      <c r="B689" s="196" t="s">
        <v>698</v>
      </c>
      <c r="C689" s="180">
        <f>X71</f>
        <v>1025321.3099999999</v>
      </c>
      <c r="D689" s="180">
        <f>(D615/D612)*X76</f>
        <v>50633.303862671622</v>
      </c>
      <c r="E689" s="180">
        <f>(E623/E612)*SUM(C689:D689)</f>
        <v>204796.74053451052</v>
      </c>
      <c r="F689" s="180">
        <f>(F624/F612)*X64</f>
        <v>0</v>
      </c>
      <c r="G689" s="180">
        <f>(G625/G612)*X77</f>
        <v>0</v>
      </c>
      <c r="H689" s="180">
        <f>(H628/H612)*X60</f>
        <v>60190.522482892266</v>
      </c>
      <c r="I689" s="180">
        <f>(I629/I612)*X78</f>
        <v>13685.238615203063</v>
      </c>
      <c r="J689" s="180">
        <f>(J630/J612)*X79</f>
        <v>0</v>
      </c>
      <c r="K689" s="180">
        <f>(K644/K612)*X75</f>
        <v>839423.88336756418</v>
      </c>
      <c r="L689" s="180">
        <f>(L647/L612)*X80</f>
        <v>0</v>
      </c>
      <c r="M689" s="180">
        <f t="shared" si="20"/>
        <v>1168730</v>
      </c>
      <c r="N689" s="196" t="s">
        <v>699</v>
      </c>
    </row>
    <row r="690" spans="1:14" ht="12.6" customHeight="1" x14ac:dyDescent="0.25">
      <c r="A690" s="194">
        <v>7140</v>
      </c>
      <c r="B690" s="196" t="s">
        <v>1250</v>
      </c>
      <c r="C690" s="180">
        <f>Y71</f>
        <v>3737832.3499999996</v>
      </c>
      <c r="D690" s="180">
        <f>(D615/D612)*Y76</f>
        <v>777812.62788220868</v>
      </c>
      <c r="E690" s="180">
        <f>(E623/E612)*SUM(C690:D690)</f>
        <v>859505.93172449805</v>
      </c>
      <c r="F690" s="180">
        <f>(F624/F612)*Y64</f>
        <v>0</v>
      </c>
      <c r="G690" s="180">
        <f>(G625/G612)*Y77</f>
        <v>0</v>
      </c>
      <c r="H690" s="180">
        <f>(H628/H612)*Y60</f>
        <v>200918.67156283633</v>
      </c>
      <c r="I690" s="180">
        <f>(I629/I612)*Y78</f>
        <v>210228.26081735609</v>
      </c>
      <c r="J690" s="180">
        <f>(J630/J612)*Y79</f>
        <v>22491.101296760662</v>
      </c>
      <c r="K690" s="180">
        <f>(K644/K612)*Y75</f>
        <v>376883.46928856039</v>
      </c>
      <c r="L690" s="180">
        <f>(L647/L612)*Y80</f>
        <v>6.4870648155522845</v>
      </c>
      <c r="M690" s="180">
        <f t="shared" si="20"/>
        <v>2447847</v>
      </c>
      <c r="N690" s="196" t="s">
        <v>700</v>
      </c>
    </row>
    <row r="691" spans="1:14" ht="12.6" customHeight="1" x14ac:dyDescent="0.25">
      <c r="A691" s="194">
        <v>7150</v>
      </c>
      <c r="B691" s="196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6" t="s">
        <v>702</v>
      </c>
    </row>
    <row r="692" spans="1:14" ht="12.6" customHeight="1" x14ac:dyDescent="0.25">
      <c r="A692" s="194">
        <v>7160</v>
      </c>
      <c r="B692" s="196" t="s">
        <v>703</v>
      </c>
      <c r="C692" s="180">
        <f>AA71</f>
        <v>654432.50000000012</v>
      </c>
      <c r="D692" s="180">
        <f>(D615/D612)*AA76</f>
        <v>0</v>
      </c>
      <c r="E692" s="180">
        <f>(E623/E612)*SUM(C692:D692)</f>
        <v>124564.40185585496</v>
      </c>
      <c r="F692" s="180">
        <f>(F624/F612)*AA64</f>
        <v>0</v>
      </c>
      <c r="G692" s="180">
        <f>(G625/G612)*AA77</f>
        <v>0</v>
      </c>
      <c r="H692" s="180">
        <f>(H628/H612)*AA60</f>
        <v>23776.942586103276</v>
      </c>
      <c r="I692" s="180">
        <f>(I629/I612)*AA78</f>
        <v>0</v>
      </c>
      <c r="J692" s="180">
        <f>(J630/J612)*AA79</f>
        <v>0</v>
      </c>
      <c r="K692" s="180">
        <f>(K644/K612)*AA75</f>
        <v>97313.898343682653</v>
      </c>
      <c r="L692" s="180">
        <f>(L647/L612)*AA80</f>
        <v>0</v>
      </c>
      <c r="M692" s="180">
        <f t="shared" si="20"/>
        <v>245655</v>
      </c>
      <c r="N692" s="196" t="s">
        <v>704</v>
      </c>
    </row>
    <row r="693" spans="1:14" ht="12.6" customHeight="1" x14ac:dyDescent="0.25">
      <c r="A693" s="194">
        <v>7170</v>
      </c>
      <c r="B693" s="196" t="s">
        <v>115</v>
      </c>
      <c r="C693" s="180">
        <f>AB71</f>
        <v>9151921.9600000009</v>
      </c>
      <c r="D693" s="180">
        <f>(D615/D612)*AB76</f>
        <v>147075.22177323161</v>
      </c>
      <c r="E693" s="180">
        <f>(E623/E612)*SUM(C693:D693)</f>
        <v>1769967.1422291275</v>
      </c>
      <c r="F693" s="180">
        <f>(F624/F612)*AB64</f>
        <v>0</v>
      </c>
      <c r="G693" s="180">
        <f>(G625/G612)*AB77</f>
        <v>0</v>
      </c>
      <c r="H693" s="180">
        <f>(H628/H612)*AB60</f>
        <v>223361.75290641619</v>
      </c>
      <c r="I693" s="180">
        <f>(I629/I612)*AB78</f>
        <v>39751.692084119553</v>
      </c>
      <c r="J693" s="180">
        <f>(J630/J612)*AB79</f>
        <v>0</v>
      </c>
      <c r="K693" s="180">
        <f>(K644/K612)*AB75</f>
        <v>1255980.1065537499</v>
      </c>
      <c r="L693" s="180">
        <f>(L647/L612)*AB80</f>
        <v>0</v>
      </c>
      <c r="M693" s="180">
        <f t="shared" si="20"/>
        <v>3436136</v>
      </c>
      <c r="N693" s="196" t="s">
        <v>705</v>
      </c>
    </row>
    <row r="694" spans="1:14" ht="12.6" customHeight="1" x14ac:dyDescent="0.25">
      <c r="A694" s="194">
        <v>7180</v>
      </c>
      <c r="B694" s="196" t="s">
        <v>706</v>
      </c>
      <c r="C694" s="180">
        <f>AC71</f>
        <v>1601399.1199999996</v>
      </c>
      <c r="D694" s="180">
        <f>(D615/D612)*AC76</f>
        <v>34084.099014113992</v>
      </c>
      <c r="E694" s="180">
        <f>(E623/E612)*SUM(C694:D694)</f>
        <v>311297.17567782965</v>
      </c>
      <c r="F694" s="180">
        <f>(F624/F612)*AC64</f>
        <v>0</v>
      </c>
      <c r="G694" s="180">
        <f>(G625/G612)*AC77</f>
        <v>0</v>
      </c>
      <c r="H694" s="180">
        <f>(H628/H612)*AC60</f>
        <v>120405.64393913637</v>
      </c>
      <c r="I694" s="180">
        <f>(I629/I612)*AC78</f>
        <v>9212.2968956848508</v>
      </c>
      <c r="J694" s="180">
        <f>(J630/J612)*AC79</f>
        <v>0</v>
      </c>
      <c r="K694" s="180">
        <f>(K644/K612)*AC75</f>
        <v>223554.09708600916</v>
      </c>
      <c r="L694" s="180">
        <f>(L647/L612)*AC80</f>
        <v>0</v>
      </c>
      <c r="M694" s="180">
        <f t="shared" si="20"/>
        <v>698553</v>
      </c>
      <c r="N694" s="196" t="s">
        <v>707</v>
      </c>
    </row>
    <row r="695" spans="1:14" ht="12.6" customHeight="1" x14ac:dyDescent="0.25">
      <c r="A695" s="194">
        <v>7190</v>
      </c>
      <c r="B695" s="196" t="s">
        <v>117</v>
      </c>
      <c r="C695" s="180">
        <f>AD71</f>
        <v>477740.73000000004</v>
      </c>
      <c r="D695" s="180">
        <f>(D615/D612)*AD76</f>
        <v>0</v>
      </c>
      <c r="E695" s="180">
        <f>(E623/E612)*SUM(C695:D695)</f>
        <v>90932.966004331232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18565.769814503314</v>
      </c>
      <c r="L695" s="180">
        <f>(L647/L612)*AD80</f>
        <v>0</v>
      </c>
      <c r="M695" s="180">
        <f t="shared" si="20"/>
        <v>109499</v>
      </c>
      <c r="N695" s="196" t="s">
        <v>708</v>
      </c>
    </row>
    <row r="696" spans="1:14" ht="12.6" customHeight="1" x14ac:dyDescent="0.25">
      <c r="A696" s="194">
        <v>7200</v>
      </c>
      <c r="B696" s="196" t="s">
        <v>709</v>
      </c>
      <c r="C696" s="180">
        <f>AE71</f>
        <v>1550840.94</v>
      </c>
      <c r="D696" s="180">
        <f>(D615/D612)*AE76</f>
        <v>300998.39038034913</v>
      </c>
      <c r="E696" s="180">
        <f>(E623/E612)*SUM(C696:D696)</f>
        <v>352478.30528278335</v>
      </c>
      <c r="F696" s="180">
        <f>(F624/F612)*AE64</f>
        <v>0</v>
      </c>
      <c r="G696" s="180">
        <f>(G625/G612)*AE77</f>
        <v>0</v>
      </c>
      <c r="H696" s="180">
        <f>(H628/H612)*AE60</f>
        <v>98900.443673296541</v>
      </c>
      <c r="I696" s="180">
        <f>(I629/I612)*AE78</f>
        <v>81354.256603901827</v>
      </c>
      <c r="J696" s="180">
        <f>(J630/J612)*AE79</f>
        <v>3170.6901502119517</v>
      </c>
      <c r="K696" s="180">
        <f>(K644/K612)*AE75</f>
        <v>86278.069407423493</v>
      </c>
      <c r="L696" s="180">
        <f>(L647/L612)*AE80</f>
        <v>0</v>
      </c>
      <c r="M696" s="180">
        <f t="shared" si="20"/>
        <v>923180</v>
      </c>
      <c r="N696" s="196" t="s">
        <v>710</v>
      </c>
    </row>
    <row r="697" spans="1:14" ht="12.6" customHeight="1" x14ac:dyDescent="0.25">
      <c r="A697" s="194">
        <v>7220</v>
      </c>
      <c r="B697" s="196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6" t="s">
        <v>712</v>
      </c>
    </row>
    <row r="698" spans="1:14" ht="12.6" customHeight="1" x14ac:dyDescent="0.25">
      <c r="A698" s="194">
        <v>7230</v>
      </c>
      <c r="B698" s="196" t="s">
        <v>713</v>
      </c>
      <c r="C698" s="180">
        <f>AG71</f>
        <v>7821817.8899999987</v>
      </c>
      <c r="D698" s="180">
        <f>(D615/D612)*AG76</f>
        <v>804374.36105606914</v>
      </c>
      <c r="E698" s="180">
        <f>(E623/E612)*SUM(C698:D698)</f>
        <v>1641905.7397766919</v>
      </c>
      <c r="F698" s="180">
        <f>(F624/F612)*AG64</f>
        <v>0</v>
      </c>
      <c r="G698" s="180">
        <f>(G625/G612)*AG77</f>
        <v>2916.899079969387</v>
      </c>
      <c r="H698" s="180">
        <f>(H628/H612)*AG60</f>
        <v>380421.81154394441</v>
      </c>
      <c r="I698" s="180">
        <f>(I629/I612)*AG78</f>
        <v>217407.4023859872</v>
      </c>
      <c r="J698" s="180">
        <f>(J630/J612)*AG79</f>
        <v>64231.164728898439</v>
      </c>
      <c r="K698" s="180">
        <f>(K644/K612)*AG75</f>
        <v>1157459.4128020629</v>
      </c>
      <c r="L698" s="180">
        <f>(L647/L612)*AG80</f>
        <v>295673.60287481674</v>
      </c>
      <c r="M698" s="180">
        <f t="shared" si="20"/>
        <v>4564390</v>
      </c>
      <c r="N698" s="196" t="s">
        <v>714</v>
      </c>
    </row>
    <row r="699" spans="1:14" ht="12.6" customHeight="1" x14ac:dyDescent="0.25">
      <c r="A699" s="194">
        <v>7240</v>
      </c>
      <c r="B699" s="196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6" t="s">
        <v>715</v>
      </c>
    </row>
    <row r="700" spans="1:14" ht="12.6" customHeight="1" x14ac:dyDescent="0.25">
      <c r="A700" s="194">
        <v>7250</v>
      </c>
      <c r="B700" s="196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6" t="s">
        <v>717</v>
      </c>
    </row>
    <row r="701" spans="1:14" ht="12.6" customHeight="1" x14ac:dyDescent="0.25">
      <c r="A701" s="194">
        <v>7260</v>
      </c>
      <c r="B701" s="196" t="s">
        <v>121</v>
      </c>
      <c r="C701" s="180">
        <f>AJ71</f>
        <v>1469175.06</v>
      </c>
      <c r="D701" s="180">
        <f>(D615/D612)*AJ76</f>
        <v>0</v>
      </c>
      <c r="E701" s="180">
        <f>(E623/E612)*SUM(C701:D701)</f>
        <v>279642.15189563442</v>
      </c>
      <c r="F701" s="180">
        <f>(F624/F612)*AJ64</f>
        <v>0</v>
      </c>
      <c r="G701" s="180">
        <f>(G625/G612)*AJ77</f>
        <v>0</v>
      </c>
      <c r="H701" s="180">
        <f>(H628/H612)*AJ60</f>
        <v>43201.087793857478</v>
      </c>
      <c r="I701" s="180">
        <f>(I629/I612)*AJ78</f>
        <v>0</v>
      </c>
      <c r="J701" s="180">
        <f>(J630/J612)*AJ79</f>
        <v>0</v>
      </c>
      <c r="K701" s="180">
        <f>(K644/K612)*AJ75</f>
        <v>31891.917395423119</v>
      </c>
      <c r="L701" s="180">
        <f>(L647/L612)*AJ80</f>
        <v>35478.146700144382</v>
      </c>
      <c r="M701" s="180">
        <f t="shared" si="20"/>
        <v>390213</v>
      </c>
      <c r="N701" s="196" t="s">
        <v>718</v>
      </c>
    </row>
    <row r="702" spans="1:14" ht="12.6" customHeight="1" x14ac:dyDescent="0.25">
      <c r="A702" s="194">
        <v>7310</v>
      </c>
      <c r="B702" s="196" t="s">
        <v>719</v>
      </c>
      <c r="C702" s="180">
        <f>AK71</f>
        <v>420932.84</v>
      </c>
      <c r="D702" s="180">
        <f>(D615/D612)*AK76</f>
        <v>0</v>
      </c>
      <c r="E702" s="180">
        <f>(E623/E612)*SUM(C702:D702)</f>
        <v>80120.176543931258</v>
      </c>
      <c r="F702" s="180">
        <f>(F624/F612)*AK64</f>
        <v>0</v>
      </c>
      <c r="G702" s="180">
        <f>(G625/G612)*AK77</f>
        <v>0</v>
      </c>
      <c r="H702" s="180">
        <f>(H628/H612)*AK60</f>
        <v>24783.103902375129</v>
      </c>
      <c r="I702" s="180">
        <f>(I629/I612)*AK78</f>
        <v>0</v>
      </c>
      <c r="J702" s="180">
        <f>(J630/J612)*AK79</f>
        <v>0</v>
      </c>
      <c r="K702" s="180">
        <f>(K644/K612)*AK75</f>
        <v>22778.261997593101</v>
      </c>
      <c r="L702" s="180">
        <f>(L647/L612)*AK80</f>
        <v>0</v>
      </c>
      <c r="M702" s="180">
        <f t="shared" si="20"/>
        <v>127682</v>
      </c>
      <c r="N702" s="196" t="s">
        <v>720</v>
      </c>
    </row>
    <row r="703" spans="1:14" ht="12.6" customHeight="1" x14ac:dyDescent="0.25">
      <c r="A703" s="194">
        <v>7320</v>
      </c>
      <c r="B703" s="196" t="s">
        <v>721</v>
      </c>
      <c r="C703" s="180">
        <f>AL71</f>
        <v>96779.680000000008</v>
      </c>
      <c r="D703" s="180">
        <f>(D615/D612)*AL76</f>
        <v>0</v>
      </c>
      <c r="E703" s="180">
        <f>(E623/E612)*SUM(C703:D703)</f>
        <v>18421.00285514709</v>
      </c>
      <c r="F703" s="180">
        <f>(F624/F612)*AL64</f>
        <v>0</v>
      </c>
      <c r="G703" s="180">
        <f>(G625/G612)*AL77</f>
        <v>0</v>
      </c>
      <c r="H703" s="180">
        <f>(H628/H612)*AL60</f>
        <v>7596.741770422539</v>
      </c>
      <c r="I703" s="180">
        <f>(I629/I612)*AL78</f>
        <v>0</v>
      </c>
      <c r="J703" s="180">
        <f>(J630/J612)*AL79</f>
        <v>0</v>
      </c>
      <c r="K703" s="180">
        <f>(K644/K612)*AL75</f>
        <v>7102.0102916450787</v>
      </c>
      <c r="L703" s="180">
        <f>(L647/L612)*AL80</f>
        <v>0</v>
      </c>
      <c r="M703" s="180">
        <f t="shared" si="20"/>
        <v>33120</v>
      </c>
      <c r="N703" s="196" t="s">
        <v>722</v>
      </c>
    </row>
    <row r="704" spans="1:14" ht="12.6" customHeight="1" x14ac:dyDescent="0.25">
      <c r="A704" s="194">
        <v>7330</v>
      </c>
      <c r="B704" s="196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6" t="s">
        <v>724</v>
      </c>
    </row>
    <row r="705" spans="1:83" ht="12.6" customHeight="1" x14ac:dyDescent="0.25">
      <c r="A705" s="194">
        <v>7340</v>
      </c>
      <c r="B705" s="196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6" t="s">
        <v>726</v>
      </c>
    </row>
    <row r="706" spans="1:83" ht="12.6" customHeight="1" x14ac:dyDescent="0.25">
      <c r="A706" s="194">
        <v>7350</v>
      </c>
      <c r="B706" s="196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6" t="s">
        <v>728</v>
      </c>
    </row>
    <row r="707" spans="1:83" ht="12.6" customHeight="1" x14ac:dyDescent="0.25">
      <c r="A707" s="194">
        <v>7380</v>
      </c>
      <c r="B707" s="196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6" t="s">
        <v>730</v>
      </c>
    </row>
    <row r="708" spans="1:83" ht="12.6" customHeight="1" x14ac:dyDescent="0.25">
      <c r="A708" s="194">
        <v>7390</v>
      </c>
      <c r="B708" s="196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6" t="s">
        <v>732</v>
      </c>
    </row>
    <row r="709" spans="1:83" ht="12.6" customHeight="1" x14ac:dyDescent="0.25">
      <c r="A709" s="194">
        <v>7400</v>
      </c>
      <c r="B709" s="196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6" t="s">
        <v>734</v>
      </c>
    </row>
    <row r="710" spans="1:83" ht="12.6" customHeight="1" x14ac:dyDescent="0.25">
      <c r="A710" s="194">
        <v>7410</v>
      </c>
      <c r="B710" s="196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6" t="s">
        <v>735</v>
      </c>
    </row>
    <row r="711" spans="1:83" ht="12.6" customHeight="1" x14ac:dyDescent="0.25">
      <c r="A711" s="194">
        <v>7420</v>
      </c>
      <c r="B711" s="196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6" t="s">
        <v>737</v>
      </c>
    </row>
    <row r="712" spans="1:83" ht="12.6" customHeight="1" x14ac:dyDescent="0.25">
      <c r="A712" s="194">
        <v>7430</v>
      </c>
      <c r="B712" s="196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6" t="s">
        <v>739</v>
      </c>
    </row>
    <row r="713" spans="1:83" ht="12.6" customHeight="1" x14ac:dyDescent="0.25">
      <c r="A713" s="194">
        <v>7490</v>
      </c>
      <c r="B713" s="196" t="s">
        <v>740</v>
      </c>
      <c r="C713" s="180">
        <f>AV71</f>
        <v>3592062.0153999999</v>
      </c>
      <c r="D713" s="180">
        <f>(D615/D612)*AV76</f>
        <v>0</v>
      </c>
      <c r="E713" s="180">
        <f>(E623/E612)*SUM(C713:D713)</f>
        <v>683711.54607608542</v>
      </c>
      <c r="F713" s="180">
        <f>(F624/F612)*AV64</f>
        <v>0</v>
      </c>
      <c r="G713" s="180">
        <f>(G625/G612)*AV77</f>
        <v>0</v>
      </c>
      <c r="H713" s="180">
        <f>(H628/H612)*AV60</f>
        <v>21981.081875315587</v>
      </c>
      <c r="I713" s="180">
        <f>(I629/I612)*AV78</f>
        <v>0</v>
      </c>
      <c r="J713" s="180">
        <f>(J630/J612)*AV79</f>
        <v>20.200243996159202</v>
      </c>
      <c r="K713" s="180">
        <f>(K644/K612)*AV75</f>
        <v>35552.667988162968</v>
      </c>
      <c r="L713" s="180">
        <f>(L647/L612)*AV80</f>
        <v>2089.5484477375462</v>
      </c>
      <c r="M713" s="180">
        <f t="shared" si="20"/>
        <v>743355</v>
      </c>
      <c r="N713" s="197" t="s">
        <v>741</v>
      </c>
    </row>
    <row r="715" spans="1:83" ht="12.6" customHeight="1" x14ac:dyDescent="0.25">
      <c r="C715" s="180">
        <f>SUM(C614:C647)+SUM(C668:C713)</f>
        <v>129616790.1762749</v>
      </c>
      <c r="D715" s="180">
        <f>SUM(D616:D647)+SUM(D668:D713)</f>
        <v>13842597.384199996</v>
      </c>
      <c r="E715" s="180">
        <f>SUM(E624:E647)+SUM(E668:E713)</f>
        <v>20726190.181653775</v>
      </c>
      <c r="F715" s="180">
        <f>SUM(F625:F648)+SUM(F668:F713)</f>
        <v>0</v>
      </c>
      <c r="G715" s="180">
        <f>SUM(G626:G647)+SUM(G668:G713)</f>
        <v>93196.384428619232</v>
      </c>
      <c r="H715" s="180">
        <f>SUM(H629:H647)+SUM(H668:H713)</f>
        <v>4346465.5845208261</v>
      </c>
      <c r="I715" s="180">
        <f>SUM(I630:I647)+SUM(I668:I713)</f>
        <v>2287525.5509092323</v>
      </c>
      <c r="J715" s="180">
        <f>SUM(J631:J647)+SUM(J668:J713)</f>
        <v>281865.97499337007</v>
      </c>
      <c r="K715" s="180">
        <f>SUM(K668:K713)</f>
        <v>8875420.4670952465</v>
      </c>
      <c r="L715" s="180">
        <f>SUM(L668:L713)</f>
        <v>2382776.3623062517</v>
      </c>
      <c r="M715" s="180">
        <f>SUM(M668:M713)</f>
        <v>44034822</v>
      </c>
      <c r="N715" s="196" t="s">
        <v>742</v>
      </c>
    </row>
    <row r="716" spans="1:83" ht="12.6" customHeight="1" x14ac:dyDescent="0.25">
      <c r="C716" s="180">
        <f>CE71</f>
        <v>129616790.17627487</v>
      </c>
      <c r="D716" s="180">
        <f>D615</f>
        <v>13842597.384199999</v>
      </c>
      <c r="E716" s="180">
        <f>E623</f>
        <v>20726190.18165379</v>
      </c>
      <c r="F716" s="180">
        <f>F624</f>
        <v>0</v>
      </c>
      <c r="G716" s="180">
        <f>G625</f>
        <v>93196.384428619232</v>
      </c>
      <c r="H716" s="180">
        <f>H628</f>
        <v>4346465.5845208261</v>
      </c>
      <c r="I716" s="180">
        <f>I629</f>
        <v>2287525.5509092328</v>
      </c>
      <c r="J716" s="180">
        <f>J630</f>
        <v>281865.97499337001</v>
      </c>
      <c r="K716" s="180">
        <f>K644</f>
        <v>8875420.4670952428</v>
      </c>
      <c r="L716" s="180">
        <f>L647</f>
        <v>2382776.3623062512</v>
      </c>
      <c r="M716" s="180">
        <f>C648</f>
        <v>44034822.927640088</v>
      </c>
      <c r="N716" s="196" t="s">
        <v>743</v>
      </c>
    </row>
    <row r="717" spans="1:83" ht="12.6" customHeight="1" x14ac:dyDescent="0.25">
      <c r="O717" s="196"/>
    </row>
    <row r="718" spans="1:83" ht="12.6" customHeight="1" x14ac:dyDescent="0.25">
      <c r="O718" s="196"/>
    </row>
    <row r="719" spans="1:83" ht="12.6" customHeight="1" x14ac:dyDescent="0.25">
      <c r="O719" s="196"/>
    </row>
    <row r="720" spans="1:83" s="199" customFormat="1" ht="12.6" customHeight="1" x14ac:dyDescent="0.25">
      <c r="A720" s="199" t="s">
        <v>744</v>
      </c>
      <c r="B720" s="272"/>
      <c r="C720" s="272"/>
      <c r="D720" s="272"/>
      <c r="E720" s="272"/>
      <c r="F720" s="272"/>
      <c r="G720" s="272"/>
      <c r="H720" s="272"/>
      <c r="I720" s="272"/>
      <c r="J720" s="272"/>
      <c r="K720" s="272"/>
      <c r="L720" s="272"/>
      <c r="M720" s="272"/>
      <c r="N720" s="272"/>
      <c r="O720" s="272"/>
      <c r="P720" s="272"/>
      <c r="Q720" s="272"/>
      <c r="R720" s="272"/>
      <c r="S720" s="272"/>
      <c r="T720" s="272"/>
      <c r="U720" s="272"/>
      <c r="V720" s="272"/>
      <c r="W720" s="272"/>
      <c r="X720" s="272"/>
      <c r="Y720" s="272"/>
      <c r="Z720" s="272"/>
      <c r="AA720" s="272"/>
      <c r="AB720" s="272"/>
      <c r="AC720" s="272"/>
      <c r="AD720" s="272"/>
      <c r="AE720" s="272"/>
      <c r="AF720" s="272"/>
      <c r="AG720" s="272"/>
      <c r="AH720" s="272"/>
      <c r="AI720" s="272"/>
      <c r="AJ720" s="272"/>
      <c r="AK720" s="272"/>
      <c r="AL720" s="272"/>
      <c r="AM720" s="272"/>
      <c r="AN720" s="272"/>
      <c r="AO720" s="272"/>
      <c r="AP720" s="272"/>
      <c r="AQ720" s="272"/>
      <c r="AR720" s="272"/>
      <c r="AS720" s="272"/>
      <c r="AT720" s="272"/>
      <c r="AU720" s="272"/>
      <c r="AV720" s="272"/>
      <c r="AW720" s="272"/>
      <c r="AX720" s="272"/>
      <c r="AY720" s="272"/>
      <c r="AZ720" s="272"/>
      <c r="BA720" s="272"/>
      <c r="BB720" s="272"/>
      <c r="BC720" s="272"/>
      <c r="BD720" s="272"/>
      <c r="BE720" s="272"/>
      <c r="BF720" s="272"/>
      <c r="BG720" s="272"/>
      <c r="BH720" s="272"/>
      <c r="BI720" s="272"/>
      <c r="BJ720" s="272"/>
      <c r="BK720" s="272"/>
      <c r="BL720" s="272"/>
      <c r="BM720" s="272"/>
      <c r="BN720" s="272"/>
      <c r="BO720" s="272"/>
      <c r="BP720" s="272"/>
      <c r="BQ720" s="272"/>
      <c r="BR720" s="272"/>
      <c r="BS720" s="272"/>
      <c r="BT720" s="272"/>
      <c r="BU720" s="272"/>
      <c r="BV720" s="272"/>
      <c r="BW720" s="272"/>
      <c r="BX720" s="272"/>
      <c r="BY720" s="272"/>
      <c r="BZ720" s="272"/>
      <c r="CA720" s="272"/>
      <c r="CB720" s="272"/>
      <c r="CC720" s="272"/>
      <c r="CD720" s="272"/>
      <c r="CE720" s="272"/>
    </row>
    <row r="721" spans="1:84" s="201" customFormat="1" ht="12.6" customHeight="1" x14ac:dyDescent="0.25">
      <c r="A721" s="201" t="s">
        <v>745</v>
      </c>
      <c r="B721" s="201" t="s">
        <v>746</v>
      </c>
      <c r="C721" s="201" t="s">
        <v>747</v>
      </c>
      <c r="D721" s="201" t="s">
        <v>748</v>
      </c>
      <c r="E721" s="201" t="s">
        <v>749</v>
      </c>
      <c r="F721" s="201" t="s">
        <v>750</v>
      </c>
      <c r="G721" s="201" t="s">
        <v>751</v>
      </c>
      <c r="H721" s="201" t="s">
        <v>752</v>
      </c>
      <c r="I721" s="201" t="s">
        <v>753</v>
      </c>
      <c r="J721" s="201" t="s">
        <v>754</v>
      </c>
      <c r="K721" s="201" t="s">
        <v>755</v>
      </c>
      <c r="L721" s="201" t="s">
        <v>756</v>
      </c>
      <c r="M721" s="201" t="s">
        <v>757</v>
      </c>
      <c r="N721" s="201" t="s">
        <v>758</v>
      </c>
      <c r="O721" s="201" t="s">
        <v>759</v>
      </c>
      <c r="P721" s="201" t="s">
        <v>760</v>
      </c>
      <c r="Q721" s="201" t="s">
        <v>761</v>
      </c>
      <c r="R721" s="201" t="s">
        <v>762</v>
      </c>
      <c r="S721" s="201" t="s">
        <v>763</v>
      </c>
      <c r="T721" s="201" t="s">
        <v>764</v>
      </c>
      <c r="U721" s="201" t="s">
        <v>765</v>
      </c>
      <c r="V721" s="201" t="s">
        <v>766</v>
      </c>
      <c r="W721" s="201" t="s">
        <v>767</v>
      </c>
      <c r="X721" s="201" t="s">
        <v>768</v>
      </c>
      <c r="Y721" s="201" t="s">
        <v>769</v>
      </c>
      <c r="Z721" s="201" t="s">
        <v>770</v>
      </c>
      <c r="AA721" s="201" t="s">
        <v>771</v>
      </c>
      <c r="AB721" s="201" t="s">
        <v>772</v>
      </c>
      <c r="AC721" s="201" t="s">
        <v>773</v>
      </c>
      <c r="AD721" s="201" t="s">
        <v>774</v>
      </c>
      <c r="AE721" s="201" t="s">
        <v>775</v>
      </c>
      <c r="AF721" s="201" t="s">
        <v>776</v>
      </c>
      <c r="AG721" s="201" t="s">
        <v>777</v>
      </c>
      <c r="AH721" s="201" t="s">
        <v>778</v>
      </c>
      <c r="AI721" s="201" t="s">
        <v>779</v>
      </c>
      <c r="AJ721" s="201" t="s">
        <v>780</v>
      </c>
      <c r="AK721" s="201" t="s">
        <v>781</v>
      </c>
      <c r="AL721" s="201" t="s">
        <v>782</v>
      </c>
      <c r="AM721" s="201" t="s">
        <v>783</v>
      </c>
      <c r="AN721" s="201" t="s">
        <v>784</v>
      </c>
      <c r="AO721" s="201" t="s">
        <v>785</v>
      </c>
      <c r="AP721" s="201" t="s">
        <v>786</v>
      </c>
      <c r="AQ721" s="201" t="s">
        <v>787</v>
      </c>
      <c r="AR721" s="201" t="s">
        <v>788</v>
      </c>
      <c r="AS721" s="201" t="s">
        <v>789</v>
      </c>
      <c r="AT721" s="201" t="s">
        <v>790</v>
      </c>
      <c r="AU721" s="201" t="s">
        <v>791</v>
      </c>
      <c r="AV721" s="201" t="s">
        <v>792</v>
      </c>
      <c r="AW721" s="201" t="s">
        <v>793</v>
      </c>
      <c r="AX721" s="201" t="s">
        <v>794</v>
      </c>
      <c r="AY721" s="201" t="s">
        <v>795</v>
      </c>
      <c r="AZ721" s="201" t="s">
        <v>796</v>
      </c>
      <c r="BA721" s="201" t="s">
        <v>797</v>
      </c>
      <c r="BB721" s="201" t="s">
        <v>798</v>
      </c>
      <c r="BC721" s="201" t="s">
        <v>799</v>
      </c>
      <c r="BD721" s="201" t="s">
        <v>800</v>
      </c>
      <c r="BE721" s="201" t="s">
        <v>801</v>
      </c>
      <c r="BF721" s="201" t="s">
        <v>802</v>
      </c>
      <c r="BG721" s="201" t="s">
        <v>803</v>
      </c>
      <c r="BH721" s="201" t="s">
        <v>804</v>
      </c>
      <c r="BI721" s="201" t="s">
        <v>805</v>
      </c>
      <c r="BJ721" s="201" t="s">
        <v>806</v>
      </c>
      <c r="BK721" s="201" t="s">
        <v>807</v>
      </c>
      <c r="BL721" s="201" t="s">
        <v>808</v>
      </c>
      <c r="BM721" s="201" t="s">
        <v>809</v>
      </c>
      <c r="BN721" s="201" t="s">
        <v>810</v>
      </c>
      <c r="BO721" s="201" t="s">
        <v>811</v>
      </c>
      <c r="BP721" s="201" t="s">
        <v>812</v>
      </c>
      <c r="BQ721" s="201" t="s">
        <v>813</v>
      </c>
      <c r="BR721" s="201" t="s">
        <v>814</v>
      </c>
      <c r="BS721" s="201" t="s">
        <v>815</v>
      </c>
      <c r="BT721" s="201" t="s">
        <v>816</v>
      </c>
      <c r="BU721" s="201" t="s">
        <v>817</v>
      </c>
      <c r="BV721" s="201" t="s">
        <v>818</v>
      </c>
      <c r="BW721" s="201" t="s">
        <v>819</v>
      </c>
      <c r="BX721" s="201" t="s">
        <v>820</v>
      </c>
      <c r="BY721" s="201" t="s">
        <v>821</v>
      </c>
      <c r="BZ721" s="201" t="s">
        <v>822</v>
      </c>
      <c r="CA721" s="201" t="s">
        <v>823</v>
      </c>
      <c r="CB721" s="201" t="s">
        <v>824</v>
      </c>
      <c r="CC721" s="201" t="s">
        <v>825</v>
      </c>
      <c r="CD721" s="201" t="s">
        <v>1256</v>
      </c>
    </row>
    <row r="722" spans="1:84" s="199" customFormat="1" ht="12.6" customHeight="1" x14ac:dyDescent="0.25">
      <c r="A722" s="200" t="str">
        <f>RIGHT(C83,3)&amp;"*"&amp;RIGHT(C82,4)&amp;"*"&amp;"A"</f>
        <v>209*2018*A</v>
      </c>
      <c r="B722" s="272">
        <f>ROUND(C165,0)</f>
        <v>2944398</v>
      </c>
      <c r="C722" s="272">
        <f>ROUND(C166,0)</f>
        <v>21257</v>
      </c>
      <c r="D722" s="272">
        <f>ROUND(C167,0)</f>
        <v>585950</v>
      </c>
      <c r="E722" s="272">
        <f>ROUND(C168,0)</f>
        <v>4575034</v>
      </c>
      <c r="F722" s="272">
        <f>ROUND(C169,0)</f>
        <v>19425</v>
      </c>
      <c r="G722" s="272">
        <f>ROUND(C170,0)</f>
        <v>1778374</v>
      </c>
      <c r="H722" s="272">
        <f>ROUND(C171+C172,0)</f>
        <v>129612</v>
      </c>
      <c r="I722" s="272">
        <f>ROUND(C175,0)</f>
        <v>821081</v>
      </c>
      <c r="J722" s="272">
        <f>ROUND(C176,0)</f>
        <v>507646</v>
      </c>
      <c r="K722" s="272">
        <f>ROUND(C179,0)</f>
        <v>992232</v>
      </c>
      <c r="L722" s="272">
        <f>ROUND(C180,0)</f>
        <v>157673</v>
      </c>
      <c r="M722" s="272">
        <f>ROUND(C183,0)</f>
        <v>0</v>
      </c>
      <c r="N722" s="272">
        <f>ROUND(C184,0)</f>
        <v>4361905</v>
      </c>
      <c r="O722" s="272">
        <f>ROUND(C185,0)</f>
        <v>0</v>
      </c>
      <c r="P722" s="272">
        <f>ROUND(C188,0)</f>
        <v>0</v>
      </c>
      <c r="Q722" s="272">
        <f>ROUND(C189,0)</f>
        <v>2751083</v>
      </c>
      <c r="R722" s="272">
        <f>ROUND(B195,0)</f>
        <v>3531776</v>
      </c>
      <c r="S722" s="272">
        <f>ROUND(C195,0)</f>
        <v>0</v>
      </c>
      <c r="T722" s="272">
        <f>ROUND(D195,0)</f>
        <v>0</v>
      </c>
      <c r="U722" s="272">
        <f>ROUND(B196,0)</f>
        <v>2067270</v>
      </c>
      <c r="V722" s="272">
        <f>ROUND(C196,0)</f>
        <v>0</v>
      </c>
      <c r="W722" s="272">
        <f>ROUND(D196,0)</f>
        <v>0</v>
      </c>
      <c r="X722" s="272">
        <f>ROUND(B197,0)</f>
        <v>134516969</v>
      </c>
      <c r="Y722" s="272">
        <f>ROUND(C197,0)</f>
        <v>0</v>
      </c>
      <c r="Z722" s="272">
        <f>ROUND(D197,0)</f>
        <v>0</v>
      </c>
      <c r="AA722" s="272">
        <f>ROUND(B198,0)</f>
        <v>2303391</v>
      </c>
      <c r="AB722" s="272">
        <f>ROUND(C198,0)</f>
        <v>11565163</v>
      </c>
      <c r="AC722" s="272">
        <f>ROUND(D198,0)</f>
        <v>0</v>
      </c>
      <c r="AD722" s="272">
        <f>ROUND(B199,0)</f>
        <v>822475</v>
      </c>
      <c r="AE722" s="272">
        <f>ROUND(C199,0)</f>
        <v>115488</v>
      </c>
      <c r="AF722" s="272">
        <f>ROUND(D199,0)</f>
        <v>0</v>
      </c>
      <c r="AG722" s="272">
        <f>ROUND(B200,0)</f>
        <v>61538806</v>
      </c>
      <c r="AH722" s="272">
        <f>ROUND(C200,0)</f>
        <v>7430276</v>
      </c>
      <c r="AI722" s="272">
        <f>ROUND(D200,0)</f>
        <v>0</v>
      </c>
      <c r="AJ722" s="272">
        <f>ROUND(B201,0)</f>
        <v>0</v>
      </c>
      <c r="AK722" s="272">
        <f>ROUND(C201,0)</f>
        <v>0</v>
      </c>
      <c r="AL722" s="272">
        <f>ROUND(D201,0)</f>
        <v>0</v>
      </c>
      <c r="AM722" s="272">
        <f>ROUND(B202,0)</f>
        <v>5849849</v>
      </c>
      <c r="AN722" s="272">
        <f>ROUND(C202,0)</f>
        <v>0</v>
      </c>
      <c r="AO722" s="272">
        <f>ROUND(D202,0)</f>
        <v>0</v>
      </c>
      <c r="AP722" s="272">
        <f>ROUND(B203,0)</f>
        <v>2995626</v>
      </c>
      <c r="AQ722" s="272">
        <f>ROUND(C203,0)</f>
        <v>0</v>
      </c>
      <c r="AR722" s="272">
        <f>ROUND(D203,0)</f>
        <v>374917</v>
      </c>
      <c r="AS722" s="272"/>
      <c r="AT722" s="272"/>
      <c r="AU722" s="272"/>
      <c r="AV722" s="272">
        <f>ROUND(B209,0)</f>
        <v>633408</v>
      </c>
      <c r="AW722" s="272">
        <f>ROUND(C209,0)</f>
        <v>86929</v>
      </c>
      <c r="AX722" s="272">
        <f>ROUND(D209,0)</f>
        <v>0</v>
      </c>
      <c r="AY722" s="272">
        <f>ROUND(B210,0)</f>
        <v>44704156</v>
      </c>
      <c r="AZ722" s="272">
        <f>ROUND(C210,0)</f>
        <v>4246358</v>
      </c>
      <c r="BA722" s="272">
        <f>ROUND(D210,0)</f>
        <v>0</v>
      </c>
      <c r="BB722" s="272">
        <f>ROUND(B211,0)</f>
        <v>576232</v>
      </c>
      <c r="BC722" s="272">
        <f>ROUND(C211,0)</f>
        <v>491280</v>
      </c>
      <c r="BD722" s="272">
        <f>ROUND(D211,0)</f>
        <v>0</v>
      </c>
      <c r="BE722" s="272">
        <f>ROUND(B212,0)</f>
        <v>566614</v>
      </c>
      <c r="BF722" s="272">
        <f>ROUND(C212,0)</f>
        <v>47092</v>
      </c>
      <c r="BG722" s="272">
        <f>ROUND(D212,0)</f>
        <v>0</v>
      </c>
      <c r="BH722" s="272">
        <f>ROUND(B213,0)</f>
        <v>46895869</v>
      </c>
      <c r="BI722" s="272">
        <f>ROUND(C213,0)</f>
        <v>4787553</v>
      </c>
      <c r="BJ722" s="272">
        <f>ROUND(D213,0)</f>
        <v>0</v>
      </c>
      <c r="BK722" s="272">
        <f>ROUND(B214,0)</f>
        <v>0</v>
      </c>
      <c r="BL722" s="272">
        <f>ROUND(C214,0)</f>
        <v>0</v>
      </c>
      <c r="BM722" s="272">
        <f>ROUND(D214,0)</f>
        <v>0</v>
      </c>
      <c r="BN722" s="272">
        <f>ROUND(B215,0)</f>
        <v>3703423</v>
      </c>
      <c r="BO722" s="272">
        <f>ROUND(C215,0)</f>
        <v>604371</v>
      </c>
      <c r="BP722" s="272">
        <f>ROUND(D215,0)</f>
        <v>0</v>
      </c>
      <c r="BQ722" s="272">
        <f>ROUND(B216,0)</f>
        <v>0</v>
      </c>
      <c r="BR722" s="272">
        <f>ROUND(C216,0)</f>
        <v>0</v>
      </c>
      <c r="BS722" s="272">
        <f>ROUND(D216,0)</f>
        <v>0</v>
      </c>
      <c r="BT722" s="272">
        <f>ROUND(C223,0)</f>
        <v>312308583</v>
      </c>
      <c r="BU722" s="272">
        <f>ROUND(C224,0)</f>
        <v>102303456</v>
      </c>
      <c r="BV722" s="272">
        <f>ROUND(C225,0)</f>
        <v>0</v>
      </c>
      <c r="BW722" s="272">
        <f>ROUND(C226,0)</f>
        <v>0</v>
      </c>
      <c r="BX722" s="272">
        <f>ROUND(C227,0)</f>
        <v>0</v>
      </c>
      <c r="BY722" s="272">
        <f>ROUND(C228,0)</f>
        <v>165655836</v>
      </c>
      <c r="BZ722" s="272">
        <f>ROUND(C231,0)</f>
        <v>2457</v>
      </c>
      <c r="CA722" s="272">
        <f>ROUND(C233,0)</f>
        <v>3231549</v>
      </c>
      <c r="CB722" s="272">
        <f>ROUND(C234,0)</f>
        <v>3440667</v>
      </c>
      <c r="CC722" s="272">
        <f>ROUND(C238+C239,0)</f>
        <v>5556086</v>
      </c>
      <c r="CD722" s="272">
        <f>D221</f>
        <v>2503575.2400000002</v>
      </c>
      <c r="CE722" s="272"/>
    </row>
    <row r="723" spans="1:84" ht="12.6" customHeight="1" x14ac:dyDescent="0.25">
      <c r="B723" s="273"/>
      <c r="C723" s="273"/>
      <c r="D723" s="273"/>
      <c r="E723" s="273"/>
      <c r="F723" s="273"/>
      <c r="G723" s="273"/>
      <c r="H723" s="273"/>
      <c r="I723" s="273"/>
      <c r="J723" s="273"/>
      <c r="K723" s="273"/>
      <c r="L723" s="273"/>
      <c r="M723" s="273"/>
      <c r="N723" s="273"/>
      <c r="O723" s="273"/>
      <c r="P723" s="273"/>
      <c r="Q723" s="273"/>
      <c r="R723" s="273"/>
      <c r="S723" s="273"/>
      <c r="T723" s="273"/>
      <c r="U723" s="273"/>
      <c r="V723" s="273"/>
      <c r="W723" s="273"/>
      <c r="X723" s="273"/>
      <c r="Y723" s="273"/>
      <c r="Z723" s="273"/>
      <c r="AA723" s="273"/>
      <c r="AB723" s="273"/>
      <c r="AC723" s="273"/>
      <c r="AD723" s="273"/>
      <c r="AE723" s="273"/>
      <c r="AF723" s="273"/>
      <c r="AG723" s="273"/>
      <c r="AH723" s="273"/>
      <c r="AI723" s="273"/>
      <c r="AJ723" s="273"/>
      <c r="AK723" s="273"/>
      <c r="AL723" s="273"/>
      <c r="AM723" s="273"/>
      <c r="AN723" s="273"/>
      <c r="AO723" s="273"/>
      <c r="AP723" s="273"/>
      <c r="AQ723" s="273"/>
      <c r="AR723" s="273"/>
      <c r="AS723" s="273"/>
      <c r="AT723" s="273"/>
      <c r="AU723" s="273"/>
      <c r="AV723" s="273"/>
      <c r="AW723" s="273"/>
      <c r="AX723" s="273"/>
      <c r="AY723" s="273"/>
      <c r="AZ723" s="273"/>
      <c r="BA723" s="273"/>
      <c r="BB723" s="273"/>
      <c r="BC723" s="273"/>
      <c r="BD723" s="273"/>
      <c r="BE723" s="273"/>
      <c r="BF723" s="273"/>
      <c r="BG723" s="273"/>
      <c r="BH723" s="273"/>
      <c r="BI723" s="273"/>
      <c r="BJ723" s="273"/>
      <c r="BK723" s="273"/>
      <c r="BL723" s="273"/>
      <c r="BM723" s="273"/>
      <c r="BN723" s="273"/>
      <c r="BO723" s="273"/>
      <c r="BP723" s="273"/>
      <c r="BQ723" s="273"/>
      <c r="BR723" s="273"/>
      <c r="BS723" s="273"/>
      <c r="BT723" s="273"/>
      <c r="BU723" s="273"/>
      <c r="BV723" s="273"/>
      <c r="BW723" s="273"/>
      <c r="BX723" s="273"/>
      <c r="BY723" s="273"/>
      <c r="BZ723" s="273"/>
      <c r="CA723" s="273"/>
      <c r="CB723" s="273"/>
      <c r="CC723" s="273"/>
      <c r="CD723" s="273"/>
      <c r="CE723" s="273"/>
    </row>
    <row r="724" spans="1:84" s="199" customFormat="1" ht="12.6" customHeight="1" x14ac:dyDescent="0.25">
      <c r="A724" s="199" t="s">
        <v>148</v>
      </c>
      <c r="B724" s="272"/>
      <c r="C724" s="272"/>
      <c r="D724" s="272"/>
      <c r="E724" s="272"/>
      <c r="F724" s="272"/>
      <c r="G724" s="272"/>
      <c r="H724" s="272"/>
      <c r="I724" s="272"/>
      <c r="J724" s="272"/>
      <c r="K724" s="272"/>
      <c r="L724" s="272"/>
      <c r="M724" s="272"/>
      <c r="N724" s="272"/>
      <c r="O724" s="272"/>
      <c r="P724" s="272"/>
      <c r="Q724" s="272"/>
      <c r="R724" s="272"/>
      <c r="S724" s="272"/>
      <c r="T724" s="272"/>
      <c r="U724" s="272"/>
      <c r="V724" s="272"/>
      <c r="W724" s="272"/>
      <c r="X724" s="272"/>
      <c r="Y724" s="272"/>
      <c r="Z724" s="272"/>
      <c r="AA724" s="272"/>
      <c r="AB724" s="272"/>
      <c r="AC724" s="272"/>
      <c r="AD724" s="272"/>
      <c r="AE724" s="272"/>
      <c r="AF724" s="272"/>
      <c r="AG724" s="272"/>
      <c r="AH724" s="272"/>
      <c r="AI724" s="272"/>
      <c r="AJ724" s="272"/>
      <c r="AK724" s="272"/>
      <c r="AL724" s="272"/>
      <c r="AM724" s="272"/>
      <c r="AN724" s="272"/>
      <c r="AO724" s="272"/>
      <c r="AP724" s="272"/>
      <c r="AQ724" s="272"/>
      <c r="AR724" s="272"/>
      <c r="AS724" s="272"/>
      <c r="AT724" s="272"/>
      <c r="AU724" s="272"/>
      <c r="AV724" s="272"/>
      <c r="AW724" s="272"/>
      <c r="AX724" s="272"/>
      <c r="AY724" s="272"/>
      <c r="AZ724" s="272"/>
      <c r="BA724" s="272"/>
      <c r="BB724" s="272"/>
      <c r="BC724" s="272"/>
      <c r="BD724" s="272"/>
      <c r="BE724" s="272"/>
      <c r="BF724" s="272"/>
      <c r="BG724" s="272"/>
      <c r="BH724" s="272"/>
      <c r="BI724" s="272"/>
      <c r="BJ724" s="272"/>
      <c r="BK724" s="272"/>
      <c r="BL724" s="272"/>
      <c r="BM724" s="272"/>
      <c r="BN724" s="272"/>
      <c r="BO724" s="272"/>
      <c r="BP724" s="272"/>
      <c r="BQ724" s="272"/>
      <c r="BR724" s="272"/>
      <c r="BS724" s="272"/>
      <c r="BT724" s="272"/>
      <c r="BU724" s="272"/>
      <c r="BV724" s="272"/>
      <c r="BW724" s="272"/>
      <c r="BX724" s="272"/>
      <c r="BY724" s="272"/>
      <c r="BZ724" s="272"/>
      <c r="CA724" s="272"/>
      <c r="CB724" s="272"/>
      <c r="CC724" s="272"/>
      <c r="CD724" s="272"/>
      <c r="CE724" s="272"/>
    </row>
    <row r="725" spans="1:84" s="201" customFormat="1" ht="12.6" customHeight="1" x14ac:dyDescent="0.25">
      <c r="A725" s="201" t="s">
        <v>745</v>
      </c>
      <c r="B725" s="201" t="s">
        <v>826</v>
      </c>
      <c r="C725" s="201" t="s">
        <v>827</v>
      </c>
      <c r="D725" s="201" t="s">
        <v>828</v>
      </c>
      <c r="E725" s="201" t="s">
        <v>829</v>
      </c>
      <c r="F725" s="201" t="s">
        <v>830</v>
      </c>
      <c r="G725" s="201" t="s">
        <v>831</v>
      </c>
      <c r="H725" s="201" t="s">
        <v>832</v>
      </c>
      <c r="I725" s="201" t="s">
        <v>833</v>
      </c>
      <c r="J725" s="201" t="s">
        <v>834</v>
      </c>
      <c r="K725" s="201" t="s">
        <v>835</v>
      </c>
      <c r="L725" s="201" t="s">
        <v>836</v>
      </c>
      <c r="M725" s="201" t="s">
        <v>837</v>
      </c>
      <c r="N725" s="201" t="s">
        <v>838</v>
      </c>
      <c r="O725" s="201" t="s">
        <v>839</v>
      </c>
      <c r="P725" s="201" t="s">
        <v>840</v>
      </c>
      <c r="Q725" s="201" t="s">
        <v>841</v>
      </c>
      <c r="R725" s="201" t="s">
        <v>842</v>
      </c>
      <c r="S725" s="201" t="s">
        <v>843</v>
      </c>
      <c r="T725" s="201" t="s">
        <v>844</v>
      </c>
      <c r="U725" s="201" t="s">
        <v>845</v>
      </c>
      <c r="V725" s="201" t="s">
        <v>846</v>
      </c>
      <c r="W725" s="201" t="s">
        <v>847</v>
      </c>
      <c r="X725" s="201" t="s">
        <v>848</v>
      </c>
      <c r="Y725" s="201" t="s">
        <v>849</v>
      </c>
      <c r="Z725" s="201" t="s">
        <v>850</v>
      </c>
      <c r="AA725" s="201" t="s">
        <v>851</v>
      </c>
      <c r="AB725" s="201" t="s">
        <v>852</v>
      </c>
      <c r="AC725" s="201" t="s">
        <v>853</v>
      </c>
      <c r="AD725" s="201" t="s">
        <v>854</v>
      </c>
      <c r="AE725" s="201" t="s">
        <v>855</v>
      </c>
      <c r="AF725" s="201" t="s">
        <v>856</v>
      </c>
      <c r="AG725" s="201" t="s">
        <v>857</v>
      </c>
      <c r="AH725" s="201" t="s">
        <v>858</v>
      </c>
      <c r="AI725" s="201" t="s">
        <v>859</v>
      </c>
      <c r="AJ725" s="201" t="s">
        <v>860</v>
      </c>
      <c r="AK725" s="201" t="s">
        <v>861</v>
      </c>
      <c r="AL725" s="201" t="s">
        <v>862</v>
      </c>
      <c r="AM725" s="201" t="s">
        <v>863</v>
      </c>
      <c r="AN725" s="201" t="s">
        <v>864</v>
      </c>
      <c r="AO725" s="201" t="s">
        <v>865</v>
      </c>
      <c r="AP725" s="201" t="s">
        <v>866</v>
      </c>
      <c r="AQ725" s="201" t="s">
        <v>867</v>
      </c>
      <c r="AR725" s="201" t="s">
        <v>868</v>
      </c>
      <c r="AS725" s="201" t="s">
        <v>869</v>
      </c>
      <c r="AT725" s="201" t="s">
        <v>870</v>
      </c>
      <c r="AU725" s="201" t="s">
        <v>871</v>
      </c>
      <c r="AV725" s="201" t="s">
        <v>872</v>
      </c>
      <c r="AW725" s="201" t="s">
        <v>873</v>
      </c>
      <c r="AX725" s="201" t="s">
        <v>874</v>
      </c>
      <c r="AY725" s="201" t="s">
        <v>875</v>
      </c>
      <c r="AZ725" s="201" t="s">
        <v>876</v>
      </c>
      <c r="BA725" s="201" t="s">
        <v>877</v>
      </c>
      <c r="BB725" s="201" t="s">
        <v>878</v>
      </c>
      <c r="BC725" s="201" t="s">
        <v>879</v>
      </c>
      <c r="BD725" s="201" t="s">
        <v>880</v>
      </c>
      <c r="BE725" s="201" t="s">
        <v>881</v>
      </c>
      <c r="BF725" s="201" t="s">
        <v>882</v>
      </c>
      <c r="BG725" s="201" t="s">
        <v>883</v>
      </c>
      <c r="BH725" s="201" t="s">
        <v>884</v>
      </c>
      <c r="BI725" s="201" t="s">
        <v>885</v>
      </c>
      <c r="BJ725" s="201" t="s">
        <v>886</v>
      </c>
      <c r="BK725" s="201" t="s">
        <v>887</v>
      </c>
      <c r="BL725" s="201" t="s">
        <v>888</v>
      </c>
      <c r="BM725" s="201" t="s">
        <v>889</v>
      </c>
      <c r="BN725" s="201" t="s">
        <v>890</v>
      </c>
      <c r="BO725" s="201" t="s">
        <v>891</v>
      </c>
      <c r="BP725" s="201" t="s">
        <v>892</v>
      </c>
      <c r="BQ725" s="201" t="s">
        <v>893</v>
      </c>
      <c r="BR725" s="201" t="s">
        <v>894</v>
      </c>
    </row>
    <row r="726" spans="1:84" s="199" customFormat="1" ht="12.6" customHeight="1" x14ac:dyDescent="0.25">
      <c r="A726" s="200" t="str">
        <f>RIGHT(C83,3)&amp;"*"&amp;RIGHT(C82,4)&amp;"*"&amp;"A"</f>
        <v>209*2018*A</v>
      </c>
      <c r="B726" s="272">
        <f>ROUND(C111,0)</f>
        <v>5513</v>
      </c>
      <c r="C726" s="272">
        <f>ROUND(C112,0)</f>
        <v>0</v>
      </c>
      <c r="D726" s="272">
        <f>ROUND(C113,0)</f>
        <v>0</v>
      </c>
      <c r="E726" s="272">
        <f>ROUND(C114,0)</f>
        <v>0</v>
      </c>
      <c r="F726" s="272">
        <f>ROUND(D111,0)</f>
        <v>26300</v>
      </c>
      <c r="G726" s="272">
        <f>ROUND(D112,0)</f>
        <v>0</v>
      </c>
      <c r="H726" s="272">
        <f>ROUND(D113,0)</f>
        <v>0</v>
      </c>
      <c r="I726" s="272">
        <f>ROUND(D114,0)</f>
        <v>0</v>
      </c>
      <c r="J726" s="272">
        <f>ROUND(C116,0)</f>
        <v>16</v>
      </c>
      <c r="K726" s="272">
        <f>ROUND(C117,0)</f>
        <v>0</v>
      </c>
      <c r="L726" s="272">
        <f>ROUND(C118,0)</f>
        <v>96</v>
      </c>
      <c r="M726" s="272">
        <f>ROUND(C119,0)</f>
        <v>0</v>
      </c>
      <c r="N726" s="272">
        <f>ROUND(C120,0)</f>
        <v>0</v>
      </c>
      <c r="O726" s="272">
        <f>ROUND(C121,0)</f>
        <v>0</v>
      </c>
      <c r="P726" s="272">
        <f>ROUND(C122,0)</f>
        <v>0</v>
      </c>
      <c r="Q726" s="272">
        <f>ROUND(C123,0)</f>
        <v>0</v>
      </c>
      <c r="R726" s="272">
        <f>ROUND(C124,0)</f>
        <v>0</v>
      </c>
      <c r="S726" s="272">
        <f>ROUND(C125,0)</f>
        <v>0</v>
      </c>
      <c r="T726" s="272"/>
      <c r="U726" s="272">
        <f>ROUND(C126,0)</f>
        <v>0</v>
      </c>
      <c r="V726" s="272">
        <f>ROUND(C128,0)</f>
        <v>112</v>
      </c>
      <c r="W726" s="272">
        <f>ROUND(C129,0)</f>
        <v>0</v>
      </c>
      <c r="X726" s="272">
        <f>ROUND(B138,0)</f>
        <v>3378</v>
      </c>
      <c r="Y726" s="272">
        <f>ROUND(B139,0)</f>
        <v>16986</v>
      </c>
      <c r="Z726" s="272">
        <f>ROUND(B140,0)</f>
        <v>0</v>
      </c>
      <c r="AA726" s="272">
        <f>ROUND(B141,0)</f>
        <v>217894810</v>
      </c>
      <c r="AB726" s="272">
        <f>ROUND(B142,0)</f>
        <v>151487840</v>
      </c>
      <c r="AC726" s="272">
        <f>ROUND(C138,0)</f>
        <v>733</v>
      </c>
      <c r="AD726" s="272">
        <f>ROUND(C139,0)</f>
        <v>3863</v>
      </c>
      <c r="AE726" s="272">
        <f>ROUND(C140,0)</f>
        <v>0</v>
      </c>
      <c r="AF726" s="272">
        <f>ROUND(C141,0)</f>
        <v>49154093</v>
      </c>
      <c r="AG726" s="272">
        <f>ROUND(C142,0)</f>
        <v>67379163</v>
      </c>
      <c r="AH726" s="272">
        <f>ROUND(D138,0)</f>
        <v>1402</v>
      </c>
      <c r="AI726" s="272">
        <f>ROUND(D139,0)</f>
        <v>5451</v>
      </c>
      <c r="AJ726" s="272">
        <f>ROUND(D140,0)</f>
        <v>0</v>
      </c>
      <c r="AK726" s="272">
        <f>ROUND(D141,0)</f>
        <v>97560351</v>
      </c>
      <c r="AL726" s="272">
        <f>ROUND(D142,0)</f>
        <v>168121889</v>
      </c>
      <c r="AM726" s="272">
        <f>ROUND(B144,0)</f>
        <v>0</v>
      </c>
      <c r="AN726" s="272">
        <f>ROUND(B145,0)</f>
        <v>0</v>
      </c>
      <c r="AO726" s="272">
        <f>ROUND(B146,0)</f>
        <v>0</v>
      </c>
      <c r="AP726" s="272">
        <f>ROUND(B147,0)</f>
        <v>0</v>
      </c>
      <c r="AQ726" s="272">
        <f>ROUND(B148,0)</f>
        <v>0</v>
      </c>
      <c r="AR726" s="272">
        <f>ROUND(C144,0)</f>
        <v>0</v>
      </c>
      <c r="AS726" s="272">
        <f>ROUND(C145,0)</f>
        <v>0</v>
      </c>
      <c r="AT726" s="272">
        <f>ROUND(C146,0)</f>
        <v>0</v>
      </c>
      <c r="AU726" s="272">
        <f>ROUND(C147,0)</f>
        <v>0</v>
      </c>
      <c r="AV726" s="272">
        <f>ROUND(C148,0)</f>
        <v>0</v>
      </c>
      <c r="AW726" s="272">
        <f>ROUND(D144,0)</f>
        <v>0</v>
      </c>
      <c r="AX726" s="272">
        <f>ROUND(D145,0)</f>
        <v>0</v>
      </c>
      <c r="AY726" s="272">
        <f>ROUND(D146,0)</f>
        <v>0</v>
      </c>
      <c r="AZ726" s="272">
        <f>ROUND(D147,0)</f>
        <v>0</v>
      </c>
      <c r="BA726" s="272">
        <f>ROUND(D148,0)</f>
        <v>0</v>
      </c>
      <c r="BB726" s="272">
        <f>ROUND(B150,0)</f>
        <v>0</v>
      </c>
      <c r="BC726" s="272">
        <f>ROUND(B151,0)</f>
        <v>0</v>
      </c>
      <c r="BD726" s="272">
        <f>ROUND(B152,0)</f>
        <v>0</v>
      </c>
      <c r="BE726" s="272">
        <f>ROUND(B153,0)</f>
        <v>0</v>
      </c>
      <c r="BF726" s="272">
        <f>ROUND(B154,0)</f>
        <v>0</v>
      </c>
      <c r="BG726" s="272">
        <f>ROUND(C150,0)</f>
        <v>0</v>
      </c>
      <c r="BH726" s="272">
        <f>ROUND(C151,0)</f>
        <v>0</v>
      </c>
      <c r="BI726" s="272">
        <f>ROUND(C152,0)</f>
        <v>0</v>
      </c>
      <c r="BJ726" s="272">
        <f>ROUND(C153,0)</f>
        <v>0</v>
      </c>
      <c r="BK726" s="272">
        <f>ROUND(C154,0)</f>
        <v>0</v>
      </c>
      <c r="BL726" s="272">
        <f>ROUND(D150,0)</f>
        <v>0</v>
      </c>
      <c r="BM726" s="272">
        <f>ROUND(D151,0)</f>
        <v>0</v>
      </c>
      <c r="BN726" s="272">
        <f>ROUND(D152,0)</f>
        <v>0</v>
      </c>
      <c r="BO726" s="272">
        <f>ROUND(D153,0)</f>
        <v>0</v>
      </c>
      <c r="BP726" s="272">
        <f>ROUND(D154,0)</f>
        <v>0</v>
      </c>
      <c r="BQ726" s="272">
        <f>ROUND(B157,0)</f>
        <v>0</v>
      </c>
      <c r="BR726" s="272">
        <f>ROUND(C157,0)</f>
        <v>0</v>
      </c>
      <c r="BS726" s="272"/>
      <c r="BT726" s="272"/>
      <c r="BU726" s="272"/>
      <c r="BV726" s="272"/>
      <c r="BW726" s="272"/>
      <c r="BX726" s="272"/>
      <c r="BY726" s="272"/>
      <c r="BZ726" s="272"/>
      <c r="CA726" s="272"/>
      <c r="CB726" s="272"/>
      <c r="CC726" s="272"/>
      <c r="CD726" s="272"/>
      <c r="CE726" s="272"/>
    </row>
    <row r="727" spans="1:84" ht="12.6" customHeight="1" x14ac:dyDescent="0.25">
      <c r="B727" s="273"/>
      <c r="C727" s="273"/>
      <c r="D727" s="273"/>
      <c r="E727" s="273"/>
      <c r="F727" s="273"/>
      <c r="G727" s="273"/>
      <c r="H727" s="273"/>
      <c r="I727" s="273"/>
      <c r="J727" s="273"/>
      <c r="K727" s="273"/>
      <c r="L727" s="273"/>
      <c r="M727" s="273"/>
      <c r="N727" s="273"/>
      <c r="O727" s="273"/>
      <c r="P727" s="273"/>
      <c r="Q727" s="273"/>
      <c r="R727" s="273"/>
      <c r="S727" s="273"/>
      <c r="T727" s="273"/>
      <c r="U727" s="273"/>
      <c r="V727" s="273"/>
      <c r="W727" s="273"/>
      <c r="X727" s="273"/>
      <c r="Y727" s="273"/>
      <c r="Z727" s="273"/>
      <c r="AA727" s="273"/>
      <c r="AB727" s="273"/>
      <c r="AC727" s="273"/>
      <c r="AD727" s="273"/>
      <c r="AE727" s="273"/>
      <c r="AF727" s="273"/>
      <c r="AG727" s="273"/>
      <c r="AH727" s="273"/>
      <c r="AI727" s="273"/>
      <c r="AJ727" s="273"/>
      <c r="AK727" s="273"/>
      <c r="AL727" s="273"/>
      <c r="AM727" s="273"/>
      <c r="AN727" s="273"/>
      <c r="AO727" s="273"/>
      <c r="AP727" s="273"/>
      <c r="AQ727" s="273"/>
      <c r="AR727" s="273"/>
      <c r="AS727" s="273"/>
      <c r="AT727" s="273"/>
      <c r="AU727" s="273"/>
      <c r="AV727" s="273"/>
      <c r="AW727" s="273"/>
      <c r="AX727" s="273"/>
      <c r="AY727" s="273"/>
      <c r="AZ727" s="273"/>
      <c r="BA727" s="273"/>
      <c r="BB727" s="273"/>
      <c r="BC727" s="273"/>
      <c r="BD727" s="273"/>
      <c r="BE727" s="273"/>
      <c r="BF727" s="273"/>
      <c r="BG727" s="273"/>
      <c r="BH727" s="273"/>
      <c r="BI727" s="273"/>
      <c r="BJ727" s="273"/>
      <c r="BK727" s="273"/>
      <c r="BL727" s="273"/>
      <c r="BM727" s="273"/>
      <c r="BN727" s="273"/>
      <c r="BO727" s="273"/>
      <c r="BP727" s="273"/>
      <c r="BQ727" s="273"/>
      <c r="BR727" s="273"/>
      <c r="BS727" s="273"/>
      <c r="BT727" s="273"/>
      <c r="BU727" s="273"/>
      <c r="BV727" s="273"/>
      <c r="BW727" s="273"/>
      <c r="BX727" s="273"/>
      <c r="BY727" s="273"/>
      <c r="BZ727" s="273"/>
      <c r="CA727" s="273"/>
      <c r="CB727" s="273"/>
      <c r="CC727" s="273"/>
      <c r="CD727" s="273"/>
      <c r="CE727" s="273"/>
    </row>
    <row r="728" spans="1:84" s="199" customFormat="1" ht="12.6" customHeight="1" x14ac:dyDescent="0.25">
      <c r="A728" s="199" t="s">
        <v>895</v>
      </c>
      <c r="B728" s="272"/>
      <c r="C728" s="272"/>
      <c r="D728" s="272"/>
      <c r="E728" s="272"/>
      <c r="F728" s="272"/>
      <c r="G728" s="272"/>
      <c r="H728" s="272"/>
      <c r="I728" s="272"/>
      <c r="J728" s="272"/>
      <c r="K728" s="272"/>
      <c r="L728" s="272"/>
      <c r="M728" s="272"/>
      <c r="N728" s="272"/>
      <c r="O728" s="272"/>
      <c r="P728" s="272"/>
      <c r="Q728" s="272"/>
      <c r="R728" s="272"/>
      <c r="S728" s="272"/>
      <c r="T728" s="272"/>
      <c r="U728" s="272"/>
      <c r="V728" s="272"/>
      <c r="W728" s="272"/>
      <c r="X728" s="272"/>
      <c r="Y728" s="272"/>
      <c r="Z728" s="272"/>
      <c r="AA728" s="272"/>
      <c r="AB728" s="272"/>
      <c r="AC728" s="272"/>
      <c r="AD728" s="272"/>
      <c r="AE728" s="272"/>
      <c r="AF728" s="272"/>
      <c r="AG728" s="272"/>
      <c r="AH728" s="272"/>
      <c r="AI728" s="272"/>
      <c r="AJ728" s="272"/>
      <c r="AK728" s="272"/>
      <c r="AL728" s="272"/>
      <c r="AM728" s="272"/>
      <c r="AN728" s="272"/>
      <c r="AO728" s="272"/>
      <c r="AP728" s="272"/>
      <c r="AQ728" s="272"/>
      <c r="AR728" s="272"/>
      <c r="AS728" s="272"/>
      <c r="AT728" s="272"/>
      <c r="AU728" s="272"/>
      <c r="AV728" s="272"/>
      <c r="AW728" s="272"/>
      <c r="AX728" s="272"/>
      <c r="AY728" s="272"/>
      <c r="AZ728" s="272"/>
      <c r="BA728" s="272"/>
      <c r="BB728" s="272"/>
      <c r="BC728" s="272"/>
      <c r="BD728" s="272"/>
      <c r="BE728" s="272"/>
      <c r="BF728" s="272"/>
      <c r="BG728" s="272"/>
      <c r="BH728" s="272"/>
      <c r="BI728" s="272"/>
      <c r="BJ728" s="272"/>
      <c r="BK728" s="272"/>
      <c r="BL728" s="272"/>
      <c r="BM728" s="272"/>
      <c r="BN728" s="272"/>
      <c r="BO728" s="272"/>
      <c r="BP728" s="272"/>
      <c r="BQ728" s="272"/>
      <c r="BR728" s="272"/>
      <c r="BS728" s="272"/>
      <c r="BT728" s="272"/>
      <c r="BU728" s="272"/>
      <c r="BV728" s="272"/>
      <c r="BW728" s="272"/>
      <c r="BX728" s="272"/>
      <c r="BY728" s="272"/>
      <c r="BZ728" s="272"/>
      <c r="CA728" s="272"/>
      <c r="CB728" s="272"/>
      <c r="CC728" s="272"/>
      <c r="CD728" s="272"/>
      <c r="CE728" s="272"/>
    </row>
    <row r="729" spans="1:84" s="201" customFormat="1" ht="12.6" customHeight="1" x14ac:dyDescent="0.25">
      <c r="A729" s="201" t="s">
        <v>745</v>
      </c>
      <c r="B729" s="201" t="s">
        <v>896</v>
      </c>
      <c r="C729" s="201" t="s">
        <v>897</v>
      </c>
      <c r="D729" s="201" t="s">
        <v>898</v>
      </c>
      <c r="E729" s="201" t="s">
        <v>899</v>
      </c>
      <c r="F729" s="201" t="s">
        <v>900</v>
      </c>
      <c r="G729" s="201" t="s">
        <v>901</v>
      </c>
      <c r="H729" s="201" t="s">
        <v>902</v>
      </c>
      <c r="I729" s="201" t="s">
        <v>903</v>
      </c>
      <c r="J729" s="201" t="s">
        <v>904</v>
      </c>
      <c r="K729" s="201" t="s">
        <v>905</v>
      </c>
      <c r="L729" s="201" t="s">
        <v>906</v>
      </c>
      <c r="M729" s="201" t="s">
        <v>907</v>
      </c>
      <c r="N729" s="201" t="s">
        <v>908</v>
      </c>
      <c r="O729" s="201" t="s">
        <v>909</v>
      </c>
      <c r="P729" s="201" t="s">
        <v>910</v>
      </c>
      <c r="Q729" s="201" t="s">
        <v>911</v>
      </c>
      <c r="R729" s="201" t="s">
        <v>912</v>
      </c>
      <c r="S729" s="201" t="s">
        <v>913</v>
      </c>
      <c r="T729" s="201" t="s">
        <v>914</v>
      </c>
      <c r="U729" s="201" t="s">
        <v>915</v>
      </c>
      <c r="V729" s="201" t="s">
        <v>916</v>
      </c>
      <c r="W729" s="201" t="s">
        <v>917</v>
      </c>
      <c r="X729" s="201" t="s">
        <v>918</v>
      </c>
      <c r="Y729" s="201" t="s">
        <v>919</v>
      </c>
      <c r="Z729" s="201" t="s">
        <v>920</v>
      </c>
      <c r="AA729" s="201" t="s">
        <v>921</v>
      </c>
      <c r="AB729" s="201" t="s">
        <v>922</v>
      </c>
      <c r="AC729" s="201" t="s">
        <v>923</v>
      </c>
      <c r="AD729" s="201" t="s">
        <v>924</v>
      </c>
      <c r="AE729" s="201" t="s">
        <v>925</v>
      </c>
      <c r="AF729" s="201" t="s">
        <v>926</v>
      </c>
      <c r="AG729" s="201" t="s">
        <v>927</v>
      </c>
      <c r="AH729" s="201" t="s">
        <v>928</v>
      </c>
      <c r="AI729" s="201" t="s">
        <v>929</v>
      </c>
      <c r="AJ729" s="201" t="s">
        <v>930</v>
      </c>
      <c r="AK729" s="201" t="s">
        <v>931</v>
      </c>
      <c r="AL729" s="201" t="s">
        <v>932</v>
      </c>
      <c r="AM729" s="201" t="s">
        <v>933</v>
      </c>
      <c r="AN729" s="201" t="s">
        <v>934</v>
      </c>
      <c r="AO729" s="201" t="s">
        <v>935</v>
      </c>
      <c r="AP729" s="201" t="s">
        <v>936</v>
      </c>
      <c r="AQ729" s="201" t="s">
        <v>937</v>
      </c>
      <c r="AR729" s="201" t="s">
        <v>938</v>
      </c>
      <c r="AS729" s="201" t="s">
        <v>939</v>
      </c>
      <c r="AT729" s="201" t="s">
        <v>940</v>
      </c>
      <c r="AU729" s="201" t="s">
        <v>941</v>
      </c>
      <c r="AV729" s="201" t="s">
        <v>942</v>
      </c>
      <c r="AW729" s="201" t="s">
        <v>943</v>
      </c>
      <c r="AX729" s="201" t="s">
        <v>944</v>
      </c>
      <c r="AY729" s="201" t="s">
        <v>945</v>
      </c>
      <c r="AZ729" s="201" t="s">
        <v>946</v>
      </c>
      <c r="BA729" s="201" t="s">
        <v>947</v>
      </c>
      <c r="BB729" s="201" t="s">
        <v>948</v>
      </c>
      <c r="BC729" s="201" t="s">
        <v>949</v>
      </c>
      <c r="BD729" s="201" t="s">
        <v>950</v>
      </c>
      <c r="BE729" s="201" t="s">
        <v>951</v>
      </c>
      <c r="BF729" s="201" t="s">
        <v>952</v>
      </c>
      <c r="BG729" s="201" t="s">
        <v>953</v>
      </c>
      <c r="BH729" s="201" t="s">
        <v>954</v>
      </c>
      <c r="BI729" s="201" t="s">
        <v>955</v>
      </c>
      <c r="BJ729" s="201" t="s">
        <v>956</v>
      </c>
      <c r="BK729" s="201" t="s">
        <v>957</v>
      </c>
      <c r="BL729" s="201" t="s">
        <v>958</v>
      </c>
      <c r="BM729" s="201" t="s">
        <v>959</v>
      </c>
      <c r="BN729" s="201" t="s">
        <v>960</v>
      </c>
      <c r="BO729" s="201" t="s">
        <v>961</v>
      </c>
      <c r="BP729" s="201" t="s">
        <v>962</v>
      </c>
      <c r="BQ729" s="201" t="s">
        <v>963</v>
      </c>
      <c r="BR729" s="201" t="s">
        <v>964</v>
      </c>
      <c r="BS729" s="201" t="s">
        <v>965</v>
      </c>
      <c r="BT729" s="201" t="s">
        <v>966</v>
      </c>
      <c r="BU729" s="201" t="s">
        <v>967</v>
      </c>
      <c r="BV729" s="201" t="s">
        <v>968</v>
      </c>
      <c r="BW729" s="201" t="s">
        <v>969</v>
      </c>
      <c r="BX729" s="201" t="s">
        <v>970</v>
      </c>
      <c r="BY729" s="201" t="s">
        <v>971</v>
      </c>
      <c r="BZ729" s="201" t="s">
        <v>972</v>
      </c>
      <c r="CA729" s="201" t="s">
        <v>973</v>
      </c>
      <c r="CB729" s="201" t="s">
        <v>974</v>
      </c>
      <c r="CC729" s="201" t="s">
        <v>975</v>
      </c>
      <c r="CD729" s="201" t="s">
        <v>976</v>
      </c>
      <c r="CE729" s="201" t="s">
        <v>977</v>
      </c>
      <c r="CF729" s="201" t="s">
        <v>978</v>
      </c>
    </row>
    <row r="730" spans="1:84" s="199" customFormat="1" ht="12.6" customHeight="1" x14ac:dyDescent="0.25">
      <c r="A730" s="200" t="str">
        <f>RIGHT(C83,3)&amp;"*"&amp;RIGHT(C82,4)&amp;"*"&amp;"A"</f>
        <v>209*2018*A</v>
      </c>
      <c r="B730" s="272">
        <f>ROUND(C250,0)</f>
        <v>-176163</v>
      </c>
      <c r="C730" s="272">
        <f>ROUND(C251,0)</f>
        <v>0</v>
      </c>
      <c r="D730" s="272">
        <f>ROUND(C252,0)</f>
        <v>92874523</v>
      </c>
      <c r="E730" s="272">
        <f>ROUND(C253,0)</f>
        <v>72800802</v>
      </c>
      <c r="F730" s="272">
        <f>ROUND(C254,0)</f>
        <v>0</v>
      </c>
      <c r="G730" s="272">
        <f>ROUND(C255,0)</f>
        <v>1361199</v>
      </c>
      <c r="H730" s="272">
        <f>ROUND(C256,0)</f>
        <v>0</v>
      </c>
      <c r="I730" s="272">
        <f>ROUND(C257,0)</f>
        <v>4759440</v>
      </c>
      <c r="J730" s="272">
        <f>ROUND(C258,0)</f>
        <v>66160</v>
      </c>
      <c r="K730" s="272">
        <f>ROUND(C259,0)</f>
        <v>0</v>
      </c>
      <c r="L730" s="272">
        <f>ROUND(C262,0)</f>
        <v>0</v>
      </c>
      <c r="M730" s="272">
        <f>ROUND(C263,0)</f>
        <v>0</v>
      </c>
      <c r="N730" s="272">
        <f>ROUND(C264,0)</f>
        <v>0</v>
      </c>
      <c r="O730" s="272">
        <f>ROUND(C267,0)</f>
        <v>3531776</v>
      </c>
      <c r="P730" s="272">
        <f>ROUND(C268,0)</f>
        <v>2067270</v>
      </c>
      <c r="Q730" s="272">
        <f>ROUND(C269,0)</f>
        <v>134516969</v>
      </c>
      <c r="R730" s="272">
        <f>ROUND(C270,0)</f>
        <v>13868554</v>
      </c>
      <c r="S730" s="272">
        <f>ROUND(C271,0)</f>
        <v>937964</v>
      </c>
      <c r="T730" s="272">
        <f>ROUND(C272,0)</f>
        <v>68969082</v>
      </c>
      <c r="U730" s="272">
        <f>ROUND(C273,0)</f>
        <v>5849849</v>
      </c>
      <c r="V730" s="272">
        <f>ROUND(C274,0)</f>
        <v>2620710</v>
      </c>
      <c r="W730" s="272">
        <f>ROUND(C275,0)</f>
        <v>0</v>
      </c>
      <c r="X730" s="272">
        <f>ROUND(C276,0)</f>
        <v>107343284</v>
      </c>
      <c r="Y730" s="272">
        <f>ROUND(C279,0)</f>
        <v>521023</v>
      </c>
      <c r="Z730" s="272">
        <f>ROUND(C280,0)</f>
        <v>0</v>
      </c>
      <c r="AA730" s="272">
        <f>ROUND(C281,0)</f>
        <v>38959671</v>
      </c>
      <c r="AB730" s="272">
        <f>ROUND(C282,0)</f>
        <v>0</v>
      </c>
      <c r="AC730" s="272">
        <f>ROUND(C286,0)</f>
        <v>0</v>
      </c>
      <c r="AD730" s="272">
        <f>ROUND(C287,0)</f>
        <v>0</v>
      </c>
      <c r="AE730" s="272">
        <f>ROUND(C288,0)</f>
        <v>0</v>
      </c>
      <c r="AF730" s="272">
        <f>ROUND(C289,0)</f>
        <v>0</v>
      </c>
      <c r="AG730" s="272">
        <f>ROUND(C304,0)</f>
        <v>0</v>
      </c>
      <c r="AH730" s="272">
        <f>ROUND(C305,0)</f>
        <v>7821639</v>
      </c>
      <c r="AI730" s="272">
        <f>ROUND(C306,0)</f>
        <v>3815393</v>
      </c>
      <c r="AJ730" s="272">
        <f>ROUND(C307,0)</f>
        <v>63495</v>
      </c>
      <c r="AK730" s="272">
        <f>ROUND(C308,0)</f>
        <v>0</v>
      </c>
      <c r="AL730" s="272">
        <f>ROUND(C309,0)</f>
        <v>3056611</v>
      </c>
      <c r="AM730" s="272">
        <f>ROUND(C310,0)</f>
        <v>0</v>
      </c>
      <c r="AN730" s="272">
        <f>ROUND(C311,0)</f>
        <v>0</v>
      </c>
      <c r="AO730" s="272">
        <f>ROUND(C312,0)</f>
        <v>67476</v>
      </c>
      <c r="AP730" s="272">
        <f>ROUND(C313,0)</f>
        <v>5600151</v>
      </c>
      <c r="AQ730" s="272">
        <f>ROUND(C316,0)</f>
        <v>0</v>
      </c>
      <c r="AR730" s="272">
        <f>ROUND(C317,0)</f>
        <v>0</v>
      </c>
      <c r="AS730" s="272">
        <f>ROUND(C318,0)</f>
        <v>315370</v>
      </c>
      <c r="AT730" s="272">
        <f>ROUND(C321,0)</f>
        <v>0</v>
      </c>
      <c r="AU730" s="272">
        <f>ROUND(C322,0)</f>
        <v>0</v>
      </c>
      <c r="AV730" s="272">
        <f>ROUND(C323,0)</f>
        <v>0</v>
      </c>
      <c r="AW730" s="272">
        <f>ROUND(C324,0)</f>
        <v>0</v>
      </c>
      <c r="AX730" s="272">
        <f>ROUND(C325,0)</f>
        <v>60651453</v>
      </c>
      <c r="AY730" s="272">
        <f>ROUND(C326,0)</f>
        <v>0</v>
      </c>
      <c r="AZ730" s="272">
        <f>ROUND(C327,0)</f>
        <v>0</v>
      </c>
      <c r="BA730" s="272">
        <f>ROUND(C328,0)</f>
        <v>0</v>
      </c>
      <c r="BB730" s="272">
        <f>ROUND(C332,0)</f>
        <v>114792503</v>
      </c>
      <c r="BC730" s="272"/>
      <c r="BD730" s="272"/>
      <c r="BE730" s="272">
        <f>ROUND(C337,0)</f>
        <v>0</v>
      </c>
      <c r="BF730" s="272">
        <f>ROUND(C336,0)</f>
        <v>0</v>
      </c>
      <c r="BG730" s="272"/>
      <c r="BH730" s="272"/>
      <c r="BI730" s="272">
        <f>ROUND(CE60,2)</f>
        <v>506.06</v>
      </c>
      <c r="BJ730" s="272">
        <f>ROUND(C359,0)</f>
        <v>364609254</v>
      </c>
      <c r="BK730" s="272">
        <f>ROUND(C360,0)</f>
        <v>386988893</v>
      </c>
      <c r="BL730" s="272">
        <f>ROUND(C364,0)</f>
        <v>580267875</v>
      </c>
      <c r="BM730" s="272">
        <f>ROUND(C365,0)</f>
        <v>6672216</v>
      </c>
      <c r="BN730" s="272">
        <f>ROUND(C366,0)</f>
        <v>5556086</v>
      </c>
      <c r="BO730" s="272">
        <f>ROUND(C370,0)</f>
        <v>6938217</v>
      </c>
      <c r="BP730" s="272">
        <f>ROUND(C371,0)</f>
        <v>0</v>
      </c>
      <c r="BQ730" s="272">
        <f>ROUND(C378,0)</f>
        <v>41172952</v>
      </c>
      <c r="BR730" s="272">
        <f>ROUND(C379,0)</f>
        <v>10054048</v>
      </c>
      <c r="BS730" s="272">
        <f>ROUND(C380,0)</f>
        <v>4968301</v>
      </c>
      <c r="BT730" s="272">
        <f>ROUND(C381,0)</f>
        <v>23492857</v>
      </c>
      <c r="BU730" s="272">
        <f>ROUND(C382,0)</f>
        <v>1172903</v>
      </c>
      <c r="BV730" s="272">
        <f>ROUND(C383,0)</f>
        <v>31539414</v>
      </c>
      <c r="BW730" s="272">
        <f>ROUND(C384,0)</f>
        <v>10263583</v>
      </c>
      <c r="BX730" s="272">
        <f>ROUND(C385,0)</f>
        <v>1328727</v>
      </c>
      <c r="BY730" s="272">
        <f>ROUND(C386,0)</f>
        <v>1149905</v>
      </c>
      <c r="BZ730" s="272">
        <f>ROUND(C387,0)</f>
        <v>4361905</v>
      </c>
      <c r="CA730" s="272">
        <f>ROUND(C388,0)</f>
        <v>2751083</v>
      </c>
      <c r="CB730" s="272">
        <f>C363</f>
        <v>2503575.2400000002</v>
      </c>
      <c r="CC730" s="272">
        <f>ROUND(C389,0)</f>
        <v>4299329</v>
      </c>
      <c r="CD730" s="272">
        <f>ROUND(C392,0)</f>
        <v>2611651</v>
      </c>
      <c r="CE730" s="272">
        <f>ROUND(C394,0)</f>
        <v>0</v>
      </c>
      <c r="CF730" s="199">
        <f>ROUND(C395,0)</f>
        <v>0</v>
      </c>
    </row>
    <row r="731" spans="1:84" ht="12.6" customHeight="1" x14ac:dyDescent="0.25">
      <c r="B731" s="273"/>
      <c r="C731" s="273"/>
      <c r="D731" s="273"/>
      <c r="E731" s="273"/>
      <c r="F731" s="273"/>
      <c r="G731" s="273"/>
      <c r="H731" s="273"/>
      <c r="I731" s="273"/>
      <c r="J731" s="273"/>
      <c r="K731" s="273"/>
      <c r="L731" s="273"/>
      <c r="M731" s="273"/>
      <c r="N731" s="273"/>
      <c r="O731" s="273"/>
      <c r="P731" s="273"/>
      <c r="Q731" s="273"/>
      <c r="R731" s="273"/>
      <c r="S731" s="273"/>
      <c r="T731" s="273"/>
      <c r="U731" s="273"/>
      <c r="V731" s="273"/>
      <c r="W731" s="273"/>
      <c r="X731" s="273"/>
      <c r="Y731" s="273"/>
      <c r="Z731" s="273"/>
      <c r="AA731" s="273"/>
      <c r="AB731" s="273"/>
      <c r="AC731" s="273"/>
      <c r="AD731" s="273"/>
      <c r="AE731" s="273"/>
      <c r="AF731" s="273"/>
      <c r="AG731" s="273"/>
      <c r="AH731" s="273"/>
      <c r="AI731" s="273"/>
      <c r="AJ731" s="273"/>
      <c r="AK731" s="273"/>
      <c r="AL731" s="273"/>
      <c r="AM731" s="273"/>
      <c r="AN731" s="273"/>
      <c r="AO731" s="273"/>
      <c r="AP731" s="273"/>
      <c r="AQ731" s="273"/>
      <c r="AR731" s="273"/>
      <c r="AS731" s="273"/>
      <c r="AT731" s="273"/>
      <c r="AU731" s="273"/>
      <c r="AV731" s="273"/>
      <c r="AW731" s="273"/>
      <c r="AX731" s="273"/>
      <c r="AY731" s="273"/>
      <c r="AZ731" s="273"/>
      <c r="BA731" s="273"/>
      <c r="BB731" s="273"/>
      <c r="BC731" s="273"/>
      <c r="BD731" s="273"/>
      <c r="BE731" s="273"/>
      <c r="BF731" s="273"/>
      <c r="BG731" s="273"/>
      <c r="BH731" s="273"/>
      <c r="BI731" s="273"/>
      <c r="BJ731" s="273"/>
      <c r="BK731" s="273"/>
      <c r="BL731" s="273"/>
      <c r="BM731" s="273"/>
      <c r="BN731" s="273"/>
      <c r="BO731" s="273"/>
      <c r="BP731" s="273"/>
      <c r="BQ731" s="273"/>
      <c r="BR731" s="273"/>
      <c r="BS731" s="273"/>
      <c r="BT731" s="273"/>
      <c r="BU731" s="273"/>
      <c r="BV731" s="273"/>
      <c r="BW731" s="273"/>
      <c r="BX731" s="273"/>
      <c r="BY731" s="273"/>
      <c r="BZ731" s="273"/>
      <c r="CA731" s="273"/>
      <c r="CB731" s="273"/>
      <c r="CC731" s="273"/>
      <c r="CD731" s="273"/>
      <c r="CE731" s="273"/>
    </row>
    <row r="732" spans="1:84" s="199" customFormat="1" ht="12.6" customHeight="1" x14ac:dyDescent="0.25">
      <c r="A732" s="199" t="s">
        <v>979</v>
      </c>
      <c r="B732" s="272"/>
      <c r="C732" s="272"/>
      <c r="D732" s="272"/>
      <c r="E732" s="272"/>
      <c r="F732" s="272"/>
      <c r="G732" s="272"/>
      <c r="H732" s="272"/>
      <c r="I732" s="272"/>
      <c r="J732" s="272"/>
      <c r="K732" s="272"/>
      <c r="L732" s="272"/>
      <c r="M732" s="272"/>
      <c r="N732" s="272"/>
      <c r="O732" s="272"/>
      <c r="P732" s="272"/>
      <c r="Q732" s="272"/>
      <c r="R732" s="272"/>
      <c r="S732" s="272"/>
      <c r="T732" s="272"/>
      <c r="U732" s="272"/>
      <c r="V732" s="272"/>
      <c r="W732" s="272"/>
      <c r="X732" s="272"/>
      <c r="Y732" s="272"/>
      <c r="Z732" s="272"/>
      <c r="AA732" s="272"/>
      <c r="AB732" s="272"/>
      <c r="AC732" s="272"/>
      <c r="AD732" s="272"/>
      <c r="AE732" s="272"/>
      <c r="AF732" s="272"/>
      <c r="AG732" s="272"/>
      <c r="AH732" s="272"/>
      <c r="AI732" s="272"/>
      <c r="AJ732" s="272"/>
      <c r="AK732" s="272"/>
      <c r="AL732" s="272"/>
      <c r="AM732" s="272"/>
      <c r="AN732" s="272"/>
      <c r="AO732" s="272"/>
      <c r="AP732" s="272"/>
      <c r="AQ732" s="272"/>
      <c r="AR732" s="272"/>
      <c r="AS732" s="272"/>
      <c r="AT732" s="272"/>
      <c r="AU732" s="272"/>
      <c r="AV732" s="272"/>
      <c r="AW732" s="272"/>
      <c r="AX732" s="272"/>
      <c r="AY732" s="272"/>
      <c r="AZ732" s="272"/>
      <c r="BA732" s="272"/>
      <c r="BB732" s="272"/>
      <c r="BC732" s="272"/>
      <c r="BD732" s="272"/>
      <c r="BE732" s="272"/>
      <c r="BF732" s="272"/>
      <c r="BG732" s="272"/>
      <c r="BH732" s="272"/>
      <c r="BI732" s="272"/>
      <c r="BJ732" s="272"/>
      <c r="BK732" s="272"/>
      <c r="BL732" s="272"/>
      <c r="BM732" s="272"/>
      <c r="BN732" s="272"/>
      <c r="BO732" s="272"/>
      <c r="BP732" s="272"/>
      <c r="BQ732" s="272"/>
      <c r="BR732" s="272"/>
      <c r="BS732" s="272"/>
      <c r="BT732" s="272"/>
      <c r="BU732" s="272"/>
      <c r="BV732" s="272"/>
      <c r="BW732" s="272"/>
      <c r="BX732" s="272"/>
      <c r="BY732" s="272"/>
      <c r="BZ732" s="272"/>
      <c r="CA732" s="272"/>
      <c r="CB732" s="272"/>
      <c r="CC732" s="272"/>
      <c r="CD732" s="272"/>
      <c r="CE732" s="272"/>
    </row>
    <row r="733" spans="1:84" s="201" customFormat="1" ht="12.6" customHeight="1" x14ac:dyDescent="0.25">
      <c r="A733" s="201" t="s">
        <v>745</v>
      </c>
      <c r="B733" s="201" t="s">
        <v>980</v>
      </c>
      <c r="C733" s="201" t="s">
        <v>981</v>
      </c>
      <c r="D733" s="201" t="s">
        <v>982</v>
      </c>
      <c r="E733" s="201" t="s">
        <v>983</v>
      </c>
      <c r="F733" s="201" t="s">
        <v>984</v>
      </c>
      <c r="G733" s="201" t="s">
        <v>985</v>
      </c>
      <c r="H733" s="201" t="s">
        <v>986</v>
      </c>
      <c r="I733" s="201" t="s">
        <v>987</v>
      </c>
      <c r="J733" s="201" t="s">
        <v>988</v>
      </c>
      <c r="K733" s="201" t="s">
        <v>989</v>
      </c>
      <c r="L733" s="201" t="s">
        <v>990</v>
      </c>
      <c r="M733" s="201" t="s">
        <v>991</v>
      </c>
      <c r="N733" s="201" t="s">
        <v>992</v>
      </c>
      <c r="O733" s="201" t="s">
        <v>993</v>
      </c>
      <c r="P733" s="201" t="s">
        <v>994</v>
      </c>
      <c r="Q733" s="201" t="s">
        <v>995</v>
      </c>
      <c r="R733" s="201" t="s">
        <v>996</v>
      </c>
      <c r="S733" s="201" t="s">
        <v>997</v>
      </c>
      <c r="T733" s="201" t="s">
        <v>998</v>
      </c>
      <c r="U733" s="201" t="s">
        <v>999</v>
      </c>
      <c r="V733" s="201" t="s">
        <v>1000</v>
      </c>
      <c r="W733" s="201" t="s">
        <v>1001</v>
      </c>
      <c r="X733" s="201" t="s">
        <v>1002</v>
      </c>
      <c r="Y733" s="201" t="s">
        <v>1003</v>
      </c>
    </row>
    <row r="734" spans="1:84" s="199" customFormat="1" ht="12.6" customHeight="1" x14ac:dyDescent="0.25">
      <c r="A734" s="200" t="str">
        <f>RIGHT($C$83,3)&amp;"*"&amp;RIGHT($C$82,4)&amp;"*"&amp;C$55&amp;"*"&amp;"A"</f>
        <v>209*2018*6010*A</v>
      </c>
      <c r="B734" s="272">
        <f>ROUND(C59,0)</f>
        <v>4785</v>
      </c>
      <c r="C734" s="272">
        <f>ROUND(C60,2)</f>
        <v>43.14</v>
      </c>
      <c r="D734" s="272">
        <f>ROUND(C61,0)</f>
        <v>4034039</v>
      </c>
      <c r="E734" s="272">
        <f>ROUND(C62,0)</f>
        <v>899222</v>
      </c>
      <c r="F734" s="272">
        <f>ROUND(C63,0)</f>
        <v>808823</v>
      </c>
      <c r="G734" s="272">
        <f>ROUND(C64,0)</f>
        <v>421964</v>
      </c>
      <c r="H734" s="272">
        <f>ROUND(C65,0)</f>
        <v>755</v>
      </c>
      <c r="I734" s="272">
        <f>ROUND(C66,0)</f>
        <v>58650</v>
      </c>
      <c r="J734" s="272">
        <f>ROUND(C67,0)</f>
        <v>481807</v>
      </c>
      <c r="K734" s="272">
        <f>ROUND(C68,0)</f>
        <v>9090</v>
      </c>
      <c r="L734" s="272">
        <f>ROUND(C69,0)</f>
        <v>25872</v>
      </c>
      <c r="M734" s="272">
        <f>ROUND(C70,0)</f>
        <v>250</v>
      </c>
      <c r="N734" s="272">
        <f>ROUND(C75,0)</f>
        <v>24323124</v>
      </c>
      <c r="O734" s="272">
        <f>ROUND(C73,0)</f>
        <v>24170300</v>
      </c>
      <c r="P734" s="272">
        <f>IF(C76&gt;0,ROUND(C76,0),0)</f>
        <v>13914</v>
      </c>
      <c r="Q734" s="272">
        <f>IF(C77&gt;0,ROUND(C77,0),0)</f>
        <v>12400</v>
      </c>
      <c r="R734" s="272">
        <f>IF(C78&gt;0,ROUND(C78,0),0)</f>
        <v>4334</v>
      </c>
      <c r="S734" s="272">
        <f>IF(C79&gt;0,ROUND(C79,0),0)</f>
        <v>87935</v>
      </c>
      <c r="T734" s="272">
        <f>IF(C80&gt;0,ROUND(C80,2),0)</f>
        <v>28.54</v>
      </c>
      <c r="U734" s="272"/>
      <c r="V734" s="272"/>
      <c r="W734" s="272"/>
      <c r="X734" s="272"/>
      <c r="Y734" s="272">
        <f>IF(M668&lt;&gt;0,ROUND(M668,0),0)</f>
        <v>3457423</v>
      </c>
      <c r="Z734" s="272"/>
      <c r="AA734" s="272"/>
      <c r="AB734" s="272"/>
      <c r="AC734" s="272"/>
      <c r="AD734" s="272"/>
      <c r="AE734" s="272"/>
      <c r="AF734" s="272"/>
      <c r="AG734" s="272"/>
      <c r="AH734" s="272"/>
      <c r="AI734" s="272"/>
      <c r="AJ734" s="272"/>
      <c r="AK734" s="272"/>
      <c r="AL734" s="272"/>
      <c r="AM734" s="272"/>
      <c r="AN734" s="272"/>
      <c r="AO734" s="272"/>
      <c r="AP734" s="272"/>
      <c r="AQ734" s="272"/>
      <c r="AR734" s="272"/>
      <c r="AS734" s="272"/>
      <c r="AT734" s="272"/>
      <c r="AU734" s="272"/>
      <c r="AV734" s="272"/>
      <c r="AW734" s="272"/>
      <c r="AX734" s="272"/>
      <c r="AY734" s="272"/>
      <c r="AZ734" s="272"/>
      <c r="BA734" s="272"/>
      <c r="BB734" s="272"/>
      <c r="BC734" s="272"/>
      <c r="BD734" s="272"/>
      <c r="BE734" s="272"/>
      <c r="BF734" s="272"/>
      <c r="BG734" s="272"/>
      <c r="BH734" s="272"/>
      <c r="BI734" s="272"/>
      <c r="BJ734" s="272"/>
      <c r="BK734" s="272"/>
      <c r="BL734" s="272"/>
      <c r="BM734" s="272"/>
      <c r="BN734" s="272"/>
      <c r="BO734" s="272"/>
      <c r="BP734" s="272"/>
      <c r="BQ734" s="272"/>
      <c r="BR734" s="272"/>
      <c r="BS734" s="272"/>
      <c r="BT734" s="272"/>
      <c r="BU734" s="272"/>
      <c r="BV734" s="272"/>
      <c r="BW734" s="272"/>
      <c r="BX734" s="272"/>
      <c r="BY734" s="272"/>
      <c r="BZ734" s="272"/>
      <c r="CA734" s="272"/>
      <c r="CB734" s="272"/>
      <c r="CC734" s="272"/>
      <c r="CD734" s="272"/>
      <c r="CE734" s="272"/>
    </row>
    <row r="735" spans="1:84" ht="12.6" customHeight="1" x14ac:dyDescent="0.25">
      <c r="A735" s="207" t="str">
        <f>RIGHT($C$83,3)&amp;"*"&amp;RIGHT($C$82,4)&amp;"*"&amp;D$55&amp;"*"&amp;"A"</f>
        <v>209*2018*6030*A</v>
      </c>
      <c r="B735" s="272">
        <f>ROUND(D59,0)</f>
        <v>0</v>
      </c>
      <c r="C735" s="274">
        <f>ROUND(D60,2)</f>
        <v>0</v>
      </c>
      <c r="D735" s="272">
        <f>ROUND(D61,0)</f>
        <v>0</v>
      </c>
      <c r="E735" s="272">
        <f>ROUND(D62,0)</f>
        <v>0</v>
      </c>
      <c r="F735" s="272">
        <f>ROUND(D63,0)</f>
        <v>0</v>
      </c>
      <c r="G735" s="272">
        <f>ROUND(D64,0)</f>
        <v>0</v>
      </c>
      <c r="H735" s="272">
        <f>ROUND(D65,0)</f>
        <v>0</v>
      </c>
      <c r="I735" s="272">
        <f>ROUND(D66,0)</f>
        <v>0</v>
      </c>
      <c r="J735" s="272">
        <f>ROUND(D67,0)</f>
        <v>0</v>
      </c>
      <c r="K735" s="272">
        <f>ROUND(D68,0)</f>
        <v>0</v>
      </c>
      <c r="L735" s="272">
        <f>ROUND(D69,0)</f>
        <v>0</v>
      </c>
      <c r="M735" s="272">
        <f>ROUND(D70,0)</f>
        <v>0</v>
      </c>
      <c r="N735" s="272">
        <f>ROUND(D75,0)</f>
        <v>0</v>
      </c>
      <c r="O735" s="272">
        <f>ROUND(D73,0)</f>
        <v>0</v>
      </c>
      <c r="P735" s="272">
        <f>IF(D76&gt;0,ROUND(D76,0),0)</f>
        <v>0</v>
      </c>
      <c r="Q735" s="272">
        <f>IF(D77&gt;0,ROUND(D77,0),0)</f>
        <v>0</v>
      </c>
      <c r="R735" s="272">
        <f>IF(D78&gt;0,ROUND(D78,0),0)</f>
        <v>0</v>
      </c>
      <c r="S735" s="272">
        <f>IF(D79&gt;0,ROUND(D79,0),0)</f>
        <v>0</v>
      </c>
      <c r="T735" s="274">
        <f>IF(D80&gt;0,ROUND(D80,2),0)</f>
        <v>0</v>
      </c>
      <c r="U735" s="272"/>
      <c r="V735" s="273"/>
      <c r="W735" s="272"/>
      <c r="X735" s="272"/>
      <c r="Y735" s="272">
        <f t="shared" ref="Y735:Y779" si="21">IF(M669&lt;&gt;0,ROUND(M669,0),0)</f>
        <v>0</v>
      </c>
      <c r="Z735" s="273"/>
      <c r="AA735" s="273"/>
      <c r="AB735" s="273"/>
      <c r="AC735" s="273"/>
      <c r="AD735" s="273"/>
      <c r="AE735" s="273"/>
      <c r="AF735" s="273"/>
      <c r="AG735" s="273"/>
      <c r="AH735" s="273"/>
      <c r="AI735" s="273"/>
      <c r="AJ735" s="273"/>
      <c r="AK735" s="273"/>
      <c r="AL735" s="273"/>
      <c r="AM735" s="273"/>
      <c r="AN735" s="273"/>
      <c r="AO735" s="273"/>
      <c r="AP735" s="273"/>
      <c r="AQ735" s="273"/>
      <c r="AR735" s="273"/>
      <c r="AS735" s="273"/>
      <c r="AT735" s="273"/>
      <c r="AU735" s="273"/>
      <c r="AV735" s="273"/>
      <c r="AW735" s="273"/>
      <c r="AX735" s="273"/>
      <c r="AY735" s="273"/>
      <c r="AZ735" s="273"/>
      <c r="BA735" s="273"/>
      <c r="BB735" s="273"/>
      <c r="BC735" s="273"/>
      <c r="BD735" s="273"/>
      <c r="BE735" s="273"/>
      <c r="BF735" s="273"/>
      <c r="BG735" s="273"/>
      <c r="BH735" s="273"/>
      <c r="BI735" s="273"/>
      <c r="BJ735" s="273"/>
      <c r="BK735" s="273"/>
      <c r="BL735" s="273"/>
      <c r="BM735" s="273"/>
      <c r="BN735" s="273"/>
      <c r="BO735" s="273"/>
      <c r="BP735" s="273"/>
      <c r="BQ735" s="273"/>
      <c r="BR735" s="273"/>
      <c r="BS735" s="273"/>
      <c r="BT735" s="273"/>
      <c r="BU735" s="273"/>
      <c r="BV735" s="273"/>
      <c r="BW735" s="273"/>
      <c r="BX735" s="273"/>
      <c r="BY735" s="273"/>
      <c r="BZ735" s="273"/>
      <c r="CA735" s="273"/>
      <c r="CB735" s="273"/>
      <c r="CC735" s="273"/>
      <c r="CD735" s="273"/>
      <c r="CE735" s="273"/>
    </row>
    <row r="736" spans="1:84" ht="12.6" customHeight="1" x14ac:dyDescent="0.25">
      <c r="A736" s="207" t="str">
        <f>RIGHT($C$83,3)&amp;"*"&amp;RIGHT($C$82,4)&amp;"*"&amp;E$55&amp;"*"&amp;"A"</f>
        <v>209*2018*6070*A</v>
      </c>
      <c r="B736" s="272">
        <f>ROUND(E59,0)</f>
        <v>21515</v>
      </c>
      <c r="C736" s="274">
        <f>ROUND(E60,2)</f>
        <v>148.26</v>
      </c>
      <c r="D736" s="272">
        <f>ROUND(E61,0)</f>
        <v>7603857</v>
      </c>
      <c r="E736" s="272">
        <f>ROUND(E62,0)</f>
        <v>1822465</v>
      </c>
      <c r="F736" s="272">
        <f>ROUND(E63,0)</f>
        <v>50375</v>
      </c>
      <c r="G736" s="272">
        <f>ROUND(E64,0)</f>
        <v>468039</v>
      </c>
      <c r="H736" s="272">
        <f>ROUND(E65,0)</f>
        <v>1996</v>
      </c>
      <c r="I736" s="272">
        <f>ROUND(E66,0)</f>
        <v>89782</v>
      </c>
      <c r="J736" s="272">
        <f>ROUND(E67,0)</f>
        <v>674293</v>
      </c>
      <c r="K736" s="272">
        <f>ROUND(E68,0)</f>
        <v>3373</v>
      </c>
      <c r="L736" s="272">
        <f>ROUND(E69,0)</f>
        <v>32821</v>
      </c>
      <c r="M736" s="272">
        <f>ROUND(E70,0)</f>
        <v>300</v>
      </c>
      <c r="N736" s="272">
        <f>ROUND(E75,0)</f>
        <v>53441585</v>
      </c>
      <c r="O736" s="272">
        <f>ROUND(E73,0)</f>
        <v>46527644</v>
      </c>
      <c r="P736" s="272">
        <f>IF(E76&gt;0,ROUND(E76,0),0)</f>
        <v>58140</v>
      </c>
      <c r="Q736" s="272">
        <f>IF(E77&gt;0,ROUND(E77,0),0)</f>
        <v>108276</v>
      </c>
      <c r="R736" s="272">
        <f>IF(E78&gt;0,ROUND(E78,0),0)</f>
        <v>18108</v>
      </c>
      <c r="S736" s="272">
        <f>IF(E79&gt;0,ROUND(E79,0),0)</f>
        <v>318071</v>
      </c>
      <c r="T736" s="274">
        <f>IF(E80&gt;0,ROUND(E80,2),0)</f>
        <v>88.64</v>
      </c>
      <c r="U736" s="272"/>
      <c r="V736" s="273"/>
      <c r="W736" s="272"/>
      <c r="X736" s="272"/>
      <c r="Y736" s="272">
        <f t="shared" si="21"/>
        <v>9872693</v>
      </c>
      <c r="Z736" s="273"/>
      <c r="AA736" s="273"/>
      <c r="AB736" s="273"/>
      <c r="AC736" s="273"/>
      <c r="AD736" s="273"/>
      <c r="AE736" s="273"/>
      <c r="AF736" s="273"/>
      <c r="AG736" s="273"/>
      <c r="AH736" s="273"/>
      <c r="AI736" s="273"/>
      <c r="AJ736" s="273"/>
      <c r="AK736" s="273"/>
      <c r="AL736" s="273"/>
      <c r="AM736" s="273"/>
      <c r="AN736" s="273"/>
      <c r="AO736" s="273"/>
      <c r="AP736" s="273"/>
      <c r="AQ736" s="273"/>
      <c r="AR736" s="273"/>
      <c r="AS736" s="273"/>
      <c r="AT736" s="273"/>
      <c r="AU736" s="273"/>
      <c r="AV736" s="273"/>
      <c r="AW736" s="273"/>
      <c r="AX736" s="273"/>
      <c r="AY736" s="273"/>
      <c r="AZ736" s="273"/>
      <c r="BA736" s="273"/>
      <c r="BB736" s="273"/>
      <c r="BC736" s="273"/>
      <c r="BD736" s="273"/>
      <c r="BE736" s="273"/>
      <c r="BF736" s="273"/>
      <c r="BG736" s="273"/>
      <c r="BH736" s="273"/>
      <c r="BI736" s="273"/>
      <c r="BJ736" s="273"/>
      <c r="BK736" s="273"/>
      <c r="BL736" s="273"/>
      <c r="BM736" s="273"/>
      <c r="BN736" s="273"/>
      <c r="BO736" s="273"/>
      <c r="BP736" s="273"/>
      <c r="BQ736" s="273"/>
      <c r="BR736" s="273"/>
      <c r="BS736" s="273"/>
      <c r="BT736" s="273"/>
      <c r="BU736" s="273"/>
      <c r="BV736" s="273"/>
      <c r="BW736" s="273"/>
      <c r="BX736" s="273"/>
      <c r="BY736" s="273"/>
      <c r="BZ736" s="273"/>
      <c r="CA736" s="273"/>
      <c r="CB736" s="273"/>
      <c r="CC736" s="273"/>
      <c r="CD736" s="273"/>
      <c r="CE736" s="273"/>
    </row>
    <row r="737" spans="1:83" ht="12.6" customHeight="1" x14ac:dyDescent="0.25">
      <c r="A737" s="207" t="str">
        <f>RIGHT($C$83,3)&amp;"*"&amp;RIGHT($C$82,4)&amp;"*"&amp;F$55&amp;"*"&amp;"A"</f>
        <v>209*2018*6100*A</v>
      </c>
      <c r="B737" s="272">
        <f>ROUND(F59,0)</f>
        <v>0</v>
      </c>
      <c r="C737" s="274">
        <f>ROUND(F60,2)</f>
        <v>0</v>
      </c>
      <c r="D737" s="272">
        <f>ROUND(F61,0)</f>
        <v>0</v>
      </c>
      <c r="E737" s="272">
        <f>ROUND(F62,0)</f>
        <v>0</v>
      </c>
      <c r="F737" s="272">
        <f>ROUND(F63,0)</f>
        <v>0</v>
      </c>
      <c r="G737" s="272">
        <f>ROUND(F64,0)</f>
        <v>0</v>
      </c>
      <c r="H737" s="272">
        <f>ROUND(F65,0)</f>
        <v>0</v>
      </c>
      <c r="I737" s="272">
        <f>ROUND(F66,0)</f>
        <v>0</v>
      </c>
      <c r="J737" s="272">
        <f>ROUND(F67,0)</f>
        <v>0</v>
      </c>
      <c r="K737" s="272">
        <f>ROUND(F68,0)</f>
        <v>0</v>
      </c>
      <c r="L737" s="272">
        <f>ROUND(F69,0)</f>
        <v>0</v>
      </c>
      <c r="M737" s="272">
        <f>ROUND(F70,0)</f>
        <v>0</v>
      </c>
      <c r="N737" s="272">
        <f>ROUND(F75,0)</f>
        <v>0</v>
      </c>
      <c r="O737" s="272">
        <f>ROUND(F73,0)</f>
        <v>0</v>
      </c>
      <c r="P737" s="272">
        <f>IF(F76&gt;0,ROUND(F76,0),0)</f>
        <v>0</v>
      </c>
      <c r="Q737" s="272">
        <f>IF(F77&gt;0,ROUND(F77,0),0)</f>
        <v>0</v>
      </c>
      <c r="R737" s="272">
        <f>IF(F78&gt;0,ROUND(F78,0),0)</f>
        <v>0</v>
      </c>
      <c r="S737" s="272">
        <f>IF(F79&gt;0,ROUND(F79,0),0)</f>
        <v>0</v>
      </c>
      <c r="T737" s="274">
        <f>IF(F80&gt;0,ROUND(F80,2),0)</f>
        <v>0</v>
      </c>
      <c r="U737" s="272"/>
      <c r="V737" s="273"/>
      <c r="W737" s="272"/>
      <c r="X737" s="272"/>
      <c r="Y737" s="272">
        <f t="shared" si="21"/>
        <v>0</v>
      </c>
      <c r="Z737" s="273"/>
      <c r="AA737" s="273"/>
      <c r="AB737" s="273"/>
      <c r="AC737" s="273"/>
      <c r="AD737" s="273"/>
      <c r="AE737" s="273"/>
      <c r="AF737" s="273"/>
      <c r="AG737" s="273"/>
      <c r="AH737" s="273"/>
      <c r="AI737" s="273"/>
      <c r="AJ737" s="273"/>
      <c r="AK737" s="273"/>
      <c r="AL737" s="273"/>
      <c r="AM737" s="273"/>
      <c r="AN737" s="273"/>
      <c r="AO737" s="273"/>
      <c r="AP737" s="273"/>
      <c r="AQ737" s="273"/>
      <c r="AR737" s="273"/>
      <c r="AS737" s="273"/>
      <c r="AT737" s="273"/>
      <c r="AU737" s="273"/>
      <c r="AV737" s="273"/>
      <c r="AW737" s="273"/>
      <c r="AX737" s="273"/>
      <c r="AY737" s="273"/>
      <c r="AZ737" s="273"/>
      <c r="BA737" s="273"/>
      <c r="BB737" s="273"/>
      <c r="BC737" s="273"/>
      <c r="BD737" s="273"/>
      <c r="BE737" s="273"/>
      <c r="BF737" s="273"/>
      <c r="BG737" s="273"/>
      <c r="BH737" s="273"/>
      <c r="BI737" s="273"/>
      <c r="BJ737" s="273"/>
      <c r="BK737" s="273"/>
      <c r="BL737" s="273"/>
      <c r="BM737" s="273"/>
      <c r="BN737" s="273"/>
      <c r="BO737" s="273"/>
      <c r="BP737" s="273"/>
      <c r="BQ737" s="273"/>
      <c r="BR737" s="273"/>
      <c r="BS737" s="273"/>
      <c r="BT737" s="273"/>
      <c r="BU737" s="273"/>
      <c r="BV737" s="273"/>
      <c r="BW737" s="273"/>
      <c r="BX737" s="273"/>
      <c r="BY737" s="273"/>
      <c r="BZ737" s="273"/>
      <c r="CA737" s="273"/>
      <c r="CB737" s="273"/>
      <c r="CC737" s="273"/>
      <c r="CD737" s="273"/>
      <c r="CE737" s="273"/>
    </row>
    <row r="738" spans="1:83" ht="12.6" customHeight="1" x14ac:dyDescent="0.25">
      <c r="A738" s="207" t="str">
        <f>RIGHT($C$83,3)&amp;"*"&amp;RIGHT($C$82,4)&amp;"*"&amp;G$55&amp;"*"&amp;"A"</f>
        <v>209*2018*6120*A</v>
      </c>
      <c r="B738" s="272">
        <f>ROUND(G59,0)</f>
        <v>0</v>
      </c>
      <c r="C738" s="274">
        <f>ROUND(G60,2)</f>
        <v>0</v>
      </c>
      <c r="D738" s="272">
        <f>ROUND(G61,0)</f>
        <v>0</v>
      </c>
      <c r="E738" s="272">
        <f>ROUND(G62,0)</f>
        <v>0</v>
      </c>
      <c r="F738" s="272">
        <f>ROUND(G63,0)</f>
        <v>0</v>
      </c>
      <c r="G738" s="272">
        <f>ROUND(G64,0)</f>
        <v>0</v>
      </c>
      <c r="H738" s="272">
        <f>ROUND(G65,0)</f>
        <v>0</v>
      </c>
      <c r="I738" s="272">
        <f>ROUND(G66,0)</f>
        <v>0</v>
      </c>
      <c r="J738" s="272">
        <f>ROUND(G67,0)</f>
        <v>0</v>
      </c>
      <c r="K738" s="272">
        <f>ROUND(G68,0)</f>
        <v>0</v>
      </c>
      <c r="L738" s="272">
        <f>ROUND(G69,0)</f>
        <v>0</v>
      </c>
      <c r="M738" s="272">
        <f>ROUND(G70,0)</f>
        <v>0</v>
      </c>
      <c r="N738" s="272">
        <f>ROUND(G75,0)</f>
        <v>0</v>
      </c>
      <c r="O738" s="272">
        <f>ROUND(G73,0)</f>
        <v>0</v>
      </c>
      <c r="P738" s="272">
        <f>IF(G76&gt;0,ROUND(G76,0),0)</f>
        <v>0</v>
      </c>
      <c r="Q738" s="272">
        <f>IF(G77&gt;0,ROUND(G77,0),0)</f>
        <v>0</v>
      </c>
      <c r="R738" s="272">
        <f>IF(G78&gt;0,ROUND(G78,0),0)</f>
        <v>0</v>
      </c>
      <c r="S738" s="272">
        <f>IF(G79&gt;0,ROUND(G79,0),0)</f>
        <v>0</v>
      </c>
      <c r="T738" s="274">
        <f>IF(G80&gt;0,ROUND(G80,2),0)</f>
        <v>0</v>
      </c>
      <c r="U738" s="272"/>
      <c r="V738" s="273"/>
      <c r="W738" s="272"/>
      <c r="X738" s="272"/>
      <c r="Y738" s="272">
        <f t="shared" si="21"/>
        <v>0</v>
      </c>
      <c r="Z738" s="273"/>
      <c r="AA738" s="273"/>
      <c r="AB738" s="273"/>
      <c r="AC738" s="273"/>
      <c r="AD738" s="273"/>
      <c r="AE738" s="273"/>
      <c r="AF738" s="273"/>
      <c r="AG738" s="273"/>
      <c r="AH738" s="273"/>
      <c r="AI738" s="273"/>
      <c r="AJ738" s="273"/>
      <c r="AK738" s="273"/>
      <c r="AL738" s="273"/>
      <c r="AM738" s="273"/>
      <c r="AN738" s="273"/>
      <c r="AO738" s="273"/>
      <c r="AP738" s="273"/>
      <c r="AQ738" s="273"/>
      <c r="AR738" s="273"/>
      <c r="AS738" s="273"/>
      <c r="AT738" s="273"/>
      <c r="AU738" s="273"/>
      <c r="AV738" s="273"/>
      <c r="AW738" s="273"/>
      <c r="AX738" s="273"/>
      <c r="AY738" s="273"/>
      <c r="AZ738" s="273"/>
      <c r="BA738" s="273"/>
      <c r="BB738" s="273"/>
      <c r="BC738" s="273"/>
      <c r="BD738" s="273"/>
      <c r="BE738" s="273"/>
      <c r="BF738" s="273"/>
      <c r="BG738" s="273"/>
      <c r="BH738" s="273"/>
      <c r="BI738" s="273"/>
      <c r="BJ738" s="273"/>
      <c r="BK738" s="273"/>
      <c r="BL738" s="273"/>
      <c r="BM738" s="273"/>
      <c r="BN738" s="273"/>
      <c r="BO738" s="273"/>
      <c r="BP738" s="273"/>
      <c r="BQ738" s="273"/>
      <c r="BR738" s="273"/>
      <c r="BS738" s="273"/>
      <c r="BT738" s="273"/>
      <c r="BU738" s="273"/>
      <c r="BV738" s="273"/>
      <c r="BW738" s="273"/>
      <c r="BX738" s="273"/>
      <c r="BY738" s="273"/>
      <c r="BZ738" s="273"/>
      <c r="CA738" s="273"/>
      <c r="CB738" s="273"/>
      <c r="CC738" s="273"/>
      <c r="CD738" s="273"/>
      <c r="CE738" s="273"/>
    </row>
    <row r="739" spans="1:83" ht="12.6" customHeight="1" x14ac:dyDescent="0.25">
      <c r="A739" s="207" t="str">
        <f>RIGHT($C$83,3)&amp;"*"&amp;RIGHT($C$82,4)&amp;"*"&amp;H$55&amp;"*"&amp;"A"</f>
        <v>209*2018*6140*A</v>
      </c>
      <c r="B739" s="272">
        <f>ROUND(H59,0)</f>
        <v>0</v>
      </c>
      <c r="C739" s="274">
        <f>ROUND(H60,2)</f>
        <v>0</v>
      </c>
      <c r="D739" s="272">
        <f>ROUND(H61,0)</f>
        <v>0</v>
      </c>
      <c r="E739" s="272">
        <f>ROUND(H62,0)</f>
        <v>0</v>
      </c>
      <c r="F739" s="272">
        <f>ROUND(H63,0)</f>
        <v>0</v>
      </c>
      <c r="G739" s="272">
        <f>ROUND(H64,0)</f>
        <v>0</v>
      </c>
      <c r="H739" s="272">
        <f>ROUND(H65,0)</f>
        <v>0</v>
      </c>
      <c r="I739" s="272">
        <f>ROUND(H66,0)</f>
        <v>0</v>
      </c>
      <c r="J739" s="272">
        <f>ROUND(H67,0)</f>
        <v>0</v>
      </c>
      <c r="K739" s="272">
        <f>ROUND(H68,0)</f>
        <v>0</v>
      </c>
      <c r="L739" s="272">
        <f>ROUND(H69,0)</f>
        <v>0</v>
      </c>
      <c r="M739" s="272">
        <f>ROUND(H70,0)</f>
        <v>0</v>
      </c>
      <c r="N739" s="272">
        <f>ROUND(H75,0)</f>
        <v>0</v>
      </c>
      <c r="O739" s="272">
        <f>ROUND(H73,0)</f>
        <v>0</v>
      </c>
      <c r="P739" s="272">
        <f>IF(H76&gt;0,ROUND(H76,0),0)</f>
        <v>0</v>
      </c>
      <c r="Q739" s="272">
        <f>IF(H77&gt;0,ROUND(H77,0),0)</f>
        <v>0</v>
      </c>
      <c r="R739" s="272">
        <f>IF(H78&gt;0,ROUND(H78,0),0)</f>
        <v>0</v>
      </c>
      <c r="S739" s="272">
        <f>IF(H79&gt;0,ROUND(H79,0),0)</f>
        <v>0</v>
      </c>
      <c r="T739" s="274">
        <f>IF(H80&gt;0,ROUND(H80,2),0)</f>
        <v>0</v>
      </c>
      <c r="U739" s="272"/>
      <c r="V739" s="273"/>
      <c r="W739" s="272"/>
      <c r="X739" s="272"/>
      <c r="Y739" s="272">
        <f t="shared" si="21"/>
        <v>0</v>
      </c>
      <c r="Z739" s="273"/>
      <c r="AA739" s="273"/>
      <c r="AB739" s="273"/>
      <c r="AC739" s="273"/>
      <c r="AD739" s="273"/>
      <c r="AE739" s="273"/>
      <c r="AF739" s="273"/>
      <c r="AG739" s="273"/>
      <c r="AH739" s="273"/>
      <c r="AI739" s="273"/>
      <c r="AJ739" s="273"/>
      <c r="AK739" s="273"/>
      <c r="AL739" s="273"/>
      <c r="AM739" s="273"/>
      <c r="AN739" s="273"/>
      <c r="AO739" s="273"/>
      <c r="AP739" s="273"/>
      <c r="AQ739" s="273"/>
      <c r="AR739" s="273"/>
      <c r="AS739" s="273"/>
      <c r="AT739" s="273"/>
      <c r="AU739" s="273"/>
      <c r="AV739" s="273"/>
      <c r="AW739" s="273"/>
      <c r="AX739" s="273"/>
      <c r="AY739" s="273"/>
      <c r="AZ739" s="273"/>
      <c r="BA739" s="273"/>
      <c r="BB739" s="273"/>
      <c r="BC739" s="273"/>
      <c r="BD739" s="273"/>
      <c r="BE739" s="273"/>
      <c r="BF739" s="273"/>
      <c r="BG739" s="273"/>
      <c r="BH739" s="273"/>
      <c r="BI739" s="273"/>
      <c r="BJ739" s="273"/>
      <c r="BK739" s="273"/>
      <c r="BL739" s="273"/>
      <c r="BM739" s="273"/>
      <c r="BN739" s="273"/>
      <c r="BO739" s="273"/>
      <c r="BP739" s="273"/>
      <c r="BQ739" s="273"/>
      <c r="BR739" s="273"/>
      <c r="BS739" s="273"/>
      <c r="BT739" s="273"/>
      <c r="BU739" s="273"/>
      <c r="BV739" s="273"/>
      <c r="BW739" s="273"/>
      <c r="BX739" s="273"/>
      <c r="BY739" s="273"/>
      <c r="BZ739" s="273"/>
      <c r="CA739" s="273"/>
      <c r="CB739" s="273"/>
      <c r="CC739" s="273"/>
      <c r="CD739" s="273"/>
      <c r="CE739" s="273"/>
    </row>
    <row r="740" spans="1:83" ht="12.6" customHeight="1" x14ac:dyDescent="0.25">
      <c r="A740" s="207" t="str">
        <f>RIGHT($C$83,3)&amp;"*"&amp;RIGHT($C$82,4)&amp;"*"&amp;I$55&amp;"*"&amp;"A"</f>
        <v>209*2018*6150*A</v>
      </c>
      <c r="B740" s="272">
        <f>ROUND(I59,0)</f>
        <v>0</v>
      </c>
      <c r="C740" s="274">
        <f>ROUND(I60,2)</f>
        <v>0</v>
      </c>
      <c r="D740" s="272">
        <f>ROUND(I61,0)</f>
        <v>0</v>
      </c>
      <c r="E740" s="272">
        <f>ROUND(I62,0)</f>
        <v>0</v>
      </c>
      <c r="F740" s="272">
        <f>ROUND(I63,0)</f>
        <v>0</v>
      </c>
      <c r="G740" s="272">
        <f>ROUND(I64,0)</f>
        <v>0</v>
      </c>
      <c r="H740" s="272">
        <f>ROUND(I65,0)</f>
        <v>0</v>
      </c>
      <c r="I740" s="272">
        <f>ROUND(I66,0)</f>
        <v>0</v>
      </c>
      <c r="J740" s="272">
        <f>ROUND(I67,0)</f>
        <v>0</v>
      </c>
      <c r="K740" s="272">
        <f>ROUND(I68,0)</f>
        <v>0</v>
      </c>
      <c r="L740" s="272">
        <f>ROUND(I69,0)</f>
        <v>0</v>
      </c>
      <c r="M740" s="272">
        <f>ROUND(I70,0)</f>
        <v>0</v>
      </c>
      <c r="N740" s="272">
        <f>ROUND(I75,0)</f>
        <v>0</v>
      </c>
      <c r="O740" s="272">
        <f>ROUND(I73,0)</f>
        <v>0</v>
      </c>
      <c r="P740" s="272">
        <f>IF(I76&gt;0,ROUND(I76,0),0)</f>
        <v>0</v>
      </c>
      <c r="Q740" s="272">
        <f>IF(I77&gt;0,ROUND(I77,0),0)</f>
        <v>0</v>
      </c>
      <c r="R740" s="272">
        <f>IF(I78&gt;0,ROUND(I78,0),0)</f>
        <v>0</v>
      </c>
      <c r="S740" s="272">
        <f>IF(I79&gt;0,ROUND(I79,0),0)</f>
        <v>0</v>
      </c>
      <c r="T740" s="274">
        <f>IF(I80&gt;0,ROUND(I80,2),0)</f>
        <v>0</v>
      </c>
      <c r="U740" s="272"/>
      <c r="V740" s="273"/>
      <c r="W740" s="272"/>
      <c r="X740" s="272"/>
      <c r="Y740" s="272">
        <f t="shared" si="21"/>
        <v>0</v>
      </c>
      <c r="Z740" s="273"/>
      <c r="AA740" s="273"/>
      <c r="AB740" s="273"/>
      <c r="AC740" s="273"/>
      <c r="AD740" s="273"/>
      <c r="AE740" s="273"/>
      <c r="AF740" s="273"/>
      <c r="AG740" s="273"/>
      <c r="AH740" s="273"/>
      <c r="AI740" s="273"/>
      <c r="AJ740" s="273"/>
      <c r="AK740" s="273"/>
      <c r="AL740" s="273"/>
      <c r="AM740" s="273"/>
      <c r="AN740" s="273"/>
      <c r="AO740" s="273"/>
      <c r="AP740" s="273"/>
      <c r="AQ740" s="273"/>
      <c r="AR740" s="273"/>
      <c r="AS740" s="273"/>
      <c r="AT740" s="273"/>
      <c r="AU740" s="273"/>
      <c r="AV740" s="273"/>
      <c r="AW740" s="273"/>
      <c r="AX740" s="273"/>
      <c r="AY740" s="273"/>
      <c r="AZ740" s="273"/>
      <c r="BA740" s="273"/>
      <c r="BB740" s="273"/>
      <c r="BC740" s="273"/>
      <c r="BD740" s="273"/>
      <c r="BE740" s="273"/>
      <c r="BF740" s="273"/>
      <c r="BG740" s="273"/>
      <c r="BH740" s="273"/>
      <c r="BI740" s="273"/>
      <c r="BJ740" s="273"/>
      <c r="BK740" s="273"/>
      <c r="BL740" s="273"/>
      <c r="BM740" s="273"/>
      <c r="BN740" s="273"/>
      <c r="BO740" s="273"/>
      <c r="BP740" s="273"/>
      <c r="BQ740" s="273"/>
      <c r="BR740" s="273"/>
      <c r="BS740" s="273"/>
      <c r="BT740" s="273"/>
      <c r="BU740" s="273"/>
      <c r="BV740" s="273"/>
      <c r="BW740" s="273"/>
      <c r="BX740" s="273"/>
      <c r="BY740" s="273"/>
      <c r="BZ740" s="273"/>
      <c r="CA740" s="273"/>
      <c r="CB740" s="273"/>
      <c r="CC740" s="273"/>
      <c r="CD740" s="273"/>
      <c r="CE740" s="273"/>
    </row>
    <row r="741" spans="1:83" ht="12.6" customHeight="1" x14ac:dyDescent="0.25">
      <c r="A741" s="207" t="str">
        <f>RIGHT($C$83,3)&amp;"*"&amp;RIGHT($C$82,4)&amp;"*"&amp;J$55&amp;"*"&amp;"A"</f>
        <v>209*2018*6170*A</v>
      </c>
      <c r="B741" s="272">
        <f>ROUND(J59,0)</f>
        <v>0</v>
      </c>
      <c r="C741" s="274">
        <f>ROUND(J60,2)</f>
        <v>0</v>
      </c>
      <c r="D741" s="272">
        <f>ROUND(J61,0)</f>
        <v>0</v>
      </c>
      <c r="E741" s="272">
        <f>ROUND(J62,0)</f>
        <v>0</v>
      </c>
      <c r="F741" s="272">
        <f>ROUND(J63,0)</f>
        <v>0</v>
      </c>
      <c r="G741" s="272">
        <f>ROUND(J64,0)</f>
        <v>0</v>
      </c>
      <c r="H741" s="272">
        <f>ROUND(J65,0)</f>
        <v>0</v>
      </c>
      <c r="I741" s="272">
        <f>ROUND(J66,0)</f>
        <v>0</v>
      </c>
      <c r="J741" s="272">
        <f>ROUND(J67,0)</f>
        <v>0</v>
      </c>
      <c r="K741" s="272">
        <f>ROUND(J68,0)</f>
        <v>0</v>
      </c>
      <c r="L741" s="272">
        <f>ROUND(J69,0)</f>
        <v>0</v>
      </c>
      <c r="M741" s="272">
        <f>ROUND(J70,0)</f>
        <v>0</v>
      </c>
      <c r="N741" s="272">
        <f>ROUND(J75,0)</f>
        <v>0</v>
      </c>
      <c r="O741" s="272">
        <f>ROUND(J73,0)</f>
        <v>0</v>
      </c>
      <c r="P741" s="272">
        <f>IF(J76&gt;0,ROUND(J76,0),0)</f>
        <v>0</v>
      </c>
      <c r="Q741" s="272">
        <f>IF(J77&gt;0,ROUND(J77,0),0)</f>
        <v>0</v>
      </c>
      <c r="R741" s="272">
        <f>IF(J78&gt;0,ROUND(J78,0),0)</f>
        <v>0</v>
      </c>
      <c r="S741" s="272">
        <f>IF(J79&gt;0,ROUND(J79,0),0)</f>
        <v>0</v>
      </c>
      <c r="T741" s="274">
        <f>IF(J80&gt;0,ROUND(J80,2),0)</f>
        <v>0</v>
      </c>
      <c r="U741" s="272"/>
      <c r="V741" s="273"/>
      <c r="W741" s="272"/>
      <c r="X741" s="272"/>
      <c r="Y741" s="272">
        <f t="shared" si="21"/>
        <v>0</v>
      </c>
      <c r="Z741" s="273"/>
      <c r="AA741" s="273"/>
      <c r="AB741" s="273"/>
      <c r="AC741" s="273"/>
      <c r="AD741" s="273"/>
      <c r="AE741" s="273"/>
      <c r="AF741" s="273"/>
      <c r="AG741" s="273"/>
      <c r="AH741" s="273"/>
      <c r="AI741" s="273"/>
      <c r="AJ741" s="273"/>
      <c r="AK741" s="273"/>
      <c r="AL741" s="273"/>
      <c r="AM741" s="273"/>
      <c r="AN741" s="273"/>
      <c r="AO741" s="273"/>
      <c r="AP741" s="273"/>
      <c r="AQ741" s="273"/>
      <c r="AR741" s="273"/>
      <c r="AS741" s="273"/>
      <c r="AT741" s="273"/>
      <c r="AU741" s="273"/>
      <c r="AV741" s="273"/>
      <c r="AW741" s="273"/>
      <c r="AX741" s="273"/>
      <c r="AY741" s="273"/>
      <c r="AZ741" s="273"/>
      <c r="BA741" s="273"/>
      <c r="BB741" s="273"/>
      <c r="BC741" s="273"/>
      <c r="BD741" s="273"/>
      <c r="BE741" s="273"/>
      <c r="BF741" s="273"/>
      <c r="BG741" s="273"/>
      <c r="BH741" s="273"/>
      <c r="BI741" s="273"/>
      <c r="BJ741" s="273"/>
      <c r="BK741" s="273"/>
      <c r="BL741" s="273"/>
      <c r="BM741" s="273"/>
      <c r="BN741" s="273"/>
      <c r="BO741" s="273"/>
      <c r="BP741" s="273"/>
      <c r="BQ741" s="273"/>
      <c r="BR741" s="273"/>
      <c r="BS741" s="273"/>
      <c r="BT741" s="273"/>
      <c r="BU741" s="273"/>
      <c r="BV741" s="273"/>
      <c r="BW741" s="273"/>
      <c r="BX741" s="273"/>
      <c r="BY741" s="273"/>
      <c r="BZ741" s="273"/>
      <c r="CA741" s="273"/>
      <c r="CB741" s="273"/>
      <c r="CC741" s="273"/>
      <c r="CD741" s="273"/>
      <c r="CE741" s="273"/>
    </row>
    <row r="742" spans="1:83" ht="12.6" customHeight="1" x14ac:dyDescent="0.25">
      <c r="A742" s="207" t="str">
        <f>RIGHT($C$83,3)&amp;"*"&amp;RIGHT($C$82,4)&amp;"*"&amp;K$55&amp;"*"&amp;"A"</f>
        <v>209*2018*6200*A</v>
      </c>
      <c r="B742" s="272">
        <f>ROUND(K59,0)</f>
        <v>0</v>
      </c>
      <c r="C742" s="274">
        <f>ROUND(K60,2)</f>
        <v>0</v>
      </c>
      <c r="D742" s="272">
        <f>ROUND(K61,0)</f>
        <v>0</v>
      </c>
      <c r="E742" s="272">
        <f>ROUND(K62,0)</f>
        <v>0</v>
      </c>
      <c r="F742" s="272">
        <f>ROUND(K63,0)</f>
        <v>0</v>
      </c>
      <c r="G742" s="272">
        <f>ROUND(K64,0)</f>
        <v>0</v>
      </c>
      <c r="H742" s="272">
        <f>ROUND(K65,0)</f>
        <v>0</v>
      </c>
      <c r="I742" s="272">
        <f>ROUND(K66,0)</f>
        <v>0</v>
      </c>
      <c r="J742" s="272">
        <f>ROUND(K67,0)</f>
        <v>0</v>
      </c>
      <c r="K742" s="272">
        <f>ROUND(K68,0)</f>
        <v>0</v>
      </c>
      <c r="L742" s="272">
        <f>ROUND(K69,0)</f>
        <v>0</v>
      </c>
      <c r="M742" s="272">
        <f>ROUND(K70,0)</f>
        <v>0</v>
      </c>
      <c r="N742" s="272">
        <f>ROUND(K75,0)</f>
        <v>0</v>
      </c>
      <c r="O742" s="272">
        <f>ROUND(K73,0)</f>
        <v>0</v>
      </c>
      <c r="P742" s="272">
        <f>IF(K76&gt;0,ROUND(K76,0),0)</f>
        <v>0</v>
      </c>
      <c r="Q742" s="272">
        <f>IF(K77&gt;0,ROUND(K77,0),0)</f>
        <v>0</v>
      </c>
      <c r="R742" s="272">
        <f>IF(K78&gt;0,ROUND(K78,0),0)</f>
        <v>0</v>
      </c>
      <c r="S742" s="272">
        <f>IF(K79&gt;0,ROUND(K79,0),0)</f>
        <v>0</v>
      </c>
      <c r="T742" s="274">
        <f>IF(K80&gt;0,ROUND(K80,2),0)</f>
        <v>0</v>
      </c>
      <c r="U742" s="272"/>
      <c r="V742" s="273"/>
      <c r="W742" s="272"/>
      <c r="X742" s="272"/>
      <c r="Y742" s="272">
        <f t="shared" si="21"/>
        <v>0</v>
      </c>
      <c r="Z742" s="273"/>
      <c r="AA742" s="273"/>
      <c r="AB742" s="273"/>
      <c r="AC742" s="273"/>
      <c r="AD742" s="273"/>
      <c r="AE742" s="273"/>
      <c r="AF742" s="273"/>
      <c r="AG742" s="273"/>
      <c r="AH742" s="273"/>
      <c r="AI742" s="273"/>
      <c r="AJ742" s="273"/>
      <c r="AK742" s="273"/>
      <c r="AL742" s="273"/>
      <c r="AM742" s="273"/>
      <c r="AN742" s="273"/>
      <c r="AO742" s="273"/>
      <c r="AP742" s="273"/>
      <c r="AQ742" s="273"/>
      <c r="AR742" s="273"/>
      <c r="AS742" s="273"/>
      <c r="AT742" s="273"/>
      <c r="AU742" s="273"/>
      <c r="AV742" s="273"/>
      <c r="AW742" s="273"/>
      <c r="AX742" s="273"/>
      <c r="AY742" s="273"/>
      <c r="AZ742" s="273"/>
      <c r="BA742" s="273"/>
      <c r="BB742" s="273"/>
      <c r="BC742" s="273"/>
      <c r="BD742" s="273"/>
      <c r="BE742" s="273"/>
      <c r="BF742" s="273"/>
      <c r="BG742" s="273"/>
      <c r="BH742" s="273"/>
      <c r="BI742" s="273"/>
      <c r="BJ742" s="273"/>
      <c r="BK742" s="273"/>
      <c r="BL742" s="273"/>
      <c r="BM742" s="273"/>
      <c r="BN742" s="273"/>
      <c r="BO742" s="273"/>
      <c r="BP742" s="273"/>
      <c r="BQ742" s="273"/>
      <c r="BR742" s="273"/>
      <c r="BS742" s="273"/>
      <c r="BT742" s="273"/>
      <c r="BU742" s="273"/>
      <c r="BV742" s="273"/>
      <c r="BW742" s="273"/>
      <c r="BX742" s="273"/>
      <c r="BY742" s="273"/>
      <c r="BZ742" s="273"/>
      <c r="CA742" s="273"/>
      <c r="CB742" s="273"/>
      <c r="CC742" s="273"/>
      <c r="CD742" s="273"/>
      <c r="CE742" s="273"/>
    </row>
    <row r="743" spans="1:83" ht="12.6" customHeight="1" x14ac:dyDescent="0.25">
      <c r="A743" s="207" t="str">
        <f>RIGHT($C$83,3)&amp;"*"&amp;RIGHT($C$82,4)&amp;"*"&amp;L$55&amp;"*"&amp;"A"</f>
        <v>209*2018*6210*A</v>
      </c>
      <c r="B743" s="272">
        <f>ROUND(L59,0)</f>
        <v>0</v>
      </c>
      <c r="C743" s="274">
        <f>ROUND(L60,2)</f>
        <v>0</v>
      </c>
      <c r="D743" s="272">
        <f>ROUND(L61,0)</f>
        <v>0</v>
      </c>
      <c r="E743" s="272">
        <f>ROUND(L62,0)</f>
        <v>0</v>
      </c>
      <c r="F743" s="272">
        <f>ROUND(L63,0)</f>
        <v>0</v>
      </c>
      <c r="G743" s="272">
        <f>ROUND(L64,0)</f>
        <v>0</v>
      </c>
      <c r="H743" s="272">
        <f>ROUND(L65,0)</f>
        <v>0</v>
      </c>
      <c r="I743" s="272">
        <f>ROUND(L66,0)</f>
        <v>0</v>
      </c>
      <c r="J743" s="272">
        <f>ROUND(L67,0)</f>
        <v>0</v>
      </c>
      <c r="K743" s="272">
        <f>ROUND(L68,0)</f>
        <v>0</v>
      </c>
      <c r="L743" s="272">
        <f>ROUND(L69,0)</f>
        <v>0</v>
      </c>
      <c r="M743" s="272">
        <f>ROUND(L70,0)</f>
        <v>0</v>
      </c>
      <c r="N743" s="272">
        <f>ROUND(L75,0)</f>
        <v>0</v>
      </c>
      <c r="O743" s="272">
        <f>ROUND(L73,0)</f>
        <v>0</v>
      </c>
      <c r="P743" s="272">
        <f>IF(L76&gt;0,ROUND(L76,0),0)</f>
        <v>0</v>
      </c>
      <c r="Q743" s="272">
        <f>IF(L77&gt;0,ROUND(L77,0),0)</f>
        <v>0</v>
      </c>
      <c r="R743" s="272">
        <f>IF(L78&gt;0,ROUND(L78,0),0)</f>
        <v>0</v>
      </c>
      <c r="S743" s="272">
        <f>IF(L79&gt;0,ROUND(L79,0),0)</f>
        <v>0</v>
      </c>
      <c r="T743" s="274">
        <f>IF(L80&gt;0,ROUND(L80,2),0)</f>
        <v>0</v>
      </c>
      <c r="U743" s="272"/>
      <c r="V743" s="273"/>
      <c r="W743" s="272"/>
      <c r="X743" s="272"/>
      <c r="Y743" s="272">
        <f t="shared" si="21"/>
        <v>0</v>
      </c>
      <c r="Z743" s="273"/>
      <c r="AA743" s="273"/>
      <c r="AB743" s="273"/>
      <c r="AC743" s="273"/>
      <c r="AD743" s="273"/>
      <c r="AE743" s="273"/>
      <c r="AF743" s="273"/>
      <c r="AG743" s="273"/>
      <c r="AH743" s="273"/>
      <c r="AI743" s="273"/>
      <c r="AJ743" s="273"/>
      <c r="AK743" s="273"/>
      <c r="AL743" s="273"/>
      <c r="AM743" s="273"/>
      <c r="AN743" s="273"/>
      <c r="AO743" s="273"/>
      <c r="AP743" s="273"/>
      <c r="AQ743" s="273"/>
      <c r="AR743" s="273"/>
      <c r="AS743" s="273"/>
      <c r="AT743" s="273"/>
      <c r="AU743" s="273"/>
      <c r="AV743" s="273"/>
      <c r="AW743" s="273"/>
      <c r="AX743" s="273"/>
      <c r="AY743" s="273"/>
      <c r="AZ743" s="273"/>
      <c r="BA743" s="273"/>
      <c r="BB743" s="273"/>
      <c r="BC743" s="273"/>
      <c r="BD743" s="273"/>
      <c r="BE743" s="273"/>
      <c r="BF743" s="273"/>
      <c r="BG743" s="273"/>
      <c r="BH743" s="273"/>
      <c r="BI743" s="273"/>
      <c r="BJ743" s="273"/>
      <c r="BK743" s="273"/>
      <c r="BL743" s="273"/>
      <c r="BM743" s="273"/>
      <c r="BN743" s="273"/>
      <c r="BO743" s="273"/>
      <c r="BP743" s="273"/>
      <c r="BQ743" s="273"/>
      <c r="BR743" s="273"/>
      <c r="BS743" s="273"/>
      <c r="BT743" s="273"/>
      <c r="BU743" s="273"/>
      <c r="BV743" s="273"/>
      <c r="BW743" s="273"/>
      <c r="BX743" s="273"/>
      <c r="BY743" s="273"/>
      <c r="BZ743" s="273"/>
      <c r="CA743" s="273"/>
      <c r="CB743" s="273"/>
      <c r="CC743" s="273"/>
      <c r="CD743" s="273"/>
      <c r="CE743" s="273"/>
    </row>
    <row r="744" spans="1:83" ht="12.6" customHeight="1" x14ac:dyDescent="0.25">
      <c r="A744" s="207" t="str">
        <f>RIGHT($C$83,3)&amp;"*"&amp;RIGHT($C$82,4)&amp;"*"&amp;M$55&amp;"*"&amp;"A"</f>
        <v>209*2018*6330*A</v>
      </c>
      <c r="B744" s="272">
        <f>ROUND(M59,0)</f>
        <v>0</v>
      </c>
      <c r="C744" s="274">
        <f>ROUND(M60,2)</f>
        <v>0</v>
      </c>
      <c r="D744" s="272">
        <f>ROUND(M61,0)</f>
        <v>0</v>
      </c>
      <c r="E744" s="272">
        <f>ROUND(M62,0)</f>
        <v>0</v>
      </c>
      <c r="F744" s="272">
        <f>ROUND(M63,0)</f>
        <v>0</v>
      </c>
      <c r="G744" s="272">
        <f>ROUND(M64,0)</f>
        <v>0</v>
      </c>
      <c r="H744" s="272">
        <f>ROUND(M65,0)</f>
        <v>0</v>
      </c>
      <c r="I744" s="272">
        <f>ROUND(M66,0)</f>
        <v>0</v>
      </c>
      <c r="J744" s="272">
        <f>ROUND(M67,0)</f>
        <v>0</v>
      </c>
      <c r="K744" s="272">
        <f>ROUND(M68,0)</f>
        <v>0</v>
      </c>
      <c r="L744" s="272">
        <f>ROUND(M69,0)</f>
        <v>0</v>
      </c>
      <c r="M744" s="272">
        <f>ROUND(M70,0)</f>
        <v>0</v>
      </c>
      <c r="N744" s="272">
        <f>ROUND(M75,0)</f>
        <v>0</v>
      </c>
      <c r="O744" s="272">
        <f>ROUND(M73,0)</f>
        <v>0</v>
      </c>
      <c r="P744" s="272">
        <f>IF(M76&gt;0,ROUND(M76,0),0)</f>
        <v>0</v>
      </c>
      <c r="Q744" s="272">
        <f>IF(M77&gt;0,ROUND(M77,0),0)</f>
        <v>0</v>
      </c>
      <c r="R744" s="272">
        <f>IF(M78&gt;0,ROUND(M78,0),0)</f>
        <v>0</v>
      </c>
      <c r="S744" s="272">
        <f>IF(M79&gt;0,ROUND(M79,0),0)</f>
        <v>0</v>
      </c>
      <c r="T744" s="274">
        <f>IF(M80&gt;0,ROUND(M80,2),0)</f>
        <v>0</v>
      </c>
      <c r="U744" s="272"/>
      <c r="V744" s="273"/>
      <c r="W744" s="272"/>
      <c r="X744" s="272"/>
      <c r="Y744" s="272">
        <f t="shared" si="21"/>
        <v>0</v>
      </c>
      <c r="Z744" s="273"/>
      <c r="AA744" s="273"/>
      <c r="AB744" s="273"/>
      <c r="AC744" s="273"/>
      <c r="AD744" s="273"/>
      <c r="AE744" s="273"/>
      <c r="AF744" s="273"/>
      <c r="AG744" s="273"/>
      <c r="AH744" s="273"/>
      <c r="AI744" s="273"/>
      <c r="AJ744" s="273"/>
      <c r="AK744" s="273"/>
      <c r="AL744" s="273"/>
      <c r="AM744" s="273"/>
      <c r="AN744" s="273"/>
      <c r="AO744" s="273"/>
      <c r="AP744" s="273"/>
      <c r="AQ744" s="273"/>
      <c r="AR744" s="273"/>
      <c r="AS744" s="273"/>
      <c r="AT744" s="273"/>
      <c r="AU744" s="273"/>
      <c r="AV744" s="273"/>
      <c r="AW744" s="273"/>
      <c r="AX744" s="273"/>
      <c r="AY744" s="273"/>
      <c r="AZ744" s="273"/>
      <c r="BA744" s="273"/>
      <c r="BB744" s="273"/>
      <c r="BC744" s="273"/>
      <c r="BD744" s="273"/>
      <c r="BE744" s="273"/>
      <c r="BF744" s="273"/>
      <c r="BG744" s="273"/>
      <c r="BH744" s="273"/>
      <c r="BI744" s="273"/>
      <c r="BJ744" s="273"/>
      <c r="BK744" s="273"/>
      <c r="BL744" s="273"/>
      <c r="BM744" s="273"/>
      <c r="BN744" s="273"/>
      <c r="BO744" s="273"/>
      <c r="BP744" s="273"/>
      <c r="BQ744" s="273"/>
      <c r="BR744" s="273"/>
      <c r="BS744" s="273"/>
      <c r="BT744" s="273"/>
      <c r="BU744" s="273"/>
      <c r="BV744" s="273"/>
      <c r="BW744" s="273"/>
      <c r="BX744" s="273"/>
      <c r="BY744" s="273"/>
      <c r="BZ744" s="273"/>
      <c r="CA744" s="273"/>
      <c r="CB744" s="273"/>
      <c r="CC744" s="273"/>
      <c r="CD744" s="273"/>
      <c r="CE744" s="273"/>
    </row>
    <row r="745" spans="1:83" ht="12.6" customHeight="1" x14ac:dyDescent="0.25">
      <c r="A745" s="207" t="str">
        <f>RIGHT($C$83,3)&amp;"*"&amp;RIGHT($C$82,4)&amp;"*"&amp;N$55&amp;"*"&amp;"A"</f>
        <v>209*2018*6400*A</v>
      </c>
      <c r="B745" s="272">
        <f>ROUND(N59,0)</f>
        <v>0</v>
      </c>
      <c r="C745" s="274">
        <f>ROUND(N60,2)</f>
        <v>0</v>
      </c>
      <c r="D745" s="272">
        <f>ROUND(N61,0)</f>
        <v>0</v>
      </c>
      <c r="E745" s="272">
        <f>ROUND(N62,0)</f>
        <v>0</v>
      </c>
      <c r="F745" s="272">
        <f>ROUND(N63,0)</f>
        <v>0</v>
      </c>
      <c r="G745" s="272">
        <f>ROUND(N64,0)</f>
        <v>0</v>
      </c>
      <c r="H745" s="272">
        <f>ROUND(N65,0)</f>
        <v>0</v>
      </c>
      <c r="I745" s="272">
        <f>ROUND(N66,0)</f>
        <v>0</v>
      </c>
      <c r="J745" s="272">
        <f>ROUND(N67,0)</f>
        <v>0</v>
      </c>
      <c r="K745" s="272">
        <f>ROUND(N68,0)</f>
        <v>0</v>
      </c>
      <c r="L745" s="272">
        <f>ROUND(N69,0)</f>
        <v>0</v>
      </c>
      <c r="M745" s="272">
        <f>ROUND(N70,0)</f>
        <v>0</v>
      </c>
      <c r="N745" s="272">
        <f>ROUND(N75,0)</f>
        <v>0</v>
      </c>
      <c r="O745" s="272">
        <f>ROUND(N73,0)</f>
        <v>0</v>
      </c>
      <c r="P745" s="272">
        <f>IF(N76&gt;0,ROUND(N76,0),0)</f>
        <v>0</v>
      </c>
      <c r="Q745" s="272">
        <f>IF(N77&gt;0,ROUND(N77,0),0)</f>
        <v>0</v>
      </c>
      <c r="R745" s="272">
        <f>IF(N78&gt;0,ROUND(N78,0),0)</f>
        <v>0</v>
      </c>
      <c r="S745" s="272">
        <f>IF(N79&gt;0,ROUND(N79,0),0)</f>
        <v>0</v>
      </c>
      <c r="T745" s="274">
        <f>IF(N80&gt;0,ROUND(N80,2),0)</f>
        <v>0</v>
      </c>
      <c r="U745" s="272"/>
      <c r="V745" s="273"/>
      <c r="W745" s="272"/>
      <c r="X745" s="272"/>
      <c r="Y745" s="272">
        <f t="shared" si="21"/>
        <v>0</v>
      </c>
      <c r="Z745" s="273"/>
      <c r="AA745" s="273"/>
      <c r="AB745" s="273"/>
      <c r="AC745" s="273"/>
      <c r="AD745" s="273"/>
      <c r="AE745" s="273"/>
      <c r="AF745" s="273"/>
      <c r="AG745" s="273"/>
      <c r="AH745" s="273"/>
      <c r="AI745" s="273"/>
      <c r="AJ745" s="273"/>
      <c r="AK745" s="273"/>
      <c r="AL745" s="273"/>
      <c r="AM745" s="273"/>
      <c r="AN745" s="273"/>
      <c r="AO745" s="273"/>
      <c r="AP745" s="273"/>
      <c r="AQ745" s="273"/>
      <c r="AR745" s="273"/>
      <c r="AS745" s="273"/>
      <c r="AT745" s="273"/>
      <c r="AU745" s="273"/>
      <c r="AV745" s="273"/>
      <c r="AW745" s="273"/>
      <c r="AX745" s="273"/>
      <c r="AY745" s="273"/>
      <c r="AZ745" s="273"/>
      <c r="BA745" s="273"/>
      <c r="BB745" s="273"/>
      <c r="BC745" s="273"/>
      <c r="BD745" s="273"/>
      <c r="BE745" s="273"/>
      <c r="BF745" s="273"/>
      <c r="BG745" s="273"/>
      <c r="BH745" s="273"/>
      <c r="BI745" s="273"/>
      <c r="BJ745" s="273"/>
      <c r="BK745" s="273"/>
      <c r="BL745" s="273"/>
      <c r="BM745" s="273"/>
      <c r="BN745" s="273"/>
      <c r="BO745" s="273"/>
      <c r="BP745" s="273"/>
      <c r="BQ745" s="273"/>
      <c r="BR745" s="273"/>
      <c r="BS745" s="273"/>
      <c r="BT745" s="273"/>
      <c r="BU745" s="273"/>
      <c r="BV745" s="273"/>
      <c r="BW745" s="273"/>
      <c r="BX745" s="273"/>
      <c r="BY745" s="273"/>
      <c r="BZ745" s="273"/>
      <c r="CA745" s="273"/>
      <c r="CB745" s="273"/>
      <c r="CC745" s="273"/>
      <c r="CD745" s="273"/>
      <c r="CE745" s="273"/>
    </row>
    <row r="746" spans="1:83" ht="12.6" customHeight="1" x14ac:dyDescent="0.25">
      <c r="A746" s="207" t="str">
        <f>RIGHT($C$83,3)&amp;"*"&amp;RIGHT($C$82,4)&amp;"*"&amp;O$55&amp;"*"&amp;"A"</f>
        <v>209*2018*7010*A</v>
      </c>
      <c r="B746" s="272">
        <f>ROUND(O59,0)</f>
        <v>0</v>
      </c>
      <c r="C746" s="274">
        <f>ROUND(O60,2)</f>
        <v>0</v>
      </c>
      <c r="D746" s="272">
        <f>ROUND(O61,0)</f>
        <v>0</v>
      </c>
      <c r="E746" s="272">
        <f>ROUND(O62,0)</f>
        <v>0</v>
      </c>
      <c r="F746" s="272">
        <f>ROUND(O63,0)</f>
        <v>0</v>
      </c>
      <c r="G746" s="272">
        <f>ROUND(O64,0)</f>
        <v>0</v>
      </c>
      <c r="H746" s="272">
        <f>ROUND(O65,0)</f>
        <v>0</v>
      </c>
      <c r="I746" s="272">
        <f>ROUND(O66,0)</f>
        <v>0</v>
      </c>
      <c r="J746" s="272">
        <f>ROUND(O67,0)</f>
        <v>0</v>
      </c>
      <c r="K746" s="272">
        <f>ROUND(O68,0)</f>
        <v>0</v>
      </c>
      <c r="L746" s="272">
        <f>ROUND(O69,0)</f>
        <v>0</v>
      </c>
      <c r="M746" s="272">
        <f>ROUND(O70,0)</f>
        <v>0</v>
      </c>
      <c r="N746" s="272">
        <f>ROUND(O75,0)</f>
        <v>0</v>
      </c>
      <c r="O746" s="272">
        <f>ROUND(O73,0)</f>
        <v>0</v>
      </c>
      <c r="P746" s="272">
        <f>IF(O76&gt;0,ROUND(O76,0),0)</f>
        <v>0</v>
      </c>
      <c r="Q746" s="272">
        <f>IF(O77&gt;0,ROUND(O77,0),0)</f>
        <v>0</v>
      </c>
      <c r="R746" s="272">
        <f>IF(O78&gt;0,ROUND(O78,0),0)</f>
        <v>0</v>
      </c>
      <c r="S746" s="272">
        <f>IF(O79&gt;0,ROUND(O79,0),0)</f>
        <v>0</v>
      </c>
      <c r="T746" s="274">
        <f>IF(O80&gt;0,ROUND(O80,2),0)</f>
        <v>0</v>
      </c>
      <c r="U746" s="272"/>
      <c r="V746" s="273"/>
      <c r="W746" s="272"/>
      <c r="X746" s="272"/>
      <c r="Y746" s="272">
        <f t="shared" si="21"/>
        <v>0</v>
      </c>
      <c r="Z746" s="273"/>
      <c r="AA746" s="273"/>
      <c r="AB746" s="273"/>
      <c r="AC746" s="273"/>
      <c r="AD746" s="273"/>
      <c r="AE746" s="273"/>
      <c r="AF746" s="273"/>
      <c r="AG746" s="273"/>
      <c r="AH746" s="273"/>
      <c r="AI746" s="273"/>
      <c r="AJ746" s="273"/>
      <c r="AK746" s="273"/>
      <c r="AL746" s="273"/>
      <c r="AM746" s="273"/>
      <c r="AN746" s="273"/>
      <c r="AO746" s="273"/>
      <c r="AP746" s="273"/>
      <c r="AQ746" s="273"/>
      <c r="AR746" s="273"/>
      <c r="AS746" s="273"/>
      <c r="AT746" s="273"/>
      <c r="AU746" s="273"/>
      <c r="AV746" s="273"/>
      <c r="AW746" s="273"/>
      <c r="AX746" s="273"/>
      <c r="AY746" s="273"/>
      <c r="AZ746" s="273"/>
      <c r="BA746" s="273"/>
      <c r="BB746" s="273"/>
      <c r="BC746" s="273"/>
      <c r="BD746" s="273"/>
      <c r="BE746" s="273"/>
      <c r="BF746" s="273"/>
      <c r="BG746" s="273"/>
      <c r="BH746" s="273"/>
      <c r="BI746" s="273"/>
      <c r="BJ746" s="273"/>
      <c r="BK746" s="273"/>
      <c r="BL746" s="273"/>
      <c r="BM746" s="273"/>
      <c r="BN746" s="273"/>
      <c r="BO746" s="273"/>
      <c r="BP746" s="273"/>
      <c r="BQ746" s="273"/>
      <c r="BR746" s="273"/>
      <c r="BS746" s="273"/>
      <c r="BT746" s="273"/>
      <c r="BU746" s="273"/>
      <c r="BV746" s="273"/>
      <c r="BW746" s="273"/>
      <c r="BX746" s="273"/>
      <c r="BY746" s="273"/>
      <c r="BZ746" s="273"/>
      <c r="CA746" s="273"/>
      <c r="CB746" s="273"/>
      <c r="CC746" s="273"/>
      <c r="CD746" s="273"/>
      <c r="CE746" s="273"/>
    </row>
    <row r="747" spans="1:83" ht="12.6" customHeight="1" x14ac:dyDescent="0.25">
      <c r="A747" s="207" t="str">
        <f>RIGHT($C$83,3)&amp;"*"&amp;RIGHT($C$82,4)&amp;"*"&amp;P$55&amp;"*"&amp;"A"</f>
        <v>209*2018*7020*A</v>
      </c>
      <c r="B747" s="272">
        <f>ROUND(P59,0)</f>
        <v>484912</v>
      </c>
      <c r="C747" s="274">
        <f>ROUND(P60,2)</f>
        <v>35.47</v>
      </c>
      <c r="D747" s="272">
        <f>ROUND(P61,0)</f>
        <v>7785181</v>
      </c>
      <c r="E747" s="272">
        <f>ROUND(P62,0)</f>
        <v>1867188</v>
      </c>
      <c r="F747" s="272">
        <f>ROUND(P63,0)</f>
        <v>824339</v>
      </c>
      <c r="G747" s="272">
        <f>ROUND(P64,0)</f>
        <v>10994367</v>
      </c>
      <c r="H747" s="272">
        <f>ROUND(P65,0)</f>
        <v>3752</v>
      </c>
      <c r="I747" s="272">
        <f>ROUND(P66,0)</f>
        <v>1379718</v>
      </c>
      <c r="J747" s="272">
        <f>ROUND(P67,0)</f>
        <v>3646391</v>
      </c>
      <c r="K747" s="272">
        <f>ROUND(P68,0)</f>
        <v>186009</v>
      </c>
      <c r="L747" s="272">
        <f>ROUND(P69,0)</f>
        <v>77927</v>
      </c>
      <c r="M747" s="272">
        <f>ROUND(P70,0)</f>
        <v>2452</v>
      </c>
      <c r="N747" s="272">
        <f>ROUND(P75,0)</f>
        <v>240888492</v>
      </c>
      <c r="O747" s="272">
        <f>ROUND(P73,0)</f>
        <v>117845238</v>
      </c>
      <c r="P747" s="272">
        <f>IF(P76&gt;0,ROUND(P76,0),0)</f>
        <v>28084</v>
      </c>
      <c r="Q747" s="272">
        <f>IF(P77&gt;0,ROUND(P77,0),0)</f>
        <v>0</v>
      </c>
      <c r="R747" s="272">
        <f>IF(P78&gt;0,ROUND(P78,0),0)</f>
        <v>8747</v>
      </c>
      <c r="S747" s="272">
        <f>IF(P79&gt;0,ROUND(P79,0),0)</f>
        <v>102993</v>
      </c>
      <c r="T747" s="274">
        <f>IF(P80&gt;0,ROUND(P80,2),0)</f>
        <v>13.19</v>
      </c>
      <c r="U747" s="272"/>
      <c r="V747" s="273"/>
      <c r="W747" s="272"/>
      <c r="X747" s="272"/>
      <c r="Y747" s="272">
        <f t="shared" si="21"/>
        <v>10616662</v>
      </c>
      <c r="Z747" s="273"/>
      <c r="AA747" s="273"/>
      <c r="AB747" s="273"/>
      <c r="AC747" s="273"/>
      <c r="AD747" s="273"/>
      <c r="AE747" s="273"/>
      <c r="AF747" s="273"/>
      <c r="AG747" s="273"/>
      <c r="AH747" s="273"/>
      <c r="AI747" s="273"/>
      <c r="AJ747" s="273"/>
      <c r="AK747" s="273"/>
      <c r="AL747" s="273"/>
      <c r="AM747" s="273"/>
      <c r="AN747" s="273"/>
      <c r="AO747" s="273"/>
      <c r="AP747" s="273"/>
      <c r="AQ747" s="273"/>
      <c r="AR747" s="273"/>
      <c r="AS747" s="273"/>
      <c r="AT747" s="273"/>
      <c r="AU747" s="273"/>
      <c r="AV747" s="273"/>
      <c r="AW747" s="273"/>
      <c r="AX747" s="273"/>
      <c r="AY747" s="273"/>
      <c r="AZ747" s="273"/>
      <c r="BA747" s="273"/>
      <c r="BB747" s="273"/>
      <c r="BC747" s="273"/>
      <c r="BD747" s="273"/>
      <c r="BE747" s="273"/>
      <c r="BF747" s="273"/>
      <c r="BG747" s="273"/>
      <c r="BH747" s="273"/>
      <c r="BI747" s="273"/>
      <c r="BJ747" s="273"/>
      <c r="BK747" s="273"/>
      <c r="BL747" s="273"/>
      <c r="BM747" s="273"/>
      <c r="BN747" s="273"/>
      <c r="BO747" s="273"/>
      <c r="BP747" s="273"/>
      <c r="BQ747" s="273"/>
      <c r="BR747" s="273"/>
      <c r="BS747" s="273"/>
      <c r="BT747" s="273"/>
      <c r="BU747" s="273"/>
      <c r="BV747" s="273"/>
      <c r="BW747" s="273"/>
      <c r="BX747" s="273"/>
      <c r="BY747" s="273"/>
      <c r="BZ747" s="273"/>
      <c r="CA747" s="273"/>
      <c r="CB747" s="273"/>
      <c r="CC747" s="273"/>
      <c r="CD747" s="273"/>
      <c r="CE747" s="273"/>
    </row>
    <row r="748" spans="1:83" ht="12.6" customHeight="1" x14ac:dyDescent="0.25">
      <c r="A748" s="207" t="str">
        <f>RIGHT($C$83,3)&amp;"*"&amp;RIGHT($C$82,4)&amp;"*"&amp;Q$55&amp;"*"&amp;"A"</f>
        <v>209*2018*7030*A</v>
      </c>
      <c r="B748" s="272">
        <f>ROUND(Q59,0)</f>
        <v>15723</v>
      </c>
      <c r="C748" s="274">
        <f>ROUND(Q60,2)</f>
        <v>24.03</v>
      </c>
      <c r="D748" s="272">
        <f>ROUND(Q61,0)</f>
        <v>2543613</v>
      </c>
      <c r="E748" s="272">
        <f>ROUND(Q62,0)</f>
        <v>548455</v>
      </c>
      <c r="F748" s="272">
        <f>ROUND(Q63,0)</f>
        <v>0</v>
      </c>
      <c r="G748" s="272">
        <f>ROUND(Q64,0)</f>
        <v>261090</v>
      </c>
      <c r="H748" s="272">
        <f>ROUND(Q65,0)</f>
        <v>1170</v>
      </c>
      <c r="I748" s="272">
        <f>ROUND(Q66,0)</f>
        <v>11532</v>
      </c>
      <c r="J748" s="272">
        <f>ROUND(Q67,0)</f>
        <v>85653</v>
      </c>
      <c r="K748" s="272">
        <f>ROUND(Q68,0)</f>
        <v>654</v>
      </c>
      <c r="L748" s="272">
        <f>ROUND(Q69,0)</f>
        <v>6161</v>
      </c>
      <c r="M748" s="272">
        <f>ROUND(Q70,0)</f>
        <v>0</v>
      </c>
      <c r="N748" s="272">
        <f>ROUND(Q75,0)</f>
        <v>22189608</v>
      </c>
      <c r="O748" s="272">
        <f>ROUND(Q73,0)</f>
        <v>5502613</v>
      </c>
      <c r="P748" s="272">
        <f>IF(Q76&gt;0,ROUND(Q76,0),0)</f>
        <v>3621</v>
      </c>
      <c r="Q748" s="272">
        <f>IF(Q77&gt;0,ROUND(Q77,0),0)</f>
        <v>0</v>
      </c>
      <c r="R748" s="272">
        <f>IF(Q78&gt;0,ROUND(Q78,0),0)</f>
        <v>1128</v>
      </c>
      <c r="S748" s="272">
        <f>IF(Q79&gt;0,ROUND(Q79,0),0)</f>
        <v>0</v>
      </c>
      <c r="T748" s="274">
        <f>IF(Q80&gt;0,ROUND(Q80,2),0)</f>
        <v>17.37</v>
      </c>
      <c r="U748" s="272"/>
      <c r="V748" s="273"/>
      <c r="W748" s="272"/>
      <c r="X748" s="272"/>
      <c r="Y748" s="272">
        <f t="shared" si="21"/>
        <v>1655020</v>
      </c>
      <c r="Z748" s="273"/>
      <c r="AA748" s="273"/>
      <c r="AB748" s="273"/>
      <c r="AC748" s="273"/>
      <c r="AD748" s="273"/>
      <c r="AE748" s="273"/>
      <c r="AF748" s="273"/>
      <c r="AG748" s="273"/>
      <c r="AH748" s="273"/>
      <c r="AI748" s="273"/>
      <c r="AJ748" s="273"/>
      <c r="AK748" s="273"/>
      <c r="AL748" s="273"/>
      <c r="AM748" s="273"/>
      <c r="AN748" s="273"/>
      <c r="AO748" s="273"/>
      <c r="AP748" s="273"/>
      <c r="AQ748" s="273"/>
      <c r="AR748" s="273"/>
      <c r="AS748" s="273"/>
      <c r="AT748" s="273"/>
      <c r="AU748" s="273"/>
      <c r="AV748" s="273"/>
      <c r="AW748" s="273"/>
      <c r="AX748" s="273"/>
      <c r="AY748" s="273"/>
      <c r="AZ748" s="273"/>
      <c r="BA748" s="273"/>
      <c r="BB748" s="273"/>
      <c r="BC748" s="273"/>
      <c r="BD748" s="273"/>
      <c r="BE748" s="273"/>
      <c r="BF748" s="273"/>
      <c r="BG748" s="273"/>
      <c r="BH748" s="273"/>
      <c r="BI748" s="273"/>
      <c r="BJ748" s="273"/>
      <c r="BK748" s="273"/>
      <c r="BL748" s="273"/>
      <c r="BM748" s="273"/>
      <c r="BN748" s="273"/>
      <c r="BO748" s="273"/>
      <c r="BP748" s="273"/>
      <c r="BQ748" s="273"/>
      <c r="BR748" s="273"/>
      <c r="BS748" s="273"/>
      <c r="BT748" s="273"/>
      <c r="BU748" s="273"/>
      <c r="BV748" s="273"/>
      <c r="BW748" s="273"/>
      <c r="BX748" s="273"/>
      <c r="BY748" s="273"/>
      <c r="BZ748" s="273"/>
      <c r="CA748" s="273"/>
      <c r="CB748" s="273"/>
      <c r="CC748" s="273"/>
      <c r="CD748" s="273"/>
      <c r="CE748" s="273"/>
    </row>
    <row r="749" spans="1:83" ht="12.6" customHeight="1" x14ac:dyDescent="0.25">
      <c r="A749" s="207" t="str">
        <f>RIGHT($C$83,3)&amp;"*"&amp;RIGHT($C$82,4)&amp;"*"&amp;R$55&amp;"*"&amp;"A"</f>
        <v>209*2018*7040*A</v>
      </c>
      <c r="B749" s="272">
        <f>ROUND(R59,0)</f>
        <v>0</v>
      </c>
      <c r="C749" s="274">
        <f>ROUND(R60,2)</f>
        <v>0</v>
      </c>
      <c r="D749" s="272">
        <f>ROUND(R61,0)</f>
        <v>0</v>
      </c>
      <c r="E749" s="272">
        <f>ROUND(R62,0)</f>
        <v>0</v>
      </c>
      <c r="F749" s="272">
        <f>ROUND(R63,0)</f>
        <v>0</v>
      </c>
      <c r="G749" s="272">
        <f>ROUND(R64,0)</f>
        <v>0</v>
      </c>
      <c r="H749" s="272">
        <f>ROUND(R65,0)</f>
        <v>0</v>
      </c>
      <c r="I749" s="272">
        <f>ROUND(R66,0)</f>
        <v>0</v>
      </c>
      <c r="J749" s="272">
        <f>ROUND(R67,0)</f>
        <v>0</v>
      </c>
      <c r="K749" s="272">
        <f>ROUND(R68,0)</f>
        <v>0</v>
      </c>
      <c r="L749" s="272">
        <f>ROUND(R69,0)</f>
        <v>0</v>
      </c>
      <c r="M749" s="272">
        <f>ROUND(R70,0)</f>
        <v>0</v>
      </c>
      <c r="N749" s="272">
        <f>ROUND(R75,0)</f>
        <v>0</v>
      </c>
      <c r="O749" s="272">
        <f>ROUND(R73,0)</f>
        <v>0</v>
      </c>
      <c r="P749" s="272">
        <f>IF(R76&gt;0,ROUND(R76,0),0)</f>
        <v>0</v>
      </c>
      <c r="Q749" s="272">
        <f>IF(R77&gt;0,ROUND(R77,0),0)</f>
        <v>0</v>
      </c>
      <c r="R749" s="272">
        <f>IF(R78&gt;0,ROUND(R78,0),0)</f>
        <v>0</v>
      </c>
      <c r="S749" s="272">
        <f>IF(R79&gt;0,ROUND(R79,0),0)</f>
        <v>0</v>
      </c>
      <c r="T749" s="274">
        <f>IF(R80&gt;0,ROUND(R80,2),0)</f>
        <v>0</v>
      </c>
      <c r="U749" s="272"/>
      <c r="V749" s="273"/>
      <c r="W749" s="272"/>
      <c r="X749" s="272"/>
      <c r="Y749" s="272">
        <f t="shared" si="21"/>
        <v>0</v>
      </c>
      <c r="Z749" s="273"/>
      <c r="AA749" s="273"/>
      <c r="AB749" s="273"/>
      <c r="AC749" s="273"/>
      <c r="AD749" s="273"/>
      <c r="AE749" s="273"/>
      <c r="AF749" s="273"/>
      <c r="AG749" s="273"/>
      <c r="AH749" s="273"/>
      <c r="AI749" s="273"/>
      <c r="AJ749" s="273"/>
      <c r="AK749" s="273"/>
      <c r="AL749" s="273"/>
      <c r="AM749" s="273"/>
      <c r="AN749" s="273"/>
      <c r="AO749" s="273"/>
      <c r="AP749" s="273"/>
      <c r="AQ749" s="273"/>
      <c r="AR749" s="273"/>
      <c r="AS749" s="273"/>
      <c r="AT749" s="273"/>
      <c r="AU749" s="273"/>
      <c r="AV749" s="273"/>
      <c r="AW749" s="273"/>
      <c r="AX749" s="273"/>
      <c r="AY749" s="273"/>
      <c r="AZ749" s="273"/>
      <c r="BA749" s="273"/>
      <c r="BB749" s="273"/>
      <c r="BC749" s="273"/>
      <c r="BD749" s="273"/>
      <c r="BE749" s="273"/>
      <c r="BF749" s="273"/>
      <c r="BG749" s="273"/>
      <c r="BH749" s="273"/>
      <c r="BI749" s="273"/>
      <c r="BJ749" s="273"/>
      <c r="BK749" s="273"/>
      <c r="BL749" s="273"/>
      <c r="BM749" s="273"/>
      <c r="BN749" s="273"/>
      <c r="BO749" s="273"/>
      <c r="BP749" s="273"/>
      <c r="BQ749" s="273"/>
      <c r="BR749" s="273"/>
      <c r="BS749" s="273"/>
      <c r="BT749" s="273"/>
      <c r="BU749" s="273"/>
      <c r="BV749" s="273"/>
      <c r="BW749" s="273"/>
      <c r="BX749" s="273"/>
      <c r="BY749" s="273"/>
      <c r="BZ749" s="273"/>
      <c r="CA749" s="273"/>
      <c r="CB749" s="273"/>
      <c r="CC749" s="273"/>
      <c r="CD749" s="273"/>
      <c r="CE749" s="273"/>
    </row>
    <row r="750" spans="1:83" ht="12.6" customHeight="1" x14ac:dyDescent="0.25">
      <c r="A750" s="207" t="str">
        <f>RIGHT($C$83,3)&amp;"*"&amp;RIGHT($C$82,4)&amp;"*"&amp;S$55&amp;"*"&amp;"A"</f>
        <v>209*2018*7050*A</v>
      </c>
      <c r="B750" s="272"/>
      <c r="C750" s="274">
        <f>ROUND(S60,2)</f>
        <v>14.65</v>
      </c>
      <c r="D750" s="272">
        <f>ROUND(S61,0)</f>
        <v>697452</v>
      </c>
      <c r="E750" s="272">
        <f>ROUND(S62,0)</f>
        <v>235583</v>
      </c>
      <c r="F750" s="272">
        <f>ROUND(S63,0)</f>
        <v>0</v>
      </c>
      <c r="G750" s="272">
        <f>ROUND(S64,0)</f>
        <v>91544</v>
      </c>
      <c r="H750" s="272">
        <f>ROUND(S65,0)</f>
        <v>76</v>
      </c>
      <c r="I750" s="272">
        <f>ROUND(S66,0)</f>
        <v>72346</v>
      </c>
      <c r="J750" s="272">
        <f>ROUND(S67,0)</f>
        <v>287982</v>
      </c>
      <c r="K750" s="272">
        <f>ROUND(S68,0)</f>
        <v>13991</v>
      </c>
      <c r="L750" s="272">
        <f>ROUND(S69,0)</f>
        <v>5871</v>
      </c>
      <c r="M750" s="272">
        <f>ROUND(S70,0)</f>
        <v>0</v>
      </c>
      <c r="N750" s="272">
        <f>ROUND(S75,0)</f>
        <v>0</v>
      </c>
      <c r="O750" s="272">
        <f>ROUND(S73,0)</f>
        <v>0</v>
      </c>
      <c r="P750" s="272">
        <f>IF(S76&gt;0,ROUND(S76,0),0)</f>
        <v>7582</v>
      </c>
      <c r="Q750" s="272">
        <f>IF(S77&gt;0,ROUND(S77,0),0)</f>
        <v>0</v>
      </c>
      <c r="R750" s="272">
        <f>IF(S78&gt;0,ROUND(S78,0),0)</f>
        <v>2361</v>
      </c>
      <c r="S750" s="272">
        <f>IF(S79&gt;0,ROUND(S79,0),0)</f>
        <v>4136</v>
      </c>
      <c r="T750" s="274">
        <f>IF(S80&gt;0,ROUND(S80,2),0)</f>
        <v>0</v>
      </c>
      <c r="U750" s="272"/>
      <c r="V750" s="273"/>
      <c r="W750" s="272"/>
      <c r="X750" s="272"/>
      <c r="Y750" s="272">
        <f t="shared" si="21"/>
        <v>981220</v>
      </c>
      <c r="Z750" s="273"/>
      <c r="AA750" s="273"/>
      <c r="AB750" s="273"/>
      <c r="AC750" s="273"/>
      <c r="AD750" s="273"/>
      <c r="AE750" s="273"/>
      <c r="AF750" s="273"/>
      <c r="AG750" s="273"/>
      <c r="AH750" s="273"/>
      <c r="AI750" s="273"/>
      <c r="AJ750" s="273"/>
      <c r="AK750" s="273"/>
      <c r="AL750" s="273"/>
      <c r="AM750" s="273"/>
      <c r="AN750" s="273"/>
      <c r="AO750" s="273"/>
      <c r="AP750" s="273"/>
      <c r="AQ750" s="273"/>
      <c r="AR750" s="273"/>
      <c r="AS750" s="273"/>
      <c r="AT750" s="273"/>
      <c r="AU750" s="273"/>
      <c r="AV750" s="273"/>
      <c r="AW750" s="273"/>
      <c r="AX750" s="273"/>
      <c r="AY750" s="273"/>
      <c r="AZ750" s="273"/>
      <c r="BA750" s="273"/>
      <c r="BB750" s="273"/>
      <c r="BC750" s="273"/>
      <c r="BD750" s="273"/>
      <c r="BE750" s="273"/>
      <c r="BF750" s="273"/>
      <c r="BG750" s="273"/>
      <c r="BH750" s="273"/>
      <c r="BI750" s="273"/>
      <c r="BJ750" s="273"/>
      <c r="BK750" s="273"/>
      <c r="BL750" s="273"/>
      <c r="BM750" s="273"/>
      <c r="BN750" s="273"/>
      <c r="BO750" s="273"/>
      <c r="BP750" s="273"/>
      <c r="BQ750" s="273"/>
      <c r="BR750" s="273"/>
      <c r="BS750" s="273"/>
      <c r="BT750" s="273"/>
      <c r="BU750" s="273"/>
      <c r="BV750" s="273"/>
      <c r="BW750" s="273"/>
      <c r="BX750" s="273"/>
      <c r="BY750" s="273"/>
      <c r="BZ750" s="273"/>
      <c r="CA750" s="273"/>
      <c r="CB750" s="273"/>
      <c r="CC750" s="273"/>
      <c r="CD750" s="273"/>
      <c r="CE750" s="273"/>
    </row>
    <row r="751" spans="1:83" ht="12.6" customHeight="1" x14ac:dyDescent="0.25">
      <c r="A751" s="207" t="str">
        <f>RIGHT($C$83,3)&amp;"*"&amp;RIGHT($C$82,4)&amp;"*"&amp;T$55&amp;"*"&amp;"A"</f>
        <v>209*2018*7060*A</v>
      </c>
      <c r="B751" s="272"/>
      <c r="C751" s="274">
        <f>ROUND(T60,2)</f>
        <v>4.3899999999999997</v>
      </c>
      <c r="D751" s="272">
        <f>ROUND(T61,0)</f>
        <v>318859</v>
      </c>
      <c r="E751" s="272">
        <f>ROUND(T62,0)</f>
        <v>67507</v>
      </c>
      <c r="F751" s="272">
        <f>ROUND(T63,0)</f>
        <v>0</v>
      </c>
      <c r="G751" s="272">
        <f>ROUND(T64,0)</f>
        <v>319476</v>
      </c>
      <c r="H751" s="272">
        <f>ROUND(T65,0)</f>
        <v>97</v>
      </c>
      <c r="I751" s="272">
        <f>ROUND(T66,0)</f>
        <v>0</v>
      </c>
      <c r="J751" s="272">
        <f>ROUND(T67,0)</f>
        <v>2990</v>
      </c>
      <c r="K751" s="272">
        <f>ROUND(T68,0)</f>
        <v>0</v>
      </c>
      <c r="L751" s="272">
        <f>ROUND(T69,0)</f>
        <v>783</v>
      </c>
      <c r="M751" s="272">
        <f>ROUND(T70,0)</f>
        <v>0</v>
      </c>
      <c r="N751" s="272">
        <f>ROUND(T75,0)</f>
        <v>5196417</v>
      </c>
      <c r="O751" s="272">
        <f>ROUND(T73,0)</f>
        <v>4831319</v>
      </c>
      <c r="P751" s="272">
        <f>IF(T76&gt;0,ROUND(T76,0),0)</f>
        <v>0</v>
      </c>
      <c r="Q751" s="272">
        <f>IF(T77&gt;0,ROUND(T77,0),0)</f>
        <v>0</v>
      </c>
      <c r="R751" s="272">
        <f>IF(T78&gt;0,ROUND(T78,0),0)</f>
        <v>0</v>
      </c>
      <c r="S751" s="272">
        <f>IF(T79&gt;0,ROUND(T79,0),0)</f>
        <v>0</v>
      </c>
      <c r="T751" s="274">
        <f>IF(T80&gt;0,ROUND(T80,2),0)</f>
        <v>4.16</v>
      </c>
      <c r="U751" s="272"/>
      <c r="V751" s="273"/>
      <c r="W751" s="272"/>
      <c r="X751" s="272"/>
      <c r="Y751" s="272">
        <f t="shared" si="21"/>
        <v>293830</v>
      </c>
      <c r="Z751" s="273"/>
      <c r="AA751" s="273"/>
      <c r="AB751" s="273"/>
      <c r="AC751" s="273"/>
      <c r="AD751" s="273"/>
      <c r="AE751" s="273"/>
      <c r="AF751" s="273"/>
      <c r="AG751" s="273"/>
      <c r="AH751" s="273"/>
      <c r="AI751" s="273"/>
      <c r="AJ751" s="273"/>
      <c r="AK751" s="273"/>
      <c r="AL751" s="273"/>
      <c r="AM751" s="273"/>
      <c r="AN751" s="273"/>
      <c r="AO751" s="273"/>
      <c r="AP751" s="273"/>
      <c r="AQ751" s="273"/>
      <c r="AR751" s="273"/>
      <c r="AS751" s="273"/>
      <c r="AT751" s="273"/>
      <c r="AU751" s="273"/>
      <c r="AV751" s="273"/>
      <c r="AW751" s="273"/>
      <c r="AX751" s="273"/>
      <c r="AY751" s="273"/>
      <c r="AZ751" s="273"/>
      <c r="BA751" s="273"/>
      <c r="BB751" s="273"/>
      <c r="BC751" s="273"/>
      <c r="BD751" s="273"/>
      <c r="BE751" s="273"/>
      <c r="BF751" s="273"/>
      <c r="BG751" s="273"/>
      <c r="BH751" s="273"/>
      <c r="BI751" s="273"/>
      <c r="BJ751" s="273"/>
      <c r="BK751" s="273"/>
      <c r="BL751" s="273"/>
      <c r="BM751" s="273"/>
      <c r="BN751" s="273"/>
      <c r="BO751" s="273"/>
      <c r="BP751" s="273"/>
      <c r="BQ751" s="273"/>
      <c r="BR751" s="273"/>
      <c r="BS751" s="273"/>
      <c r="BT751" s="273"/>
      <c r="BU751" s="273"/>
      <c r="BV751" s="273"/>
      <c r="BW751" s="273"/>
      <c r="BX751" s="273"/>
      <c r="BY751" s="273"/>
      <c r="BZ751" s="273"/>
      <c r="CA751" s="273"/>
      <c r="CB751" s="273"/>
      <c r="CC751" s="273"/>
      <c r="CD751" s="273"/>
      <c r="CE751" s="273"/>
    </row>
    <row r="752" spans="1:83" ht="12.6" customHeight="1" x14ac:dyDescent="0.25">
      <c r="A752" s="207" t="str">
        <f>RIGHT($C$83,3)&amp;"*"&amp;RIGHT($C$82,4)&amp;"*"&amp;U$55&amp;"*"&amp;"A"</f>
        <v>209*2018*7070*A</v>
      </c>
      <c r="B752" s="272">
        <f>ROUND(U59,0)</f>
        <v>307972</v>
      </c>
      <c r="C752" s="274">
        <f>ROUND(U60,2)</f>
        <v>19.07</v>
      </c>
      <c r="D752" s="272">
        <f>ROUND(U61,0)</f>
        <v>1185182</v>
      </c>
      <c r="E752" s="272">
        <f>ROUND(U62,0)</f>
        <v>344031</v>
      </c>
      <c r="F752" s="272">
        <f>ROUND(U63,0)</f>
        <v>12243</v>
      </c>
      <c r="G752" s="272">
        <f>ROUND(U64,0)</f>
        <v>1112019</v>
      </c>
      <c r="H752" s="272">
        <f>ROUND(U65,0)</f>
        <v>138</v>
      </c>
      <c r="I752" s="272">
        <f>ROUND(U66,0)</f>
        <v>654272</v>
      </c>
      <c r="J752" s="272">
        <f>ROUND(U67,0)</f>
        <v>230985</v>
      </c>
      <c r="K752" s="272">
        <f>ROUND(U68,0)</f>
        <v>62659</v>
      </c>
      <c r="L752" s="272">
        <f>ROUND(U69,0)</f>
        <v>38714</v>
      </c>
      <c r="M752" s="272">
        <f>ROUND(U70,0)</f>
        <v>11522</v>
      </c>
      <c r="N752" s="272">
        <f>ROUND(U75,0)</f>
        <v>38389473</v>
      </c>
      <c r="O752" s="272">
        <f>ROUND(U73,0)</f>
        <v>23809295</v>
      </c>
      <c r="P752" s="272">
        <f>IF(U76&gt;0,ROUND(U76,0),0)</f>
        <v>7295</v>
      </c>
      <c r="Q752" s="272">
        <f>IF(U77&gt;0,ROUND(U77,0),0)</f>
        <v>0</v>
      </c>
      <c r="R752" s="272">
        <f>IF(U78&gt;0,ROUND(U78,0),0)</f>
        <v>2272</v>
      </c>
      <c r="S752" s="272">
        <f>IF(U79&gt;0,ROUND(U79,0),0)</f>
        <v>0</v>
      </c>
      <c r="T752" s="274">
        <f>IF(U80&gt;0,ROUND(U80,2),0)</f>
        <v>0</v>
      </c>
      <c r="U752" s="272"/>
      <c r="V752" s="273"/>
      <c r="W752" s="272"/>
      <c r="X752" s="272"/>
      <c r="Y752" s="272">
        <f t="shared" si="21"/>
        <v>1876118</v>
      </c>
      <c r="Z752" s="273"/>
      <c r="AA752" s="273"/>
      <c r="AB752" s="273"/>
      <c r="AC752" s="273"/>
      <c r="AD752" s="273"/>
      <c r="AE752" s="273"/>
      <c r="AF752" s="273"/>
      <c r="AG752" s="273"/>
      <c r="AH752" s="273"/>
      <c r="AI752" s="273"/>
      <c r="AJ752" s="273"/>
      <c r="AK752" s="273"/>
      <c r="AL752" s="273"/>
      <c r="AM752" s="273"/>
      <c r="AN752" s="273"/>
      <c r="AO752" s="273"/>
      <c r="AP752" s="273"/>
      <c r="AQ752" s="273"/>
      <c r="AR752" s="273"/>
      <c r="AS752" s="273"/>
      <c r="AT752" s="273"/>
      <c r="AU752" s="273"/>
      <c r="AV752" s="273"/>
      <c r="AW752" s="273"/>
      <c r="AX752" s="273"/>
      <c r="AY752" s="273"/>
      <c r="AZ752" s="273"/>
      <c r="BA752" s="273"/>
      <c r="BB752" s="273"/>
      <c r="BC752" s="273"/>
      <c r="BD752" s="273"/>
      <c r="BE752" s="273"/>
      <c r="BF752" s="273"/>
      <c r="BG752" s="273"/>
      <c r="BH752" s="273"/>
      <c r="BI752" s="273"/>
      <c r="BJ752" s="273"/>
      <c r="BK752" s="273"/>
      <c r="BL752" s="273"/>
      <c r="BM752" s="273"/>
      <c r="BN752" s="273"/>
      <c r="BO752" s="273"/>
      <c r="BP752" s="273"/>
      <c r="BQ752" s="273"/>
      <c r="BR752" s="273"/>
      <c r="BS752" s="273"/>
      <c r="BT752" s="273"/>
      <c r="BU752" s="273"/>
      <c r="BV752" s="273"/>
      <c r="BW752" s="273"/>
      <c r="BX752" s="273"/>
      <c r="BY752" s="273"/>
      <c r="BZ752" s="273"/>
      <c r="CA752" s="273"/>
      <c r="CB752" s="273"/>
      <c r="CC752" s="273"/>
      <c r="CD752" s="273"/>
      <c r="CE752" s="273"/>
    </row>
    <row r="753" spans="1:83" ht="12.6" customHeight="1" x14ac:dyDescent="0.25">
      <c r="A753" s="207" t="str">
        <f>RIGHT($C$83,3)&amp;"*"&amp;RIGHT($C$82,4)&amp;"*"&amp;V$55&amp;"*"&amp;"A"</f>
        <v>209*2018*7110*A</v>
      </c>
      <c r="B753" s="272">
        <f>ROUND(V59,0)</f>
        <v>0</v>
      </c>
      <c r="C753" s="274">
        <f>ROUND(V60,2)</f>
        <v>0</v>
      </c>
      <c r="D753" s="272">
        <f>ROUND(V61,0)</f>
        <v>0</v>
      </c>
      <c r="E753" s="272">
        <f>ROUND(V62,0)</f>
        <v>0</v>
      </c>
      <c r="F753" s="272">
        <f>ROUND(V63,0)</f>
        <v>0</v>
      </c>
      <c r="G753" s="272">
        <f>ROUND(V64,0)</f>
        <v>0</v>
      </c>
      <c r="H753" s="272">
        <f>ROUND(V65,0)</f>
        <v>0</v>
      </c>
      <c r="I753" s="272">
        <f>ROUND(V66,0)</f>
        <v>0</v>
      </c>
      <c r="J753" s="272">
        <f>ROUND(V67,0)</f>
        <v>0</v>
      </c>
      <c r="K753" s="272">
        <f>ROUND(V68,0)</f>
        <v>0</v>
      </c>
      <c r="L753" s="272">
        <f>ROUND(V69,0)</f>
        <v>0</v>
      </c>
      <c r="M753" s="272">
        <f>ROUND(V70,0)</f>
        <v>0</v>
      </c>
      <c r="N753" s="272">
        <f>ROUND(V75,0)</f>
        <v>0</v>
      </c>
      <c r="O753" s="272">
        <f>ROUND(V73,0)</f>
        <v>0</v>
      </c>
      <c r="P753" s="272">
        <f>IF(V76&gt;0,ROUND(V76,0),0)</f>
        <v>0</v>
      </c>
      <c r="Q753" s="272">
        <f>IF(V77&gt;0,ROUND(V77,0),0)</f>
        <v>0</v>
      </c>
      <c r="R753" s="272">
        <f>IF(V78&gt;0,ROUND(V78,0),0)</f>
        <v>0</v>
      </c>
      <c r="S753" s="272">
        <f>IF(V79&gt;0,ROUND(V79,0),0)</f>
        <v>0</v>
      </c>
      <c r="T753" s="274">
        <f>IF(V80&gt;0,ROUND(V80,2),0)</f>
        <v>0</v>
      </c>
      <c r="U753" s="272"/>
      <c r="V753" s="273"/>
      <c r="W753" s="272"/>
      <c r="X753" s="272"/>
      <c r="Y753" s="272">
        <f t="shared" si="21"/>
        <v>0</v>
      </c>
      <c r="Z753" s="273"/>
      <c r="AA753" s="273"/>
      <c r="AB753" s="273"/>
      <c r="AC753" s="273"/>
      <c r="AD753" s="273"/>
      <c r="AE753" s="273"/>
      <c r="AF753" s="273"/>
      <c r="AG753" s="273"/>
      <c r="AH753" s="273"/>
      <c r="AI753" s="273"/>
      <c r="AJ753" s="273"/>
      <c r="AK753" s="273"/>
      <c r="AL753" s="273"/>
      <c r="AM753" s="273"/>
      <c r="AN753" s="273"/>
      <c r="AO753" s="273"/>
      <c r="AP753" s="273"/>
      <c r="AQ753" s="273"/>
      <c r="AR753" s="273"/>
      <c r="AS753" s="273"/>
      <c r="AT753" s="273"/>
      <c r="AU753" s="273"/>
      <c r="AV753" s="273"/>
      <c r="AW753" s="273"/>
      <c r="AX753" s="273"/>
      <c r="AY753" s="273"/>
      <c r="AZ753" s="273"/>
      <c r="BA753" s="273"/>
      <c r="BB753" s="273"/>
      <c r="BC753" s="273"/>
      <c r="BD753" s="273"/>
      <c r="BE753" s="273"/>
      <c r="BF753" s="273"/>
      <c r="BG753" s="273"/>
      <c r="BH753" s="273"/>
      <c r="BI753" s="273"/>
      <c r="BJ753" s="273"/>
      <c r="BK753" s="273"/>
      <c r="BL753" s="273"/>
      <c r="BM753" s="273"/>
      <c r="BN753" s="273"/>
      <c r="BO753" s="273"/>
      <c r="BP753" s="273"/>
      <c r="BQ753" s="273"/>
      <c r="BR753" s="273"/>
      <c r="BS753" s="273"/>
      <c r="BT753" s="273"/>
      <c r="BU753" s="273"/>
      <c r="BV753" s="273"/>
      <c r="BW753" s="273"/>
      <c r="BX753" s="273"/>
      <c r="BY753" s="273"/>
      <c r="BZ753" s="273"/>
      <c r="CA753" s="273"/>
      <c r="CB753" s="273"/>
      <c r="CC753" s="273"/>
      <c r="CD753" s="273"/>
      <c r="CE753" s="273"/>
    </row>
    <row r="754" spans="1:83" ht="12.6" customHeight="1" x14ac:dyDescent="0.25">
      <c r="A754" s="207" t="str">
        <f>RIGHT($C$83,3)&amp;"*"&amp;RIGHT($C$82,4)&amp;"*"&amp;W$55&amp;"*"&amp;"A"</f>
        <v>209*2018*7120*A</v>
      </c>
      <c r="B754" s="272">
        <f>ROUND(W59,0)</f>
        <v>3220</v>
      </c>
      <c r="C754" s="274">
        <f>ROUND(W60,2)</f>
        <v>2.77</v>
      </c>
      <c r="D754" s="272">
        <f>ROUND(W61,0)</f>
        <v>267510</v>
      </c>
      <c r="E754" s="272">
        <f>ROUND(W62,0)</f>
        <v>60448</v>
      </c>
      <c r="F754" s="272">
        <f>ROUND(W63,0)</f>
        <v>0</v>
      </c>
      <c r="G754" s="272">
        <f>ROUND(W64,0)</f>
        <v>44007</v>
      </c>
      <c r="H754" s="272">
        <f>ROUND(W65,0)</f>
        <v>0</v>
      </c>
      <c r="I754" s="272">
        <f>ROUND(W66,0)</f>
        <v>128211</v>
      </c>
      <c r="J754" s="272">
        <f>ROUND(W67,0)</f>
        <v>30012</v>
      </c>
      <c r="K754" s="272">
        <f>ROUND(W68,0)</f>
        <v>443</v>
      </c>
      <c r="L754" s="272">
        <f>ROUND(W69,0)</f>
        <v>380</v>
      </c>
      <c r="M754" s="272">
        <f>ROUND(W70,0)</f>
        <v>0</v>
      </c>
      <c r="N754" s="272">
        <f>ROUND(W75,0)</f>
        <v>15498849</v>
      </c>
      <c r="O754" s="272">
        <f>ROUND(W73,0)</f>
        <v>3351617</v>
      </c>
      <c r="P754" s="272">
        <f>IF(W76&gt;0,ROUND(W76,0),0)</f>
        <v>1100</v>
      </c>
      <c r="Q754" s="272">
        <f>IF(W77&gt;0,ROUND(W77,0),0)</f>
        <v>0</v>
      </c>
      <c r="R754" s="272">
        <f>IF(W78&gt;0,ROUND(W78,0),0)</f>
        <v>343</v>
      </c>
      <c r="S754" s="272">
        <f>IF(W79&gt;0,ROUND(W79,0),0)</f>
        <v>0</v>
      </c>
      <c r="T754" s="274">
        <f>IF(W80&gt;0,ROUND(W80,2),0)</f>
        <v>0</v>
      </c>
      <c r="U754" s="272"/>
      <c r="V754" s="273"/>
      <c r="W754" s="272"/>
      <c r="X754" s="272"/>
      <c r="Y754" s="272">
        <f t="shared" si="21"/>
        <v>393496</v>
      </c>
      <c r="Z754" s="273"/>
      <c r="AA754" s="273"/>
      <c r="AB754" s="273"/>
      <c r="AC754" s="273"/>
      <c r="AD754" s="273"/>
      <c r="AE754" s="273"/>
      <c r="AF754" s="273"/>
      <c r="AG754" s="273"/>
      <c r="AH754" s="273"/>
      <c r="AI754" s="273"/>
      <c r="AJ754" s="273"/>
      <c r="AK754" s="273"/>
      <c r="AL754" s="273"/>
      <c r="AM754" s="273"/>
      <c r="AN754" s="273"/>
      <c r="AO754" s="273"/>
      <c r="AP754" s="273"/>
      <c r="AQ754" s="273"/>
      <c r="AR754" s="273"/>
      <c r="AS754" s="273"/>
      <c r="AT754" s="273"/>
      <c r="AU754" s="273"/>
      <c r="AV754" s="273"/>
      <c r="AW754" s="273"/>
      <c r="AX754" s="273"/>
      <c r="AY754" s="273"/>
      <c r="AZ754" s="273"/>
      <c r="BA754" s="273"/>
      <c r="BB754" s="273"/>
      <c r="BC754" s="273"/>
      <c r="BD754" s="273"/>
      <c r="BE754" s="273"/>
      <c r="BF754" s="273"/>
      <c r="BG754" s="273"/>
      <c r="BH754" s="273"/>
      <c r="BI754" s="273"/>
      <c r="BJ754" s="273"/>
      <c r="BK754" s="273"/>
      <c r="BL754" s="273"/>
      <c r="BM754" s="273"/>
      <c r="BN754" s="273"/>
      <c r="BO754" s="273"/>
      <c r="BP754" s="273"/>
      <c r="BQ754" s="273"/>
      <c r="BR754" s="273"/>
      <c r="BS754" s="273"/>
      <c r="BT754" s="273"/>
      <c r="BU754" s="273"/>
      <c r="BV754" s="273"/>
      <c r="BW754" s="273"/>
      <c r="BX754" s="273"/>
      <c r="BY754" s="273"/>
      <c r="BZ754" s="273"/>
      <c r="CA754" s="273"/>
      <c r="CB754" s="273"/>
      <c r="CC754" s="273"/>
      <c r="CD754" s="273"/>
      <c r="CE754" s="273"/>
    </row>
    <row r="755" spans="1:83" ht="12.6" customHeight="1" x14ac:dyDescent="0.25">
      <c r="A755" s="207" t="str">
        <f>RIGHT($C$83,3)&amp;"*"&amp;RIGHT($C$82,4)&amp;"*"&amp;X$55&amp;"*"&amp;"A"</f>
        <v>209*2018*7130*A</v>
      </c>
      <c r="B755" s="272">
        <f>ROUND(X59,0)</f>
        <v>13540</v>
      </c>
      <c r="C755" s="274">
        <f>ROUND(X60,2)</f>
        <v>6.4</v>
      </c>
      <c r="D755" s="272">
        <f>ROUND(X61,0)</f>
        <v>576161</v>
      </c>
      <c r="E755" s="272">
        <f>ROUND(X62,0)</f>
        <v>135434</v>
      </c>
      <c r="F755" s="272">
        <f>ROUND(X63,0)</f>
        <v>0</v>
      </c>
      <c r="G755" s="272">
        <f>ROUND(X64,0)</f>
        <v>81469</v>
      </c>
      <c r="H755" s="272">
        <f>ROUND(X65,0)</f>
        <v>117</v>
      </c>
      <c r="I755" s="272">
        <f>ROUND(X66,0)</f>
        <v>216136</v>
      </c>
      <c r="J755" s="272">
        <f>ROUND(X67,0)</f>
        <v>14231</v>
      </c>
      <c r="K755" s="272">
        <f>ROUND(X68,0)</f>
        <v>0</v>
      </c>
      <c r="L755" s="272">
        <f>ROUND(X69,0)</f>
        <v>1773</v>
      </c>
      <c r="M755" s="272">
        <f>ROUND(X70,0)</f>
        <v>0</v>
      </c>
      <c r="N755" s="272">
        <f>ROUND(X75,0)</f>
        <v>71085019</v>
      </c>
      <c r="O755" s="272">
        <f>ROUND(X73,0)</f>
        <v>20809343</v>
      </c>
      <c r="P755" s="272">
        <f>IF(X76&gt;0,ROUND(X76,0),0)</f>
        <v>976</v>
      </c>
      <c r="Q755" s="272">
        <f>IF(X77&gt;0,ROUND(X77,0),0)</f>
        <v>0</v>
      </c>
      <c r="R755" s="272">
        <f>IF(X78&gt;0,ROUND(X78,0),0)</f>
        <v>304</v>
      </c>
      <c r="S755" s="272">
        <f>IF(X79&gt;0,ROUND(X79,0),0)</f>
        <v>0</v>
      </c>
      <c r="T755" s="274">
        <f>IF(X80&gt;0,ROUND(X80,2),0)</f>
        <v>0</v>
      </c>
      <c r="U755" s="272"/>
      <c r="V755" s="273"/>
      <c r="W755" s="272"/>
      <c r="X755" s="272"/>
      <c r="Y755" s="272">
        <f t="shared" si="21"/>
        <v>1168730</v>
      </c>
      <c r="Z755" s="273"/>
      <c r="AA755" s="273"/>
      <c r="AB755" s="273"/>
      <c r="AC755" s="273"/>
      <c r="AD755" s="273"/>
      <c r="AE755" s="273"/>
      <c r="AF755" s="273"/>
      <c r="AG755" s="273"/>
      <c r="AH755" s="273"/>
      <c r="AI755" s="273"/>
      <c r="AJ755" s="273"/>
      <c r="AK755" s="273"/>
      <c r="AL755" s="273"/>
      <c r="AM755" s="273"/>
      <c r="AN755" s="273"/>
      <c r="AO755" s="273"/>
      <c r="AP755" s="273"/>
      <c r="AQ755" s="273"/>
      <c r="AR755" s="273"/>
      <c r="AS755" s="273"/>
      <c r="AT755" s="273"/>
      <c r="AU755" s="273"/>
      <c r="AV755" s="273"/>
      <c r="AW755" s="273"/>
      <c r="AX755" s="273"/>
      <c r="AY755" s="273"/>
      <c r="AZ755" s="273"/>
      <c r="BA755" s="273"/>
      <c r="BB755" s="273"/>
      <c r="BC755" s="273"/>
      <c r="BD755" s="273"/>
      <c r="BE755" s="273"/>
      <c r="BF755" s="273"/>
      <c r="BG755" s="273"/>
      <c r="BH755" s="273"/>
      <c r="BI755" s="273"/>
      <c r="BJ755" s="273"/>
      <c r="BK755" s="273"/>
      <c r="BL755" s="273"/>
      <c r="BM755" s="273"/>
      <c r="BN755" s="273"/>
      <c r="BO755" s="273"/>
      <c r="BP755" s="273"/>
      <c r="BQ755" s="273"/>
      <c r="BR755" s="273"/>
      <c r="BS755" s="273"/>
      <c r="BT755" s="273"/>
      <c r="BU755" s="273"/>
      <c r="BV755" s="273"/>
      <c r="BW755" s="273"/>
      <c r="BX755" s="273"/>
      <c r="BY755" s="273"/>
      <c r="BZ755" s="273"/>
      <c r="CA755" s="273"/>
      <c r="CB755" s="273"/>
      <c r="CC755" s="273"/>
      <c r="CD755" s="273"/>
      <c r="CE755" s="273"/>
    </row>
    <row r="756" spans="1:83" ht="12.6" customHeight="1" x14ac:dyDescent="0.25">
      <c r="A756" s="207" t="str">
        <f>RIGHT($C$83,3)&amp;"*"&amp;RIGHT($C$82,4)&amp;"*"&amp;Y$55&amp;"*"&amp;"A"</f>
        <v>209*2018*7140*A</v>
      </c>
      <c r="B756" s="272">
        <f>ROUND(Y59,0)</f>
        <v>80887</v>
      </c>
      <c r="C756" s="274">
        <f>ROUND(Y60,2)</f>
        <v>21.36</v>
      </c>
      <c r="D756" s="272">
        <f>ROUND(Y61,0)</f>
        <v>1792553</v>
      </c>
      <c r="E756" s="272">
        <f>ROUND(Y62,0)</f>
        <v>438358</v>
      </c>
      <c r="F756" s="272">
        <f>ROUND(Y63,0)</f>
        <v>28885</v>
      </c>
      <c r="G756" s="272">
        <f>ROUND(Y64,0)</f>
        <v>196461</v>
      </c>
      <c r="H756" s="272">
        <f>ROUND(Y65,0)</f>
        <v>911</v>
      </c>
      <c r="I756" s="272">
        <f>ROUND(Y66,0)</f>
        <v>563276</v>
      </c>
      <c r="J756" s="272">
        <f>ROUND(Y67,0)</f>
        <v>658666</v>
      </c>
      <c r="K756" s="272">
        <f>ROUND(Y68,0)</f>
        <v>58174</v>
      </c>
      <c r="L756" s="272">
        <f>ROUND(Y69,0)</f>
        <v>548</v>
      </c>
      <c r="M756" s="272">
        <f>ROUND(Y70,0)</f>
        <v>0</v>
      </c>
      <c r="N756" s="272">
        <f>ROUND(Y75,0)</f>
        <v>31915662</v>
      </c>
      <c r="O756" s="272">
        <f>ROUND(Y73,0)</f>
        <v>11273105</v>
      </c>
      <c r="P756" s="272">
        <f>IF(Y76&gt;0,ROUND(Y76,0),0)</f>
        <v>14993</v>
      </c>
      <c r="Q756" s="272">
        <f>IF(Y77&gt;0,ROUND(Y77,0),0)</f>
        <v>0</v>
      </c>
      <c r="R756" s="272">
        <f>IF(Y78&gt;0,ROUND(Y78,0),0)</f>
        <v>4670</v>
      </c>
      <c r="S756" s="272">
        <f>IF(Y79&gt;0,ROUND(Y79,0),0)</f>
        <v>60124</v>
      </c>
      <c r="T756" s="274">
        <f>IF(Y80&gt;0,ROUND(Y80,2),0)</f>
        <v>0</v>
      </c>
      <c r="U756" s="272"/>
      <c r="V756" s="273"/>
      <c r="W756" s="272"/>
      <c r="X756" s="272"/>
      <c r="Y756" s="272">
        <f t="shared" si="21"/>
        <v>2447847</v>
      </c>
      <c r="Z756" s="273"/>
      <c r="AA756" s="273"/>
      <c r="AB756" s="273"/>
      <c r="AC756" s="273"/>
      <c r="AD756" s="273"/>
      <c r="AE756" s="273"/>
      <c r="AF756" s="273"/>
      <c r="AG756" s="273"/>
      <c r="AH756" s="273"/>
      <c r="AI756" s="273"/>
      <c r="AJ756" s="273"/>
      <c r="AK756" s="273"/>
      <c r="AL756" s="273"/>
      <c r="AM756" s="273"/>
      <c r="AN756" s="273"/>
      <c r="AO756" s="273"/>
      <c r="AP756" s="273"/>
      <c r="AQ756" s="273"/>
      <c r="AR756" s="273"/>
      <c r="AS756" s="273"/>
      <c r="AT756" s="273"/>
      <c r="AU756" s="273"/>
      <c r="AV756" s="273"/>
      <c r="AW756" s="273"/>
      <c r="AX756" s="273"/>
      <c r="AY756" s="273"/>
      <c r="AZ756" s="273"/>
      <c r="BA756" s="273"/>
      <c r="BB756" s="273"/>
      <c r="BC756" s="273"/>
      <c r="BD756" s="273"/>
      <c r="BE756" s="273"/>
      <c r="BF756" s="273"/>
      <c r="BG756" s="273"/>
      <c r="BH756" s="273"/>
      <c r="BI756" s="273"/>
      <c r="BJ756" s="273"/>
      <c r="BK756" s="273"/>
      <c r="BL756" s="273"/>
      <c r="BM756" s="273"/>
      <c r="BN756" s="273"/>
      <c r="BO756" s="273"/>
      <c r="BP756" s="273"/>
      <c r="BQ756" s="273"/>
      <c r="BR756" s="273"/>
      <c r="BS756" s="273"/>
      <c r="BT756" s="273"/>
      <c r="BU756" s="273"/>
      <c r="BV756" s="273"/>
      <c r="BW756" s="273"/>
      <c r="BX756" s="273"/>
      <c r="BY756" s="273"/>
      <c r="BZ756" s="273"/>
      <c r="CA756" s="273"/>
      <c r="CB756" s="273"/>
      <c r="CC756" s="273"/>
      <c r="CD756" s="273"/>
      <c r="CE756" s="273"/>
    </row>
    <row r="757" spans="1:83" ht="12.6" customHeight="1" x14ac:dyDescent="0.25">
      <c r="A757" s="207" t="str">
        <f>RIGHT($C$83,3)&amp;"*"&amp;RIGHT($C$82,4)&amp;"*"&amp;Z$55&amp;"*"&amp;"A"</f>
        <v>209*2018*7150*A</v>
      </c>
      <c r="B757" s="272">
        <f>ROUND(Z59,0)</f>
        <v>0</v>
      </c>
      <c r="C757" s="274">
        <f>ROUND(Z60,2)</f>
        <v>0</v>
      </c>
      <c r="D757" s="272">
        <f>ROUND(Z61,0)</f>
        <v>0</v>
      </c>
      <c r="E757" s="272">
        <f>ROUND(Z62,0)</f>
        <v>0</v>
      </c>
      <c r="F757" s="272">
        <f>ROUND(Z63,0)</f>
        <v>0</v>
      </c>
      <c r="G757" s="272">
        <f>ROUND(Z64,0)</f>
        <v>0</v>
      </c>
      <c r="H757" s="272">
        <f>ROUND(Z65,0)</f>
        <v>0</v>
      </c>
      <c r="I757" s="272">
        <f>ROUND(Z66,0)</f>
        <v>0</v>
      </c>
      <c r="J757" s="272">
        <f>ROUND(Z67,0)</f>
        <v>0</v>
      </c>
      <c r="K757" s="272">
        <f>ROUND(Z68,0)</f>
        <v>0</v>
      </c>
      <c r="L757" s="272">
        <f>ROUND(Z69,0)</f>
        <v>0</v>
      </c>
      <c r="M757" s="272">
        <f>ROUND(Z70,0)</f>
        <v>0</v>
      </c>
      <c r="N757" s="272">
        <f>ROUND(Z75,0)</f>
        <v>0</v>
      </c>
      <c r="O757" s="272">
        <f>ROUND(Z73,0)</f>
        <v>0</v>
      </c>
      <c r="P757" s="272">
        <f>IF(Z76&gt;0,ROUND(Z76,0),0)</f>
        <v>0</v>
      </c>
      <c r="Q757" s="272">
        <f>IF(Z77&gt;0,ROUND(Z77,0),0)</f>
        <v>0</v>
      </c>
      <c r="R757" s="272">
        <f>IF(Z78&gt;0,ROUND(Z78,0),0)</f>
        <v>0</v>
      </c>
      <c r="S757" s="272">
        <f>IF(Z79&gt;0,ROUND(Z79,0),0)</f>
        <v>0</v>
      </c>
      <c r="T757" s="274">
        <f>IF(Z80&gt;0,ROUND(Z80,2),0)</f>
        <v>0</v>
      </c>
      <c r="U757" s="272"/>
      <c r="V757" s="273"/>
      <c r="W757" s="272"/>
      <c r="X757" s="272"/>
      <c r="Y757" s="272">
        <f t="shared" si="21"/>
        <v>0</v>
      </c>
      <c r="Z757" s="273"/>
      <c r="AA757" s="273"/>
      <c r="AB757" s="273"/>
      <c r="AC757" s="273"/>
      <c r="AD757" s="273"/>
      <c r="AE757" s="273"/>
      <c r="AF757" s="273"/>
      <c r="AG757" s="273"/>
      <c r="AH757" s="273"/>
      <c r="AI757" s="273"/>
      <c r="AJ757" s="273"/>
      <c r="AK757" s="273"/>
      <c r="AL757" s="273"/>
      <c r="AM757" s="273"/>
      <c r="AN757" s="273"/>
      <c r="AO757" s="273"/>
      <c r="AP757" s="273"/>
      <c r="AQ757" s="273"/>
      <c r="AR757" s="273"/>
      <c r="AS757" s="273"/>
      <c r="AT757" s="273"/>
      <c r="AU757" s="273"/>
      <c r="AV757" s="273"/>
      <c r="AW757" s="273"/>
      <c r="AX757" s="273"/>
      <c r="AY757" s="273"/>
      <c r="AZ757" s="273"/>
      <c r="BA757" s="273"/>
      <c r="BB757" s="273"/>
      <c r="BC757" s="273"/>
      <c r="BD757" s="273"/>
      <c r="BE757" s="273"/>
      <c r="BF757" s="273"/>
      <c r="BG757" s="273"/>
      <c r="BH757" s="273"/>
      <c r="BI757" s="273"/>
      <c r="BJ757" s="273"/>
      <c r="BK757" s="273"/>
      <c r="BL757" s="273"/>
      <c r="BM757" s="273"/>
      <c r="BN757" s="273"/>
      <c r="BO757" s="273"/>
      <c r="BP757" s="273"/>
      <c r="BQ757" s="273"/>
      <c r="BR757" s="273"/>
      <c r="BS757" s="273"/>
      <c r="BT757" s="273"/>
      <c r="BU757" s="273"/>
      <c r="BV757" s="273"/>
      <c r="BW757" s="273"/>
      <c r="BX757" s="273"/>
      <c r="BY757" s="273"/>
      <c r="BZ757" s="273"/>
      <c r="CA757" s="273"/>
      <c r="CB757" s="273"/>
      <c r="CC757" s="273"/>
      <c r="CD757" s="273"/>
      <c r="CE757" s="273"/>
    </row>
    <row r="758" spans="1:83" ht="12.6" customHeight="1" x14ac:dyDescent="0.25">
      <c r="A758" s="207" t="str">
        <f>RIGHT($C$83,3)&amp;"*"&amp;RIGHT($C$82,4)&amp;"*"&amp;AA$55&amp;"*"&amp;"A"</f>
        <v>209*2018*7160*A</v>
      </c>
      <c r="B758" s="272">
        <f>ROUND(AA59,0)</f>
        <v>1391</v>
      </c>
      <c r="C758" s="274">
        <f>ROUND(AA60,2)</f>
        <v>2.5299999999999998</v>
      </c>
      <c r="D758" s="272">
        <f>ROUND(AA61,0)</f>
        <v>253069</v>
      </c>
      <c r="E758" s="272">
        <f>ROUND(AA62,0)</f>
        <v>56825</v>
      </c>
      <c r="F758" s="272">
        <f>ROUND(AA63,0)</f>
        <v>0</v>
      </c>
      <c r="G758" s="272">
        <f>ROUND(AA64,0)</f>
        <v>293835</v>
      </c>
      <c r="H758" s="272">
        <f>ROUND(AA65,0)</f>
        <v>0</v>
      </c>
      <c r="I758" s="272">
        <f>ROUND(AA66,0)</f>
        <v>40999</v>
      </c>
      <c r="J758" s="272">
        <f>ROUND(AA67,0)</f>
        <v>8926</v>
      </c>
      <c r="K758" s="272">
        <f>ROUND(AA68,0)</f>
        <v>495</v>
      </c>
      <c r="L758" s="272">
        <f>ROUND(AA69,0)</f>
        <v>284</v>
      </c>
      <c r="M758" s="272">
        <f>ROUND(AA70,0)</f>
        <v>0</v>
      </c>
      <c r="N758" s="272">
        <f>ROUND(AA75,0)</f>
        <v>8240843</v>
      </c>
      <c r="O758" s="272">
        <f>ROUND(AA73,0)</f>
        <v>1461555</v>
      </c>
      <c r="P758" s="272">
        <f>IF(AA76&gt;0,ROUND(AA76,0),0)</f>
        <v>0</v>
      </c>
      <c r="Q758" s="272">
        <f>IF(AA77&gt;0,ROUND(AA77,0),0)</f>
        <v>0</v>
      </c>
      <c r="R758" s="272">
        <f>IF(AA78&gt;0,ROUND(AA78,0),0)</f>
        <v>0</v>
      </c>
      <c r="S758" s="272">
        <f>IF(AA79&gt;0,ROUND(AA79,0),0)</f>
        <v>0</v>
      </c>
      <c r="T758" s="274">
        <f>IF(AA80&gt;0,ROUND(AA80,2),0)</f>
        <v>0</v>
      </c>
      <c r="U758" s="272"/>
      <c r="V758" s="273"/>
      <c r="W758" s="272"/>
      <c r="X758" s="272"/>
      <c r="Y758" s="272">
        <f t="shared" si="21"/>
        <v>245655</v>
      </c>
      <c r="Z758" s="273"/>
      <c r="AA758" s="273"/>
      <c r="AB758" s="273"/>
      <c r="AC758" s="273"/>
      <c r="AD758" s="273"/>
      <c r="AE758" s="273"/>
      <c r="AF758" s="273"/>
      <c r="AG758" s="273"/>
      <c r="AH758" s="273"/>
      <c r="AI758" s="273"/>
      <c r="AJ758" s="273"/>
      <c r="AK758" s="273"/>
      <c r="AL758" s="273"/>
      <c r="AM758" s="273"/>
      <c r="AN758" s="273"/>
      <c r="AO758" s="273"/>
      <c r="AP758" s="273"/>
      <c r="AQ758" s="273"/>
      <c r="AR758" s="273"/>
      <c r="AS758" s="273"/>
      <c r="AT758" s="273"/>
      <c r="AU758" s="273"/>
      <c r="AV758" s="273"/>
      <c r="AW758" s="273"/>
      <c r="AX758" s="273"/>
      <c r="AY758" s="273"/>
      <c r="AZ758" s="273"/>
      <c r="BA758" s="273"/>
      <c r="BB758" s="273"/>
      <c r="BC758" s="273"/>
      <c r="BD758" s="273"/>
      <c r="BE758" s="273"/>
      <c r="BF758" s="273"/>
      <c r="BG758" s="273"/>
      <c r="BH758" s="273"/>
      <c r="BI758" s="273"/>
      <c r="BJ758" s="273"/>
      <c r="BK758" s="273"/>
      <c r="BL758" s="273"/>
      <c r="BM758" s="273"/>
      <c r="BN758" s="273"/>
      <c r="BO758" s="273"/>
      <c r="BP758" s="273"/>
      <c r="BQ758" s="273"/>
      <c r="BR758" s="273"/>
      <c r="BS758" s="273"/>
      <c r="BT758" s="273"/>
      <c r="BU758" s="273"/>
      <c r="BV758" s="273"/>
      <c r="BW758" s="273"/>
      <c r="BX758" s="273"/>
      <c r="BY758" s="273"/>
      <c r="BZ758" s="273"/>
      <c r="CA758" s="273"/>
      <c r="CB758" s="273"/>
      <c r="CC758" s="273"/>
      <c r="CD758" s="273"/>
      <c r="CE758" s="273"/>
    </row>
    <row r="759" spans="1:83" ht="12.6" customHeight="1" x14ac:dyDescent="0.25">
      <c r="A759" s="207" t="str">
        <f>RIGHT($C$83,3)&amp;"*"&amp;RIGHT($C$82,4)&amp;"*"&amp;AB$55&amp;"*"&amp;"A"</f>
        <v>209*2018*7170*A</v>
      </c>
      <c r="B759" s="272"/>
      <c r="C759" s="274">
        <f>ROUND(AB60,2)</f>
        <v>23.75</v>
      </c>
      <c r="D759" s="272">
        <f>ROUND(AB61,0)</f>
        <v>2580611</v>
      </c>
      <c r="E759" s="272">
        <f>ROUND(AB62,0)</f>
        <v>548513</v>
      </c>
      <c r="F759" s="272">
        <f>ROUND(AB63,0)</f>
        <v>0</v>
      </c>
      <c r="G759" s="272">
        <f>ROUND(AB64,0)</f>
        <v>7087027</v>
      </c>
      <c r="H759" s="272">
        <f>ROUND(AB65,0)</f>
        <v>292</v>
      </c>
      <c r="I759" s="272">
        <f>ROUND(AB66,0)</f>
        <v>422333</v>
      </c>
      <c r="J759" s="272">
        <f>ROUND(AB67,0)</f>
        <v>211374</v>
      </c>
      <c r="K759" s="272">
        <f>ROUND(AB68,0)</f>
        <v>112503</v>
      </c>
      <c r="L759" s="272">
        <f>ROUND(AB69,0)</f>
        <v>3815874</v>
      </c>
      <c r="M759" s="272">
        <f>ROUND(AB70,0)</f>
        <v>5626605</v>
      </c>
      <c r="N759" s="272">
        <f>ROUND(AB75,0)</f>
        <v>106360293</v>
      </c>
      <c r="O759" s="272">
        <f>ROUND(AB73,0)</f>
        <v>56621627</v>
      </c>
      <c r="P759" s="272">
        <f>IF(AB76&gt;0,ROUND(AB76,0),0)</f>
        <v>2835</v>
      </c>
      <c r="Q759" s="272">
        <f>IF(AB77&gt;0,ROUND(AB77,0),0)</f>
        <v>0</v>
      </c>
      <c r="R759" s="272">
        <f>IF(AB78&gt;0,ROUND(AB78,0),0)</f>
        <v>883</v>
      </c>
      <c r="S759" s="272">
        <f>IF(AB79&gt;0,ROUND(AB79,0),0)</f>
        <v>0</v>
      </c>
      <c r="T759" s="274">
        <f>IF(AB80&gt;0,ROUND(AB80,2),0)</f>
        <v>0</v>
      </c>
      <c r="U759" s="272"/>
      <c r="V759" s="273"/>
      <c r="W759" s="272"/>
      <c r="X759" s="272"/>
      <c r="Y759" s="272">
        <f t="shared" si="21"/>
        <v>3436136</v>
      </c>
      <c r="Z759" s="273"/>
      <c r="AA759" s="273"/>
      <c r="AB759" s="273"/>
      <c r="AC759" s="273"/>
      <c r="AD759" s="273"/>
      <c r="AE759" s="273"/>
      <c r="AF759" s="273"/>
      <c r="AG759" s="273"/>
      <c r="AH759" s="273"/>
      <c r="AI759" s="273"/>
      <c r="AJ759" s="273"/>
      <c r="AK759" s="273"/>
      <c r="AL759" s="273"/>
      <c r="AM759" s="273"/>
      <c r="AN759" s="273"/>
      <c r="AO759" s="273"/>
      <c r="AP759" s="273"/>
      <c r="AQ759" s="273"/>
      <c r="AR759" s="273"/>
      <c r="AS759" s="273"/>
      <c r="AT759" s="273"/>
      <c r="AU759" s="273"/>
      <c r="AV759" s="273"/>
      <c r="AW759" s="273"/>
      <c r="AX759" s="273"/>
      <c r="AY759" s="273"/>
      <c r="AZ759" s="273"/>
      <c r="BA759" s="273"/>
      <c r="BB759" s="273"/>
      <c r="BC759" s="273"/>
      <c r="BD759" s="273"/>
      <c r="BE759" s="273"/>
      <c r="BF759" s="273"/>
      <c r="BG759" s="273"/>
      <c r="BH759" s="273"/>
      <c r="BI759" s="273"/>
      <c r="BJ759" s="273"/>
      <c r="BK759" s="273"/>
      <c r="BL759" s="273"/>
      <c r="BM759" s="273"/>
      <c r="BN759" s="273"/>
      <c r="BO759" s="273"/>
      <c r="BP759" s="273"/>
      <c r="BQ759" s="273"/>
      <c r="BR759" s="273"/>
      <c r="BS759" s="273"/>
      <c r="BT759" s="273"/>
      <c r="BU759" s="273"/>
      <c r="BV759" s="273"/>
      <c r="BW759" s="273"/>
      <c r="BX759" s="273"/>
      <c r="BY759" s="273"/>
      <c r="BZ759" s="273"/>
      <c r="CA759" s="273"/>
      <c r="CB759" s="273"/>
      <c r="CC759" s="273"/>
      <c r="CD759" s="273"/>
      <c r="CE759" s="273"/>
    </row>
    <row r="760" spans="1:83" ht="12.6" customHeight="1" x14ac:dyDescent="0.25">
      <c r="A760" s="207" t="str">
        <f>RIGHT($C$83,3)&amp;"*"&amp;RIGHT($C$82,4)&amp;"*"&amp;AC$55&amp;"*"&amp;"A"</f>
        <v>209*2018*7180*A</v>
      </c>
      <c r="B760" s="272">
        <f>ROUND(AC59,0)</f>
        <v>22353</v>
      </c>
      <c r="C760" s="274">
        <f>ROUND(AC60,2)</f>
        <v>12.8</v>
      </c>
      <c r="D760" s="272">
        <f>ROUND(AC61,0)</f>
        <v>1053537</v>
      </c>
      <c r="E760" s="272">
        <f>ROUND(AC62,0)</f>
        <v>259952</v>
      </c>
      <c r="F760" s="272">
        <f>ROUND(AC63,0)</f>
        <v>5138</v>
      </c>
      <c r="G760" s="272">
        <f>ROUND(AC64,0)</f>
        <v>241568</v>
      </c>
      <c r="H760" s="272">
        <f>ROUND(AC65,0)</f>
        <v>194</v>
      </c>
      <c r="I760" s="272">
        <f>ROUND(AC66,0)</f>
        <v>2203</v>
      </c>
      <c r="J760" s="272">
        <f>ROUND(AC67,0)</f>
        <v>19479</v>
      </c>
      <c r="K760" s="272">
        <f>ROUND(AC68,0)</f>
        <v>13087</v>
      </c>
      <c r="L760" s="272">
        <f>ROUND(AC69,0)</f>
        <v>6241</v>
      </c>
      <c r="M760" s="272">
        <f>ROUND(AC70,0)</f>
        <v>0</v>
      </c>
      <c r="N760" s="272">
        <f>ROUND(AC75,0)</f>
        <v>18931255</v>
      </c>
      <c r="O760" s="272">
        <f>ROUND(AC73,0)</f>
        <v>17235866</v>
      </c>
      <c r="P760" s="272">
        <f>IF(AC76&gt;0,ROUND(AC76,0),0)</f>
        <v>657</v>
      </c>
      <c r="Q760" s="272">
        <f>IF(AC77&gt;0,ROUND(AC77,0),0)</f>
        <v>0</v>
      </c>
      <c r="R760" s="272">
        <f>IF(AC78&gt;0,ROUND(AC78,0),0)</f>
        <v>205</v>
      </c>
      <c r="S760" s="272">
        <f>IF(AC79&gt;0,ROUND(AC79,0),0)</f>
        <v>0</v>
      </c>
      <c r="T760" s="274">
        <f>IF(AC80&gt;0,ROUND(AC80,2),0)</f>
        <v>0</v>
      </c>
      <c r="U760" s="272"/>
      <c r="V760" s="273"/>
      <c r="W760" s="272"/>
      <c r="X760" s="272"/>
      <c r="Y760" s="272">
        <f t="shared" si="21"/>
        <v>698553</v>
      </c>
      <c r="Z760" s="273"/>
      <c r="AA760" s="273"/>
      <c r="AB760" s="273"/>
      <c r="AC760" s="273"/>
      <c r="AD760" s="273"/>
      <c r="AE760" s="273"/>
      <c r="AF760" s="273"/>
      <c r="AG760" s="273"/>
      <c r="AH760" s="273"/>
      <c r="AI760" s="273"/>
      <c r="AJ760" s="273"/>
      <c r="AK760" s="273"/>
      <c r="AL760" s="273"/>
      <c r="AM760" s="273"/>
      <c r="AN760" s="273"/>
      <c r="AO760" s="273"/>
      <c r="AP760" s="273"/>
      <c r="AQ760" s="273"/>
      <c r="AR760" s="273"/>
      <c r="AS760" s="273"/>
      <c r="AT760" s="273"/>
      <c r="AU760" s="273"/>
      <c r="AV760" s="273"/>
      <c r="AW760" s="273"/>
      <c r="AX760" s="273"/>
      <c r="AY760" s="273"/>
      <c r="AZ760" s="273"/>
      <c r="BA760" s="273"/>
      <c r="BB760" s="273"/>
      <c r="BC760" s="273"/>
      <c r="BD760" s="273"/>
      <c r="BE760" s="273"/>
      <c r="BF760" s="273"/>
      <c r="BG760" s="273"/>
      <c r="BH760" s="273"/>
      <c r="BI760" s="273"/>
      <c r="BJ760" s="273"/>
      <c r="BK760" s="273"/>
      <c r="BL760" s="273"/>
      <c r="BM760" s="273"/>
      <c r="BN760" s="273"/>
      <c r="BO760" s="273"/>
      <c r="BP760" s="273"/>
      <c r="BQ760" s="273"/>
      <c r="BR760" s="273"/>
      <c r="BS760" s="273"/>
      <c r="BT760" s="273"/>
      <c r="BU760" s="273"/>
      <c r="BV760" s="273"/>
      <c r="BW760" s="273"/>
      <c r="BX760" s="273"/>
      <c r="BY760" s="273"/>
      <c r="BZ760" s="273"/>
      <c r="CA760" s="273"/>
      <c r="CB760" s="273"/>
      <c r="CC760" s="273"/>
      <c r="CD760" s="273"/>
      <c r="CE760" s="273"/>
    </row>
    <row r="761" spans="1:83" ht="12.6" customHeight="1" x14ac:dyDescent="0.25">
      <c r="A761" s="207" t="str">
        <f>RIGHT($C$83,3)&amp;"*"&amp;RIGHT($C$82,4)&amp;"*"&amp;AD$55&amp;"*"&amp;"A"</f>
        <v>209*2018*7190*A</v>
      </c>
      <c r="B761" s="272">
        <f>ROUND(AD59,0)</f>
        <v>0</v>
      </c>
      <c r="C761" s="274">
        <f>ROUND(AD60,2)</f>
        <v>0</v>
      </c>
      <c r="D761" s="272">
        <f>ROUND(AD61,0)</f>
        <v>0</v>
      </c>
      <c r="E761" s="272">
        <f>ROUND(AD62,0)</f>
        <v>0</v>
      </c>
      <c r="F761" s="272">
        <f>ROUND(AD63,0)</f>
        <v>0</v>
      </c>
      <c r="G761" s="272">
        <f>ROUND(AD64,0)</f>
        <v>38192</v>
      </c>
      <c r="H761" s="272">
        <f>ROUND(AD65,0)</f>
        <v>0</v>
      </c>
      <c r="I761" s="272">
        <f>ROUND(AD66,0)</f>
        <v>481706</v>
      </c>
      <c r="J761" s="272">
        <f>ROUND(AD67,0)</f>
        <v>0</v>
      </c>
      <c r="K761" s="272">
        <f>ROUND(AD68,0)</f>
        <v>0</v>
      </c>
      <c r="L761" s="272">
        <f>ROUND(AD69,0)</f>
        <v>0</v>
      </c>
      <c r="M761" s="272">
        <f>ROUND(AD70,0)</f>
        <v>42157</v>
      </c>
      <c r="N761" s="272">
        <f>ROUND(AD75,0)</f>
        <v>1572207</v>
      </c>
      <c r="O761" s="272">
        <f>ROUND(AD73,0)</f>
        <v>1521855</v>
      </c>
      <c r="P761" s="272">
        <f>IF(AD76&gt;0,ROUND(AD76,0),0)</f>
        <v>0</v>
      </c>
      <c r="Q761" s="272">
        <f>IF(AD77&gt;0,ROUND(AD77,0),0)</f>
        <v>0</v>
      </c>
      <c r="R761" s="272">
        <f>IF(AD78&gt;0,ROUND(AD78,0),0)</f>
        <v>0</v>
      </c>
      <c r="S761" s="272">
        <f>IF(AD79&gt;0,ROUND(AD79,0),0)</f>
        <v>0</v>
      </c>
      <c r="T761" s="274">
        <f>IF(AD80&gt;0,ROUND(AD80,2),0)</f>
        <v>0</v>
      </c>
      <c r="U761" s="272"/>
      <c r="V761" s="273"/>
      <c r="W761" s="272"/>
      <c r="X761" s="272"/>
      <c r="Y761" s="272">
        <f t="shared" si="21"/>
        <v>109499</v>
      </c>
      <c r="Z761" s="273"/>
      <c r="AA761" s="273"/>
      <c r="AB761" s="273"/>
      <c r="AC761" s="273"/>
      <c r="AD761" s="273"/>
      <c r="AE761" s="273"/>
      <c r="AF761" s="273"/>
      <c r="AG761" s="273"/>
      <c r="AH761" s="273"/>
      <c r="AI761" s="273"/>
      <c r="AJ761" s="273"/>
      <c r="AK761" s="273"/>
      <c r="AL761" s="273"/>
      <c r="AM761" s="273"/>
      <c r="AN761" s="273"/>
      <c r="AO761" s="273"/>
      <c r="AP761" s="273"/>
      <c r="AQ761" s="273"/>
      <c r="AR761" s="273"/>
      <c r="AS761" s="273"/>
      <c r="AT761" s="273"/>
      <c r="AU761" s="273"/>
      <c r="AV761" s="273"/>
      <c r="AW761" s="273"/>
      <c r="AX761" s="273"/>
      <c r="AY761" s="273"/>
      <c r="AZ761" s="273"/>
      <c r="BA761" s="273"/>
      <c r="BB761" s="273"/>
      <c r="BC761" s="273"/>
      <c r="BD761" s="273"/>
      <c r="BE761" s="273"/>
      <c r="BF761" s="273"/>
      <c r="BG761" s="273"/>
      <c r="BH761" s="273"/>
      <c r="BI761" s="273"/>
      <c r="BJ761" s="273"/>
      <c r="BK761" s="273"/>
      <c r="BL761" s="273"/>
      <c r="BM761" s="273"/>
      <c r="BN761" s="273"/>
      <c r="BO761" s="273"/>
      <c r="BP761" s="273"/>
      <c r="BQ761" s="273"/>
      <c r="BR761" s="273"/>
      <c r="BS761" s="273"/>
      <c r="BT761" s="273"/>
      <c r="BU761" s="273"/>
      <c r="BV761" s="273"/>
      <c r="BW761" s="273"/>
      <c r="BX761" s="273"/>
      <c r="BY761" s="273"/>
      <c r="BZ761" s="273"/>
      <c r="CA761" s="273"/>
      <c r="CB761" s="273"/>
      <c r="CC761" s="273"/>
      <c r="CD761" s="273"/>
      <c r="CE761" s="273"/>
    </row>
    <row r="762" spans="1:83" ht="12.6" customHeight="1" x14ac:dyDescent="0.25">
      <c r="A762" s="207" t="str">
        <f>RIGHT($C$83,3)&amp;"*"&amp;RIGHT($C$82,4)&amp;"*"&amp;AE$55&amp;"*"&amp;"A"</f>
        <v>209*2018*7200*A</v>
      </c>
      <c r="B762" s="272">
        <f>ROUND(AE59,0)</f>
        <v>42723</v>
      </c>
      <c r="C762" s="274">
        <f>ROUND(AE60,2)</f>
        <v>10.52</v>
      </c>
      <c r="D762" s="272">
        <f>ROUND(AE61,0)</f>
        <v>1014491</v>
      </c>
      <c r="E762" s="272">
        <f>ROUND(AE62,0)</f>
        <v>231372</v>
      </c>
      <c r="F762" s="272">
        <f>ROUND(AE63,0)</f>
        <v>0</v>
      </c>
      <c r="G762" s="272">
        <f>ROUND(AE64,0)</f>
        <v>7645</v>
      </c>
      <c r="H762" s="272">
        <f>ROUND(AE65,0)</f>
        <v>78</v>
      </c>
      <c r="I762" s="272">
        <f>ROUND(AE66,0)</f>
        <v>5418</v>
      </c>
      <c r="J762" s="272">
        <f>ROUND(AE67,0)</f>
        <v>67503</v>
      </c>
      <c r="K762" s="272">
        <f>ROUND(AE68,0)</f>
        <v>218965</v>
      </c>
      <c r="L762" s="272">
        <f>ROUND(AE69,0)</f>
        <v>5370</v>
      </c>
      <c r="M762" s="272">
        <f>ROUND(AE70,0)</f>
        <v>0</v>
      </c>
      <c r="N762" s="272">
        <f>ROUND(AE75,0)</f>
        <v>7306295</v>
      </c>
      <c r="O762" s="272">
        <f>ROUND(AE73,0)</f>
        <v>2043008</v>
      </c>
      <c r="P762" s="272">
        <f>IF(AE76&gt;0,ROUND(AE76,0),0)</f>
        <v>5802</v>
      </c>
      <c r="Q762" s="272">
        <f>IF(AE77&gt;0,ROUND(AE77,0),0)</f>
        <v>0</v>
      </c>
      <c r="R762" s="272">
        <f>IF(AE78&gt;0,ROUND(AE78,0),0)</f>
        <v>1807</v>
      </c>
      <c r="S762" s="272">
        <f>IF(AE79&gt;0,ROUND(AE79,0),0)</f>
        <v>8476</v>
      </c>
      <c r="T762" s="274">
        <f>IF(AE80&gt;0,ROUND(AE80,2),0)</f>
        <v>0</v>
      </c>
      <c r="U762" s="272"/>
      <c r="V762" s="273"/>
      <c r="W762" s="272"/>
      <c r="X762" s="272"/>
      <c r="Y762" s="272">
        <f t="shared" si="21"/>
        <v>923180</v>
      </c>
      <c r="Z762" s="273"/>
      <c r="AA762" s="273"/>
      <c r="AB762" s="273"/>
      <c r="AC762" s="273"/>
      <c r="AD762" s="273"/>
      <c r="AE762" s="273"/>
      <c r="AF762" s="273"/>
      <c r="AG762" s="273"/>
      <c r="AH762" s="273"/>
      <c r="AI762" s="273"/>
      <c r="AJ762" s="273"/>
      <c r="AK762" s="273"/>
      <c r="AL762" s="273"/>
      <c r="AM762" s="273"/>
      <c r="AN762" s="273"/>
      <c r="AO762" s="273"/>
      <c r="AP762" s="273"/>
      <c r="AQ762" s="273"/>
      <c r="AR762" s="273"/>
      <c r="AS762" s="273"/>
      <c r="AT762" s="273"/>
      <c r="AU762" s="273"/>
      <c r="AV762" s="273"/>
      <c r="AW762" s="273"/>
      <c r="AX762" s="273"/>
      <c r="AY762" s="273"/>
      <c r="AZ762" s="273"/>
      <c r="BA762" s="273"/>
      <c r="BB762" s="273"/>
      <c r="BC762" s="273"/>
      <c r="BD762" s="273"/>
      <c r="BE762" s="273"/>
      <c r="BF762" s="273"/>
      <c r="BG762" s="273"/>
      <c r="BH762" s="273"/>
      <c r="BI762" s="273"/>
      <c r="BJ762" s="273"/>
      <c r="BK762" s="273"/>
      <c r="BL762" s="273"/>
      <c r="BM762" s="273"/>
      <c r="BN762" s="273"/>
      <c r="BO762" s="273"/>
      <c r="BP762" s="273"/>
      <c r="BQ762" s="273"/>
      <c r="BR762" s="273"/>
      <c r="BS762" s="273"/>
      <c r="BT762" s="273"/>
      <c r="BU762" s="273"/>
      <c r="BV762" s="273"/>
      <c r="BW762" s="273"/>
      <c r="BX762" s="273"/>
      <c r="BY762" s="273"/>
      <c r="BZ762" s="273"/>
      <c r="CA762" s="273"/>
      <c r="CB762" s="273"/>
      <c r="CC762" s="273"/>
      <c r="CD762" s="273"/>
      <c r="CE762" s="273"/>
    </row>
    <row r="763" spans="1:83" ht="12.6" customHeight="1" x14ac:dyDescent="0.25">
      <c r="A763" s="207" t="str">
        <f>RIGHT($C$83,3)&amp;"*"&amp;RIGHT($C$82,4)&amp;"*"&amp;AF$55&amp;"*"&amp;"A"</f>
        <v>209*2018*7220*A</v>
      </c>
      <c r="B763" s="272">
        <f>ROUND(AF59,0)</f>
        <v>0</v>
      </c>
      <c r="C763" s="274">
        <f>ROUND(AF60,2)</f>
        <v>0</v>
      </c>
      <c r="D763" s="272">
        <f>ROUND(AF61,0)</f>
        <v>0</v>
      </c>
      <c r="E763" s="272">
        <f>ROUND(AF62,0)</f>
        <v>0</v>
      </c>
      <c r="F763" s="272">
        <f>ROUND(AF63,0)</f>
        <v>0</v>
      </c>
      <c r="G763" s="272">
        <f>ROUND(AF64,0)</f>
        <v>0</v>
      </c>
      <c r="H763" s="272">
        <f>ROUND(AF65,0)</f>
        <v>0</v>
      </c>
      <c r="I763" s="272">
        <f>ROUND(AF66,0)</f>
        <v>0</v>
      </c>
      <c r="J763" s="272">
        <f>ROUND(AF67,0)</f>
        <v>0</v>
      </c>
      <c r="K763" s="272">
        <f>ROUND(AF68,0)</f>
        <v>0</v>
      </c>
      <c r="L763" s="272">
        <f>ROUND(AF69,0)</f>
        <v>0</v>
      </c>
      <c r="M763" s="272">
        <f>ROUND(AF70,0)</f>
        <v>0</v>
      </c>
      <c r="N763" s="272">
        <f>ROUND(AF75,0)</f>
        <v>0</v>
      </c>
      <c r="O763" s="272">
        <f>ROUND(AF73,0)</f>
        <v>0</v>
      </c>
      <c r="P763" s="272">
        <f>IF(AF76&gt;0,ROUND(AF76,0),0)</f>
        <v>0</v>
      </c>
      <c r="Q763" s="272">
        <f>IF(AF77&gt;0,ROUND(AF77,0),0)</f>
        <v>0</v>
      </c>
      <c r="R763" s="272">
        <f>IF(AF78&gt;0,ROUND(AF78,0),0)</f>
        <v>0</v>
      </c>
      <c r="S763" s="272">
        <f>IF(AF79&gt;0,ROUND(AF79,0),0)</f>
        <v>0</v>
      </c>
      <c r="T763" s="274">
        <f>IF(AF80&gt;0,ROUND(AF80,2),0)</f>
        <v>0</v>
      </c>
      <c r="U763" s="272"/>
      <c r="V763" s="273"/>
      <c r="W763" s="272"/>
      <c r="X763" s="272"/>
      <c r="Y763" s="272">
        <f t="shared" si="21"/>
        <v>0</v>
      </c>
      <c r="Z763" s="273"/>
      <c r="AA763" s="273"/>
      <c r="AB763" s="273"/>
      <c r="AC763" s="273"/>
      <c r="AD763" s="273"/>
      <c r="AE763" s="273"/>
      <c r="AF763" s="273"/>
      <c r="AG763" s="273"/>
      <c r="AH763" s="273"/>
      <c r="AI763" s="273"/>
      <c r="AJ763" s="273"/>
      <c r="AK763" s="273"/>
      <c r="AL763" s="273"/>
      <c r="AM763" s="273"/>
      <c r="AN763" s="273"/>
      <c r="AO763" s="273"/>
      <c r="AP763" s="273"/>
      <c r="AQ763" s="273"/>
      <c r="AR763" s="273"/>
      <c r="AS763" s="273"/>
      <c r="AT763" s="273"/>
      <c r="AU763" s="273"/>
      <c r="AV763" s="273"/>
      <c r="AW763" s="273"/>
      <c r="AX763" s="273"/>
      <c r="AY763" s="273"/>
      <c r="AZ763" s="273"/>
      <c r="BA763" s="273"/>
      <c r="BB763" s="273"/>
      <c r="BC763" s="273"/>
      <c r="BD763" s="273"/>
      <c r="BE763" s="273"/>
      <c r="BF763" s="273"/>
      <c r="BG763" s="273"/>
      <c r="BH763" s="273"/>
      <c r="BI763" s="273"/>
      <c r="BJ763" s="273"/>
      <c r="BK763" s="273"/>
      <c r="BL763" s="273"/>
      <c r="BM763" s="273"/>
      <c r="BN763" s="273"/>
      <c r="BO763" s="273"/>
      <c r="BP763" s="273"/>
      <c r="BQ763" s="273"/>
      <c r="BR763" s="273"/>
      <c r="BS763" s="273"/>
      <c r="BT763" s="273"/>
      <c r="BU763" s="273"/>
      <c r="BV763" s="273"/>
      <c r="BW763" s="273"/>
      <c r="BX763" s="273"/>
      <c r="BY763" s="273"/>
      <c r="BZ763" s="273"/>
      <c r="CA763" s="273"/>
      <c r="CB763" s="273"/>
      <c r="CC763" s="273"/>
      <c r="CD763" s="273"/>
      <c r="CE763" s="273"/>
    </row>
    <row r="764" spans="1:83" ht="12.6" customHeight="1" x14ac:dyDescent="0.25">
      <c r="A764" s="207" t="str">
        <f>RIGHT($C$83,3)&amp;"*"&amp;RIGHT($C$82,4)&amp;"*"&amp;AG$55&amp;"*"&amp;"A"</f>
        <v>209*2018*7230*A</v>
      </c>
      <c r="B764" s="272">
        <f>ROUND(AG59,0)</f>
        <v>25335</v>
      </c>
      <c r="C764" s="274">
        <f>ROUND(AG60,2)</f>
        <v>40.450000000000003</v>
      </c>
      <c r="D764" s="272">
        <f>ROUND(AG61,0)</f>
        <v>3617103</v>
      </c>
      <c r="E764" s="272">
        <f>ROUND(AG62,0)</f>
        <v>826549</v>
      </c>
      <c r="F764" s="272">
        <f>ROUND(AG63,0)</f>
        <v>858869</v>
      </c>
      <c r="G764" s="272">
        <f>ROUND(AG64,0)</f>
        <v>717770</v>
      </c>
      <c r="H764" s="272">
        <f>ROUND(AG65,0)</f>
        <v>755</v>
      </c>
      <c r="I764" s="272">
        <f>ROUND(AG66,0)</f>
        <v>1299940</v>
      </c>
      <c r="J764" s="272">
        <f>ROUND(AG67,0)</f>
        <v>439299</v>
      </c>
      <c r="K764" s="272">
        <f>ROUND(AG68,0)</f>
        <v>36631</v>
      </c>
      <c r="L764" s="272">
        <f>ROUND(AG69,0)</f>
        <v>21703</v>
      </c>
      <c r="M764" s="272">
        <f>ROUND(AG70,0)</f>
        <v>-3200</v>
      </c>
      <c r="N764" s="272">
        <f>ROUND(AG75,0)</f>
        <v>98017255</v>
      </c>
      <c r="O764" s="272">
        <f>ROUND(AG73,0)</f>
        <v>25932359</v>
      </c>
      <c r="P764" s="272">
        <f>IF(AG76&gt;0,ROUND(AG76,0),0)</f>
        <v>15505</v>
      </c>
      <c r="Q764" s="272">
        <f>IF(AG77&gt;0,ROUND(AG77,0),0)</f>
        <v>3899</v>
      </c>
      <c r="R764" s="272">
        <f>IF(AG78&gt;0,ROUND(AG78,0),0)</f>
        <v>4829</v>
      </c>
      <c r="S764" s="272">
        <f>IF(AG79&gt;0,ROUND(AG79,0),0)</f>
        <v>171705</v>
      </c>
      <c r="T764" s="274">
        <f>IF(AG80&gt;0,ROUND(AG80,2),0)</f>
        <v>21.91</v>
      </c>
      <c r="U764" s="272"/>
      <c r="V764" s="273"/>
      <c r="W764" s="272"/>
      <c r="X764" s="272"/>
      <c r="Y764" s="272">
        <f t="shared" si="21"/>
        <v>4564390</v>
      </c>
      <c r="Z764" s="273"/>
      <c r="AA764" s="273"/>
      <c r="AB764" s="273"/>
      <c r="AC764" s="273"/>
      <c r="AD764" s="273"/>
      <c r="AE764" s="273"/>
      <c r="AF764" s="273"/>
      <c r="AG764" s="273"/>
      <c r="AH764" s="273"/>
      <c r="AI764" s="273"/>
      <c r="AJ764" s="273"/>
      <c r="AK764" s="273"/>
      <c r="AL764" s="273"/>
      <c r="AM764" s="273"/>
      <c r="AN764" s="273"/>
      <c r="AO764" s="273"/>
      <c r="AP764" s="273"/>
      <c r="AQ764" s="273"/>
      <c r="AR764" s="273"/>
      <c r="AS764" s="273"/>
      <c r="AT764" s="273"/>
      <c r="AU764" s="273"/>
      <c r="AV764" s="273"/>
      <c r="AW764" s="273"/>
      <c r="AX764" s="273"/>
      <c r="AY764" s="273"/>
      <c r="AZ764" s="273"/>
      <c r="BA764" s="273"/>
      <c r="BB764" s="273"/>
      <c r="BC764" s="273"/>
      <c r="BD764" s="273"/>
      <c r="BE764" s="273"/>
      <c r="BF764" s="273"/>
      <c r="BG764" s="273"/>
      <c r="BH764" s="273"/>
      <c r="BI764" s="273"/>
      <c r="BJ764" s="273"/>
      <c r="BK764" s="273"/>
      <c r="BL764" s="273"/>
      <c r="BM764" s="273"/>
      <c r="BN764" s="273"/>
      <c r="BO764" s="273"/>
      <c r="BP764" s="273"/>
      <c r="BQ764" s="273"/>
      <c r="BR764" s="273"/>
      <c r="BS764" s="273"/>
      <c r="BT764" s="273"/>
      <c r="BU764" s="273"/>
      <c r="BV764" s="273"/>
      <c r="BW764" s="273"/>
      <c r="BX764" s="273"/>
      <c r="BY764" s="273"/>
      <c r="BZ764" s="273"/>
      <c r="CA764" s="273"/>
      <c r="CB764" s="273"/>
      <c r="CC764" s="273"/>
      <c r="CD764" s="273"/>
      <c r="CE764" s="273"/>
    </row>
    <row r="765" spans="1:83" ht="12.6" customHeight="1" x14ac:dyDescent="0.25">
      <c r="A765" s="207" t="str">
        <f>RIGHT($C$83,3)&amp;"*"&amp;RIGHT($C$82,4)&amp;"*"&amp;AH$55&amp;"*"&amp;"A"</f>
        <v>209*2018*7240*A</v>
      </c>
      <c r="B765" s="272">
        <f>ROUND(AH59,0)</f>
        <v>0</v>
      </c>
      <c r="C765" s="274">
        <f>ROUND(AH60,2)</f>
        <v>0</v>
      </c>
      <c r="D765" s="272">
        <f>ROUND(AH61,0)</f>
        <v>0</v>
      </c>
      <c r="E765" s="272">
        <f>ROUND(AH62,0)</f>
        <v>0</v>
      </c>
      <c r="F765" s="272">
        <f>ROUND(AH63,0)</f>
        <v>0</v>
      </c>
      <c r="G765" s="272">
        <f>ROUND(AH64,0)</f>
        <v>0</v>
      </c>
      <c r="H765" s="272">
        <f>ROUND(AH65,0)</f>
        <v>0</v>
      </c>
      <c r="I765" s="272">
        <f>ROUND(AH66,0)</f>
        <v>0</v>
      </c>
      <c r="J765" s="272">
        <f>ROUND(AH67,0)</f>
        <v>0</v>
      </c>
      <c r="K765" s="272">
        <f>ROUND(AH68,0)</f>
        <v>0</v>
      </c>
      <c r="L765" s="272">
        <f>ROUND(AH69,0)</f>
        <v>0</v>
      </c>
      <c r="M765" s="272">
        <f>ROUND(AH70,0)</f>
        <v>0</v>
      </c>
      <c r="N765" s="272">
        <f>ROUND(AH75,0)</f>
        <v>0</v>
      </c>
      <c r="O765" s="272">
        <f>ROUND(AH73,0)</f>
        <v>0</v>
      </c>
      <c r="P765" s="272">
        <f>IF(AH76&gt;0,ROUND(AH76,0),0)</f>
        <v>0</v>
      </c>
      <c r="Q765" s="272">
        <f>IF(AH77&gt;0,ROUND(AH77,0),0)</f>
        <v>0</v>
      </c>
      <c r="R765" s="272">
        <f>IF(AH78&gt;0,ROUND(AH78,0),0)</f>
        <v>0</v>
      </c>
      <c r="S765" s="272">
        <f>IF(AH79&gt;0,ROUND(AH79,0),0)</f>
        <v>0</v>
      </c>
      <c r="T765" s="274">
        <f>IF(AH80&gt;0,ROUND(AH80,2),0)</f>
        <v>0</v>
      </c>
      <c r="U765" s="272"/>
      <c r="V765" s="273"/>
      <c r="W765" s="272"/>
      <c r="X765" s="272"/>
      <c r="Y765" s="272">
        <f t="shared" si="21"/>
        <v>0</v>
      </c>
      <c r="Z765" s="273"/>
      <c r="AA765" s="273"/>
      <c r="AB765" s="273"/>
      <c r="AC765" s="273"/>
      <c r="AD765" s="273"/>
      <c r="AE765" s="273"/>
      <c r="AF765" s="273"/>
      <c r="AG765" s="273"/>
      <c r="AH765" s="273"/>
      <c r="AI765" s="273"/>
      <c r="AJ765" s="273"/>
      <c r="AK765" s="273"/>
      <c r="AL765" s="273"/>
      <c r="AM765" s="273"/>
      <c r="AN765" s="273"/>
      <c r="AO765" s="273"/>
      <c r="AP765" s="273"/>
      <c r="AQ765" s="273"/>
      <c r="AR765" s="273"/>
      <c r="AS765" s="273"/>
      <c r="AT765" s="273"/>
      <c r="AU765" s="273"/>
      <c r="AV765" s="273"/>
      <c r="AW765" s="273"/>
      <c r="AX765" s="273"/>
      <c r="AY765" s="273"/>
      <c r="AZ765" s="273"/>
      <c r="BA765" s="273"/>
      <c r="BB765" s="273"/>
      <c r="BC765" s="273"/>
      <c r="BD765" s="273"/>
      <c r="BE765" s="273"/>
      <c r="BF765" s="273"/>
      <c r="BG765" s="273"/>
      <c r="BH765" s="273"/>
      <c r="BI765" s="273"/>
      <c r="BJ765" s="273"/>
      <c r="BK765" s="273"/>
      <c r="BL765" s="273"/>
      <c r="BM765" s="273"/>
      <c r="BN765" s="273"/>
      <c r="BO765" s="273"/>
      <c r="BP765" s="273"/>
      <c r="BQ765" s="273"/>
      <c r="BR765" s="273"/>
      <c r="BS765" s="273"/>
      <c r="BT765" s="273"/>
      <c r="BU765" s="273"/>
      <c r="BV765" s="273"/>
      <c r="BW765" s="273"/>
      <c r="BX765" s="273"/>
      <c r="BY765" s="273"/>
      <c r="BZ765" s="273"/>
      <c r="CA765" s="273"/>
      <c r="CB765" s="273"/>
      <c r="CC765" s="273"/>
      <c r="CD765" s="273"/>
      <c r="CE765" s="273"/>
    </row>
    <row r="766" spans="1:83" ht="12.6" customHeight="1" x14ac:dyDescent="0.25">
      <c r="A766" s="207" t="str">
        <f>RIGHT($C$83,3)&amp;"*"&amp;RIGHT($C$82,4)&amp;"*"&amp;AI$55&amp;"*"&amp;"A"</f>
        <v>209*2018*7250*A</v>
      </c>
      <c r="B766" s="272">
        <f>ROUND(AI59,0)</f>
        <v>0</v>
      </c>
      <c r="C766" s="274">
        <f>ROUND(AI60,2)</f>
        <v>0</v>
      </c>
      <c r="D766" s="272">
        <f>ROUND(AI61,0)</f>
        <v>0</v>
      </c>
      <c r="E766" s="272">
        <f>ROUND(AI62,0)</f>
        <v>0</v>
      </c>
      <c r="F766" s="272">
        <f>ROUND(AI63,0)</f>
        <v>0</v>
      </c>
      <c r="G766" s="272">
        <f>ROUND(AI64,0)</f>
        <v>0</v>
      </c>
      <c r="H766" s="272">
        <f>ROUND(AI65,0)</f>
        <v>0</v>
      </c>
      <c r="I766" s="272">
        <f>ROUND(AI66,0)</f>
        <v>0</v>
      </c>
      <c r="J766" s="272">
        <f>ROUND(AI67,0)</f>
        <v>0</v>
      </c>
      <c r="K766" s="272">
        <f>ROUND(AI68,0)</f>
        <v>0</v>
      </c>
      <c r="L766" s="272">
        <f>ROUND(AI69,0)</f>
        <v>0</v>
      </c>
      <c r="M766" s="272">
        <f>ROUND(AI70,0)</f>
        <v>0</v>
      </c>
      <c r="N766" s="272">
        <f>ROUND(AI75,0)</f>
        <v>0</v>
      </c>
      <c r="O766" s="272">
        <f>ROUND(AI73,0)</f>
        <v>0</v>
      </c>
      <c r="P766" s="272">
        <f>IF(AI76&gt;0,ROUND(AI76,0),0)</f>
        <v>0</v>
      </c>
      <c r="Q766" s="272">
        <f>IF(AI77&gt;0,ROUND(AI77,0),0)</f>
        <v>0</v>
      </c>
      <c r="R766" s="272">
        <f>IF(AI78&gt;0,ROUND(AI78,0),0)</f>
        <v>0</v>
      </c>
      <c r="S766" s="272">
        <f>IF(AI79&gt;0,ROUND(AI79,0),0)</f>
        <v>0</v>
      </c>
      <c r="T766" s="274">
        <f>IF(AI80&gt;0,ROUND(AI80,2),0)</f>
        <v>0</v>
      </c>
      <c r="U766" s="272"/>
      <c r="V766" s="273"/>
      <c r="W766" s="272"/>
      <c r="X766" s="272"/>
      <c r="Y766" s="272">
        <f t="shared" si="21"/>
        <v>0</v>
      </c>
      <c r="Z766" s="273"/>
      <c r="AA766" s="273"/>
      <c r="AB766" s="273"/>
      <c r="AC766" s="273"/>
      <c r="AD766" s="273"/>
      <c r="AE766" s="273"/>
      <c r="AF766" s="273"/>
      <c r="AG766" s="273"/>
      <c r="AH766" s="273"/>
      <c r="AI766" s="273"/>
      <c r="AJ766" s="273"/>
      <c r="AK766" s="273"/>
      <c r="AL766" s="273"/>
      <c r="AM766" s="273"/>
      <c r="AN766" s="273"/>
      <c r="AO766" s="273"/>
      <c r="AP766" s="273"/>
      <c r="AQ766" s="273"/>
      <c r="AR766" s="273"/>
      <c r="AS766" s="273"/>
      <c r="AT766" s="273"/>
      <c r="AU766" s="273"/>
      <c r="AV766" s="273"/>
      <c r="AW766" s="273"/>
      <c r="AX766" s="273"/>
      <c r="AY766" s="273"/>
      <c r="AZ766" s="273"/>
      <c r="BA766" s="273"/>
      <c r="BB766" s="273"/>
      <c r="BC766" s="273"/>
      <c r="BD766" s="273"/>
      <c r="BE766" s="273"/>
      <c r="BF766" s="273"/>
      <c r="BG766" s="273"/>
      <c r="BH766" s="273"/>
      <c r="BI766" s="273"/>
      <c r="BJ766" s="273"/>
      <c r="BK766" s="273"/>
      <c r="BL766" s="273"/>
      <c r="BM766" s="273"/>
      <c r="BN766" s="273"/>
      <c r="BO766" s="273"/>
      <c r="BP766" s="273"/>
      <c r="BQ766" s="273"/>
      <c r="BR766" s="273"/>
      <c r="BS766" s="273"/>
      <c r="BT766" s="273"/>
      <c r="BU766" s="273"/>
      <c r="BV766" s="273"/>
      <c r="BW766" s="273"/>
      <c r="BX766" s="273"/>
      <c r="BY766" s="273"/>
      <c r="BZ766" s="273"/>
      <c r="CA766" s="273"/>
      <c r="CB766" s="273"/>
      <c r="CC766" s="273"/>
      <c r="CD766" s="273"/>
      <c r="CE766" s="273"/>
    </row>
    <row r="767" spans="1:83" ht="12.6" customHeight="1" x14ac:dyDescent="0.25">
      <c r="A767" s="207" t="str">
        <f>RIGHT($C$83,3)&amp;"*"&amp;RIGHT($C$82,4)&amp;"*"&amp;AJ$55&amp;"*"&amp;"A"</f>
        <v>209*2018*7260*A</v>
      </c>
      <c r="B767" s="272">
        <f>ROUND(AJ59,0)</f>
        <v>5263</v>
      </c>
      <c r="C767" s="274">
        <f>ROUND(AJ60,2)</f>
        <v>4.59</v>
      </c>
      <c r="D767" s="272">
        <f>ROUND(AJ61,0)</f>
        <v>371803</v>
      </c>
      <c r="E767" s="272">
        <f>ROUND(AJ62,0)</f>
        <v>91667</v>
      </c>
      <c r="F767" s="272">
        <f>ROUND(AJ63,0)</f>
        <v>0</v>
      </c>
      <c r="G767" s="272">
        <f>ROUND(AJ64,0)</f>
        <v>60966</v>
      </c>
      <c r="H767" s="272">
        <f>ROUND(AJ65,0)</f>
        <v>1289</v>
      </c>
      <c r="I767" s="272">
        <f>ROUND(AJ66,0)</f>
        <v>183377</v>
      </c>
      <c r="J767" s="272">
        <f>ROUND(AJ67,0)</f>
        <v>518546</v>
      </c>
      <c r="K767" s="272">
        <f>ROUND(AJ68,0)</f>
        <v>241463</v>
      </c>
      <c r="L767" s="272">
        <f>ROUND(AJ69,0)</f>
        <v>64</v>
      </c>
      <c r="M767" s="272">
        <f>ROUND(AJ70,0)</f>
        <v>0</v>
      </c>
      <c r="N767" s="272">
        <f>ROUND(AJ75,0)</f>
        <v>2700707</v>
      </c>
      <c r="O767" s="272">
        <f>ROUND(AJ73,0)</f>
        <v>4715</v>
      </c>
      <c r="P767" s="272">
        <f>IF(AJ76&gt;0,ROUND(AJ76,0),0)</f>
        <v>0</v>
      </c>
      <c r="Q767" s="272">
        <f>IF(AJ77&gt;0,ROUND(AJ77,0),0)</f>
        <v>0</v>
      </c>
      <c r="R767" s="272">
        <f>IF(AJ78&gt;0,ROUND(AJ78,0),0)</f>
        <v>0</v>
      </c>
      <c r="S767" s="272">
        <f>IF(AJ79&gt;0,ROUND(AJ79,0),0)</f>
        <v>0</v>
      </c>
      <c r="T767" s="274">
        <f>IF(AJ80&gt;0,ROUND(AJ80,2),0)</f>
        <v>2.63</v>
      </c>
      <c r="U767" s="272"/>
      <c r="V767" s="273"/>
      <c r="W767" s="272"/>
      <c r="X767" s="272"/>
      <c r="Y767" s="272">
        <f t="shared" si="21"/>
        <v>390213</v>
      </c>
      <c r="Z767" s="273"/>
      <c r="AA767" s="273"/>
      <c r="AB767" s="273"/>
      <c r="AC767" s="273"/>
      <c r="AD767" s="273"/>
      <c r="AE767" s="273"/>
      <c r="AF767" s="273"/>
      <c r="AG767" s="273"/>
      <c r="AH767" s="273"/>
      <c r="AI767" s="273"/>
      <c r="AJ767" s="273"/>
      <c r="AK767" s="273"/>
      <c r="AL767" s="273"/>
      <c r="AM767" s="273"/>
      <c r="AN767" s="273"/>
      <c r="AO767" s="273"/>
      <c r="AP767" s="273"/>
      <c r="AQ767" s="273"/>
      <c r="AR767" s="273"/>
      <c r="AS767" s="273"/>
      <c r="AT767" s="273"/>
      <c r="AU767" s="273"/>
      <c r="AV767" s="273"/>
      <c r="AW767" s="273"/>
      <c r="AX767" s="273"/>
      <c r="AY767" s="273"/>
      <c r="AZ767" s="273"/>
      <c r="BA767" s="273"/>
      <c r="BB767" s="273"/>
      <c r="BC767" s="273"/>
      <c r="BD767" s="273"/>
      <c r="BE767" s="273"/>
      <c r="BF767" s="273"/>
      <c r="BG767" s="273"/>
      <c r="BH767" s="273"/>
      <c r="BI767" s="273"/>
      <c r="BJ767" s="273"/>
      <c r="BK767" s="273"/>
      <c r="BL767" s="273"/>
      <c r="BM767" s="273"/>
      <c r="BN767" s="273"/>
      <c r="BO767" s="273"/>
      <c r="BP767" s="273"/>
      <c r="BQ767" s="273"/>
      <c r="BR767" s="273"/>
      <c r="BS767" s="273"/>
      <c r="BT767" s="273"/>
      <c r="BU767" s="273"/>
      <c r="BV767" s="273"/>
      <c r="BW767" s="273"/>
      <c r="BX767" s="273"/>
      <c r="BY767" s="273"/>
      <c r="BZ767" s="273"/>
      <c r="CA767" s="273"/>
      <c r="CB767" s="273"/>
      <c r="CC767" s="273"/>
      <c r="CD767" s="273"/>
      <c r="CE767" s="273"/>
    </row>
    <row r="768" spans="1:83" ht="12.6" customHeight="1" x14ac:dyDescent="0.25">
      <c r="A768" s="207" t="str">
        <f>RIGHT($C$83,3)&amp;"*"&amp;RIGHT($C$82,4)&amp;"*"&amp;AK$55&amp;"*"&amp;"A"</f>
        <v>209*2018*7310*A</v>
      </c>
      <c r="B768" s="272">
        <f>ROUND(AK59,0)</f>
        <v>9996</v>
      </c>
      <c r="C768" s="274">
        <f>ROUND(AK60,2)</f>
        <v>2.63</v>
      </c>
      <c r="D768" s="272">
        <f>ROUND(AK61,0)</f>
        <v>268203</v>
      </c>
      <c r="E768" s="272">
        <f>ROUND(AK62,0)</f>
        <v>59965</v>
      </c>
      <c r="F768" s="272">
        <f>ROUND(AK63,0)</f>
        <v>0</v>
      </c>
      <c r="G768" s="272">
        <f>ROUND(AK64,0)</f>
        <v>918</v>
      </c>
      <c r="H768" s="272">
        <f>ROUND(AK65,0)</f>
        <v>0</v>
      </c>
      <c r="I768" s="272">
        <f>ROUND(AK66,0)</f>
        <v>0</v>
      </c>
      <c r="J768" s="272">
        <f>ROUND(AK67,0)</f>
        <v>91246</v>
      </c>
      <c r="K768" s="272">
        <f>ROUND(AK68,0)</f>
        <v>0</v>
      </c>
      <c r="L768" s="272">
        <f>ROUND(AK69,0)</f>
        <v>601</v>
      </c>
      <c r="M768" s="272">
        <f>ROUND(AK70,0)</f>
        <v>0</v>
      </c>
      <c r="N768" s="272">
        <f>ROUND(AK75,0)</f>
        <v>1928934</v>
      </c>
      <c r="O768" s="272">
        <f>ROUND(AK73,0)</f>
        <v>632683</v>
      </c>
      <c r="P768" s="272">
        <f>IF(AK76&gt;0,ROUND(AK76,0),0)</f>
        <v>0</v>
      </c>
      <c r="Q768" s="272">
        <f>IF(AK77&gt;0,ROUND(AK77,0),0)</f>
        <v>0</v>
      </c>
      <c r="R768" s="272">
        <f>IF(AK78&gt;0,ROUND(AK78,0),0)</f>
        <v>0</v>
      </c>
      <c r="S768" s="272">
        <f>IF(AK79&gt;0,ROUND(AK79,0),0)</f>
        <v>0</v>
      </c>
      <c r="T768" s="274">
        <f>IF(AK80&gt;0,ROUND(AK80,2),0)</f>
        <v>0</v>
      </c>
      <c r="U768" s="272"/>
      <c r="V768" s="273"/>
      <c r="W768" s="272"/>
      <c r="X768" s="272"/>
      <c r="Y768" s="272">
        <f t="shared" si="21"/>
        <v>127682</v>
      </c>
      <c r="Z768" s="273"/>
      <c r="AA768" s="273"/>
      <c r="AB768" s="273"/>
      <c r="AC768" s="273"/>
      <c r="AD768" s="273"/>
      <c r="AE768" s="273"/>
      <c r="AF768" s="273"/>
      <c r="AG768" s="273"/>
      <c r="AH768" s="273"/>
      <c r="AI768" s="273"/>
      <c r="AJ768" s="273"/>
      <c r="AK768" s="273"/>
      <c r="AL768" s="273"/>
      <c r="AM768" s="273"/>
      <c r="AN768" s="273"/>
      <c r="AO768" s="273"/>
      <c r="AP768" s="273"/>
      <c r="AQ768" s="273"/>
      <c r="AR768" s="273"/>
      <c r="AS768" s="273"/>
      <c r="AT768" s="273"/>
      <c r="AU768" s="273"/>
      <c r="AV768" s="273"/>
      <c r="AW768" s="273"/>
      <c r="AX768" s="273"/>
      <c r="AY768" s="273"/>
      <c r="AZ768" s="273"/>
      <c r="BA768" s="273"/>
      <c r="BB768" s="273"/>
      <c r="BC768" s="273"/>
      <c r="BD768" s="273"/>
      <c r="BE768" s="273"/>
      <c r="BF768" s="273"/>
      <c r="BG768" s="273"/>
      <c r="BH768" s="273"/>
      <c r="BI768" s="273"/>
      <c r="BJ768" s="273"/>
      <c r="BK768" s="273"/>
      <c r="BL768" s="273"/>
      <c r="BM768" s="273"/>
      <c r="BN768" s="273"/>
      <c r="BO768" s="273"/>
      <c r="BP768" s="273"/>
      <c r="BQ768" s="273"/>
      <c r="BR768" s="273"/>
      <c r="BS768" s="273"/>
      <c r="BT768" s="273"/>
      <c r="BU768" s="273"/>
      <c r="BV768" s="273"/>
      <c r="BW768" s="273"/>
      <c r="BX768" s="273"/>
      <c r="BY768" s="273"/>
      <c r="BZ768" s="273"/>
      <c r="CA768" s="273"/>
      <c r="CB768" s="273"/>
      <c r="CC768" s="273"/>
      <c r="CD768" s="273"/>
      <c r="CE768" s="273"/>
    </row>
    <row r="769" spans="1:83" ht="12.6" customHeight="1" x14ac:dyDescent="0.25">
      <c r="A769" s="207" t="str">
        <f>RIGHT($C$83,3)&amp;"*"&amp;RIGHT($C$82,4)&amp;"*"&amp;AL$55&amp;"*"&amp;"A"</f>
        <v>209*2018*7320*A</v>
      </c>
      <c r="B769" s="272">
        <f>ROUND(AL59,0)</f>
        <v>1500</v>
      </c>
      <c r="C769" s="274">
        <f>ROUND(AL60,2)</f>
        <v>0.81</v>
      </c>
      <c r="D769" s="272">
        <f>ROUND(AL61,0)</f>
        <v>78362</v>
      </c>
      <c r="E769" s="272">
        <f>ROUND(AL62,0)</f>
        <v>17972</v>
      </c>
      <c r="F769" s="272">
        <f>ROUND(AL63,0)</f>
        <v>0</v>
      </c>
      <c r="G769" s="272">
        <f>ROUND(AL64,0)</f>
        <v>34</v>
      </c>
      <c r="H769" s="272">
        <f>ROUND(AL65,0)</f>
        <v>0</v>
      </c>
      <c r="I769" s="272">
        <f>ROUND(AL66,0)</f>
        <v>236</v>
      </c>
      <c r="J769" s="272">
        <f>ROUND(AL67,0)</f>
        <v>176</v>
      </c>
      <c r="K769" s="272">
        <f>ROUND(AL68,0)</f>
        <v>0</v>
      </c>
      <c r="L769" s="272">
        <f>ROUND(AL69,0)</f>
        <v>0</v>
      </c>
      <c r="M769" s="272">
        <f>ROUND(AL70,0)</f>
        <v>0</v>
      </c>
      <c r="N769" s="272">
        <f>ROUND(AL75,0)</f>
        <v>601420</v>
      </c>
      <c r="O769" s="272">
        <f>ROUND(AL73,0)</f>
        <v>352974</v>
      </c>
      <c r="P769" s="272">
        <f>IF(AL76&gt;0,ROUND(AL76,0),0)</f>
        <v>0</v>
      </c>
      <c r="Q769" s="272">
        <f>IF(AL77&gt;0,ROUND(AL77,0),0)</f>
        <v>0</v>
      </c>
      <c r="R769" s="272">
        <f>IF(AL78&gt;0,ROUND(AL78,0),0)</f>
        <v>0</v>
      </c>
      <c r="S769" s="272">
        <f>IF(AL79&gt;0,ROUND(AL79,0),0)</f>
        <v>0</v>
      </c>
      <c r="T769" s="274">
        <f>IF(AL80&gt;0,ROUND(AL80,2),0)</f>
        <v>0</v>
      </c>
      <c r="U769" s="272"/>
      <c r="V769" s="273"/>
      <c r="W769" s="272"/>
      <c r="X769" s="272"/>
      <c r="Y769" s="272">
        <f t="shared" si="21"/>
        <v>33120</v>
      </c>
      <c r="Z769" s="273"/>
      <c r="AA769" s="273"/>
      <c r="AB769" s="273"/>
      <c r="AC769" s="273"/>
      <c r="AD769" s="273"/>
      <c r="AE769" s="273"/>
      <c r="AF769" s="273"/>
      <c r="AG769" s="273"/>
      <c r="AH769" s="273"/>
      <c r="AI769" s="273"/>
      <c r="AJ769" s="273"/>
      <c r="AK769" s="273"/>
      <c r="AL769" s="273"/>
      <c r="AM769" s="273"/>
      <c r="AN769" s="273"/>
      <c r="AO769" s="273"/>
      <c r="AP769" s="273"/>
      <c r="AQ769" s="273"/>
      <c r="AR769" s="273"/>
      <c r="AS769" s="273"/>
      <c r="AT769" s="273"/>
      <c r="AU769" s="273"/>
      <c r="AV769" s="273"/>
      <c r="AW769" s="273"/>
      <c r="AX769" s="273"/>
      <c r="AY769" s="273"/>
      <c r="AZ769" s="273"/>
      <c r="BA769" s="273"/>
      <c r="BB769" s="273"/>
      <c r="BC769" s="273"/>
      <c r="BD769" s="273"/>
      <c r="BE769" s="273"/>
      <c r="BF769" s="273"/>
      <c r="BG769" s="273"/>
      <c r="BH769" s="273"/>
      <c r="BI769" s="273"/>
      <c r="BJ769" s="273"/>
      <c r="BK769" s="273"/>
      <c r="BL769" s="273"/>
      <c r="BM769" s="273"/>
      <c r="BN769" s="273"/>
      <c r="BO769" s="273"/>
      <c r="BP769" s="273"/>
      <c r="BQ769" s="273"/>
      <c r="BR769" s="273"/>
      <c r="BS769" s="273"/>
      <c r="BT769" s="273"/>
      <c r="BU769" s="273"/>
      <c r="BV769" s="273"/>
      <c r="BW769" s="273"/>
      <c r="BX769" s="273"/>
      <c r="BY769" s="273"/>
      <c r="BZ769" s="273"/>
      <c r="CA769" s="273"/>
      <c r="CB769" s="273"/>
      <c r="CC769" s="273"/>
      <c r="CD769" s="273"/>
      <c r="CE769" s="273"/>
    </row>
    <row r="770" spans="1:83" ht="12.6" customHeight="1" x14ac:dyDescent="0.25">
      <c r="A770" s="207" t="str">
        <f>RIGHT($C$83,3)&amp;"*"&amp;RIGHT($C$82,4)&amp;"*"&amp;AM$55&amp;"*"&amp;"A"</f>
        <v>209*2018*7330*A</v>
      </c>
      <c r="B770" s="272">
        <f>ROUND(AM59,0)</f>
        <v>0</v>
      </c>
      <c r="C770" s="274">
        <f>ROUND(AM60,2)</f>
        <v>0</v>
      </c>
      <c r="D770" s="272">
        <f>ROUND(AM61,0)</f>
        <v>0</v>
      </c>
      <c r="E770" s="272">
        <f>ROUND(AM62,0)</f>
        <v>0</v>
      </c>
      <c r="F770" s="272">
        <f>ROUND(AM63,0)</f>
        <v>0</v>
      </c>
      <c r="G770" s="272">
        <f>ROUND(AM64,0)</f>
        <v>0</v>
      </c>
      <c r="H770" s="272">
        <f>ROUND(AM65,0)</f>
        <v>0</v>
      </c>
      <c r="I770" s="272">
        <f>ROUND(AM66,0)</f>
        <v>0</v>
      </c>
      <c r="J770" s="272">
        <f>ROUND(AM67,0)</f>
        <v>0</v>
      </c>
      <c r="K770" s="272">
        <f>ROUND(AM68,0)</f>
        <v>0</v>
      </c>
      <c r="L770" s="272">
        <f>ROUND(AM69,0)</f>
        <v>0</v>
      </c>
      <c r="M770" s="272">
        <f>ROUND(AM70,0)</f>
        <v>0</v>
      </c>
      <c r="N770" s="272">
        <f>ROUND(AM75,0)</f>
        <v>0</v>
      </c>
      <c r="O770" s="272">
        <f>ROUND(AM73,0)</f>
        <v>0</v>
      </c>
      <c r="P770" s="272">
        <f>IF(AM76&gt;0,ROUND(AM76,0),0)</f>
        <v>0</v>
      </c>
      <c r="Q770" s="272">
        <f>IF(AM77&gt;0,ROUND(AM77,0),0)</f>
        <v>0</v>
      </c>
      <c r="R770" s="272">
        <f>IF(AM78&gt;0,ROUND(AM78,0),0)</f>
        <v>0</v>
      </c>
      <c r="S770" s="272">
        <f>IF(AM79&gt;0,ROUND(AM79,0),0)</f>
        <v>0</v>
      </c>
      <c r="T770" s="274">
        <f>IF(AM80&gt;0,ROUND(AM80,2),0)</f>
        <v>0</v>
      </c>
      <c r="U770" s="272"/>
      <c r="V770" s="273"/>
      <c r="W770" s="272"/>
      <c r="X770" s="272"/>
      <c r="Y770" s="272">
        <f t="shared" si="21"/>
        <v>0</v>
      </c>
      <c r="Z770" s="273"/>
      <c r="AA770" s="273"/>
      <c r="AB770" s="273"/>
      <c r="AC770" s="273"/>
      <c r="AD770" s="273"/>
      <c r="AE770" s="273"/>
      <c r="AF770" s="273"/>
      <c r="AG770" s="273"/>
      <c r="AH770" s="273"/>
      <c r="AI770" s="273"/>
      <c r="AJ770" s="273"/>
      <c r="AK770" s="273"/>
      <c r="AL770" s="273"/>
      <c r="AM770" s="273"/>
      <c r="AN770" s="273"/>
      <c r="AO770" s="273"/>
      <c r="AP770" s="273"/>
      <c r="AQ770" s="273"/>
      <c r="AR770" s="273"/>
      <c r="AS770" s="273"/>
      <c r="AT770" s="273"/>
      <c r="AU770" s="273"/>
      <c r="AV770" s="273"/>
      <c r="AW770" s="273"/>
      <c r="AX770" s="273"/>
      <c r="AY770" s="273"/>
      <c r="AZ770" s="273"/>
      <c r="BA770" s="273"/>
      <c r="BB770" s="273"/>
      <c r="BC770" s="273"/>
      <c r="BD770" s="273"/>
      <c r="BE770" s="273"/>
      <c r="BF770" s="273"/>
      <c r="BG770" s="273"/>
      <c r="BH770" s="273"/>
      <c r="BI770" s="273"/>
      <c r="BJ770" s="273"/>
      <c r="BK770" s="273"/>
      <c r="BL770" s="273"/>
      <c r="BM770" s="273"/>
      <c r="BN770" s="273"/>
      <c r="BO770" s="273"/>
      <c r="BP770" s="273"/>
      <c r="BQ770" s="273"/>
      <c r="BR770" s="273"/>
      <c r="BS770" s="273"/>
      <c r="BT770" s="273"/>
      <c r="BU770" s="273"/>
      <c r="BV770" s="273"/>
      <c r="BW770" s="273"/>
      <c r="BX770" s="273"/>
      <c r="BY770" s="273"/>
      <c r="BZ770" s="273"/>
      <c r="CA770" s="273"/>
      <c r="CB770" s="273"/>
      <c r="CC770" s="273"/>
      <c r="CD770" s="273"/>
      <c r="CE770" s="273"/>
    </row>
    <row r="771" spans="1:83" ht="12.6" customHeight="1" x14ac:dyDescent="0.25">
      <c r="A771" s="207" t="str">
        <f>RIGHT($C$83,3)&amp;"*"&amp;RIGHT($C$82,4)&amp;"*"&amp;AN$55&amp;"*"&amp;"A"</f>
        <v>209*2018*7340*A</v>
      </c>
      <c r="B771" s="272">
        <f>ROUND(AN59,0)</f>
        <v>0</v>
      </c>
      <c r="C771" s="274">
        <f>ROUND(AN60,2)</f>
        <v>0</v>
      </c>
      <c r="D771" s="272">
        <f>ROUND(AN61,0)</f>
        <v>0</v>
      </c>
      <c r="E771" s="272">
        <f>ROUND(AN62,0)</f>
        <v>0</v>
      </c>
      <c r="F771" s="272">
        <f>ROUND(AN63,0)</f>
        <v>0</v>
      </c>
      <c r="G771" s="272">
        <f>ROUND(AN64,0)</f>
        <v>0</v>
      </c>
      <c r="H771" s="272">
        <f>ROUND(AN65,0)</f>
        <v>0</v>
      </c>
      <c r="I771" s="272">
        <f>ROUND(AN66,0)</f>
        <v>0</v>
      </c>
      <c r="J771" s="272">
        <f>ROUND(AN67,0)</f>
        <v>0</v>
      </c>
      <c r="K771" s="272">
        <f>ROUND(AN68,0)</f>
        <v>0</v>
      </c>
      <c r="L771" s="272">
        <f>ROUND(AN69,0)</f>
        <v>0</v>
      </c>
      <c r="M771" s="272">
        <f>ROUND(AN70,0)</f>
        <v>0</v>
      </c>
      <c r="N771" s="272">
        <f>ROUND(AN75,0)</f>
        <v>0</v>
      </c>
      <c r="O771" s="272">
        <f>ROUND(AN73,0)</f>
        <v>0</v>
      </c>
      <c r="P771" s="272">
        <f>IF(AN76&gt;0,ROUND(AN76,0),0)</f>
        <v>0</v>
      </c>
      <c r="Q771" s="272">
        <f>IF(AN77&gt;0,ROUND(AN77,0),0)</f>
        <v>0</v>
      </c>
      <c r="R771" s="272">
        <f>IF(AN78&gt;0,ROUND(AN78,0),0)</f>
        <v>0</v>
      </c>
      <c r="S771" s="272">
        <f>IF(AN79&gt;0,ROUND(AN79,0),0)</f>
        <v>0</v>
      </c>
      <c r="T771" s="274">
        <f>IF(AN80&gt;0,ROUND(AN80,2),0)</f>
        <v>0</v>
      </c>
      <c r="U771" s="272"/>
      <c r="V771" s="273"/>
      <c r="W771" s="272"/>
      <c r="X771" s="272"/>
      <c r="Y771" s="272">
        <f t="shared" si="21"/>
        <v>0</v>
      </c>
      <c r="Z771" s="273"/>
      <c r="AA771" s="273"/>
      <c r="AB771" s="273"/>
      <c r="AC771" s="273"/>
      <c r="AD771" s="273"/>
      <c r="AE771" s="273"/>
      <c r="AF771" s="273"/>
      <c r="AG771" s="273"/>
      <c r="AH771" s="273"/>
      <c r="AI771" s="273"/>
      <c r="AJ771" s="273"/>
      <c r="AK771" s="273"/>
      <c r="AL771" s="273"/>
      <c r="AM771" s="273"/>
      <c r="AN771" s="273"/>
      <c r="AO771" s="273"/>
      <c r="AP771" s="273"/>
      <c r="AQ771" s="273"/>
      <c r="AR771" s="273"/>
      <c r="AS771" s="273"/>
      <c r="AT771" s="273"/>
      <c r="AU771" s="273"/>
      <c r="AV771" s="273"/>
      <c r="AW771" s="273"/>
      <c r="AX771" s="273"/>
      <c r="AY771" s="273"/>
      <c r="AZ771" s="273"/>
      <c r="BA771" s="273"/>
      <c r="BB771" s="273"/>
      <c r="BC771" s="273"/>
      <c r="BD771" s="273"/>
      <c r="BE771" s="273"/>
      <c r="BF771" s="273"/>
      <c r="BG771" s="273"/>
      <c r="BH771" s="273"/>
      <c r="BI771" s="273"/>
      <c r="BJ771" s="273"/>
      <c r="BK771" s="273"/>
      <c r="BL771" s="273"/>
      <c r="BM771" s="273"/>
      <c r="BN771" s="273"/>
      <c r="BO771" s="273"/>
      <c r="BP771" s="273"/>
      <c r="BQ771" s="273"/>
      <c r="BR771" s="273"/>
      <c r="BS771" s="273"/>
      <c r="BT771" s="273"/>
      <c r="BU771" s="273"/>
      <c r="BV771" s="273"/>
      <c r="BW771" s="273"/>
      <c r="BX771" s="273"/>
      <c r="BY771" s="273"/>
      <c r="BZ771" s="273"/>
      <c r="CA771" s="273"/>
      <c r="CB771" s="273"/>
      <c r="CC771" s="273"/>
      <c r="CD771" s="273"/>
      <c r="CE771" s="273"/>
    </row>
    <row r="772" spans="1:83" ht="12.6" customHeight="1" x14ac:dyDescent="0.25">
      <c r="A772" s="207" t="str">
        <f>RIGHT($C$83,3)&amp;"*"&amp;RIGHT($C$82,4)&amp;"*"&amp;AO$55&amp;"*"&amp;"A"</f>
        <v>209*2018*7350*A</v>
      </c>
      <c r="B772" s="272">
        <f>ROUND(AO59,0)</f>
        <v>0</v>
      </c>
      <c r="C772" s="274">
        <f>ROUND(AO60,2)</f>
        <v>0</v>
      </c>
      <c r="D772" s="272">
        <f>ROUND(AO61,0)</f>
        <v>0</v>
      </c>
      <c r="E772" s="272">
        <f>ROUND(AO62,0)</f>
        <v>0</v>
      </c>
      <c r="F772" s="272">
        <f>ROUND(AO63,0)</f>
        <v>0</v>
      </c>
      <c r="G772" s="272">
        <f>ROUND(AO64,0)</f>
        <v>0</v>
      </c>
      <c r="H772" s="272">
        <f>ROUND(AO65,0)</f>
        <v>0</v>
      </c>
      <c r="I772" s="272">
        <f>ROUND(AO66,0)</f>
        <v>0</v>
      </c>
      <c r="J772" s="272">
        <f>ROUND(AO67,0)</f>
        <v>0</v>
      </c>
      <c r="K772" s="272">
        <f>ROUND(AO68,0)</f>
        <v>0</v>
      </c>
      <c r="L772" s="272">
        <f>ROUND(AO69,0)</f>
        <v>0</v>
      </c>
      <c r="M772" s="272">
        <f>ROUND(AO70,0)</f>
        <v>0</v>
      </c>
      <c r="N772" s="272">
        <f>ROUND(AO75,0)</f>
        <v>0</v>
      </c>
      <c r="O772" s="272">
        <f>ROUND(AO73,0)</f>
        <v>0</v>
      </c>
      <c r="P772" s="272">
        <f>IF(AO76&gt;0,ROUND(AO76,0),0)</f>
        <v>0</v>
      </c>
      <c r="Q772" s="272">
        <f>IF(AO77&gt;0,ROUND(AO77,0),0)</f>
        <v>0</v>
      </c>
      <c r="R772" s="272">
        <f>IF(AO78&gt;0,ROUND(AO78,0),0)</f>
        <v>0</v>
      </c>
      <c r="S772" s="272">
        <f>IF(AO79&gt;0,ROUND(AO79,0),0)</f>
        <v>0</v>
      </c>
      <c r="T772" s="274">
        <f>IF(AO80&gt;0,ROUND(AO80,2),0)</f>
        <v>0</v>
      </c>
      <c r="U772" s="272"/>
      <c r="V772" s="273"/>
      <c r="W772" s="272"/>
      <c r="X772" s="272"/>
      <c r="Y772" s="272">
        <f t="shared" si="21"/>
        <v>0</v>
      </c>
      <c r="Z772" s="273"/>
      <c r="AA772" s="273"/>
      <c r="AB772" s="273"/>
      <c r="AC772" s="273"/>
      <c r="AD772" s="273"/>
      <c r="AE772" s="273"/>
      <c r="AF772" s="273"/>
      <c r="AG772" s="273"/>
      <c r="AH772" s="273"/>
      <c r="AI772" s="273"/>
      <c r="AJ772" s="273"/>
      <c r="AK772" s="273"/>
      <c r="AL772" s="273"/>
      <c r="AM772" s="273"/>
      <c r="AN772" s="273"/>
      <c r="AO772" s="273"/>
      <c r="AP772" s="273"/>
      <c r="AQ772" s="273"/>
      <c r="AR772" s="273"/>
      <c r="AS772" s="273"/>
      <c r="AT772" s="273"/>
      <c r="AU772" s="273"/>
      <c r="AV772" s="273"/>
      <c r="AW772" s="273"/>
      <c r="AX772" s="273"/>
      <c r="AY772" s="273"/>
      <c r="AZ772" s="273"/>
      <c r="BA772" s="273"/>
      <c r="BB772" s="273"/>
      <c r="BC772" s="273"/>
      <c r="BD772" s="273"/>
      <c r="BE772" s="273"/>
      <c r="BF772" s="273"/>
      <c r="BG772" s="273"/>
      <c r="BH772" s="273"/>
      <c r="BI772" s="273"/>
      <c r="BJ772" s="273"/>
      <c r="BK772" s="273"/>
      <c r="BL772" s="273"/>
      <c r="BM772" s="273"/>
      <c r="BN772" s="273"/>
      <c r="BO772" s="273"/>
      <c r="BP772" s="273"/>
      <c r="BQ772" s="273"/>
      <c r="BR772" s="273"/>
      <c r="BS772" s="273"/>
      <c r="BT772" s="273"/>
      <c r="BU772" s="273"/>
      <c r="BV772" s="273"/>
      <c r="BW772" s="273"/>
      <c r="BX772" s="273"/>
      <c r="BY772" s="273"/>
      <c r="BZ772" s="273"/>
      <c r="CA772" s="273"/>
      <c r="CB772" s="273"/>
      <c r="CC772" s="273"/>
      <c r="CD772" s="273"/>
      <c r="CE772" s="273"/>
    </row>
    <row r="773" spans="1:83" ht="12.6" customHeight="1" x14ac:dyDescent="0.25">
      <c r="A773" s="207" t="str">
        <f>RIGHT($C$83,3)&amp;"*"&amp;RIGHT($C$82,4)&amp;"*"&amp;AP$55&amp;"*"&amp;"A"</f>
        <v>209*2018*7380*A</v>
      </c>
      <c r="B773" s="272">
        <f>ROUND(AP59,0)</f>
        <v>0</v>
      </c>
      <c r="C773" s="274">
        <f>ROUND(AP60,2)</f>
        <v>0</v>
      </c>
      <c r="D773" s="272">
        <f>ROUND(AP61,0)</f>
        <v>0</v>
      </c>
      <c r="E773" s="272">
        <f>ROUND(AP62,0)</f>
        <v>0</v>
      </c>
      <c r="F773" s="272">
        <f>ROUND(AP63,0)</f>
        <v>0</v>
      </c>
      <c r="G773" s="272">
        <f>ROUND(AP64,0)</f>
        <v>0</v>
      </c>
      <c r="H773" s="272">
        <f>ROUND(AP65,0)</f>
        <v>0</v>
      </c>
      <c r="I773" s="272">
        <f>ROUND(AP66,0)</f>
        <v>0</v>
      </c>
      <c r="J773" s="272">
        <f>ROUND(AP67,0)</f>
        <v>0</v>
      </c>
      <c r="K773" s="272">
        <f>ROUND(AP68,0)</f>
        <v>0</v>
      </c>
      <c r="L773" s="272">
        <f>ROUND(AP69,0)</f>
        <v>0</v>
      </c>
      <c r="M773" s="272">
        <f>ROUND(AP70,0)</f>
        <v>0</v>
      </c>
      <c r="N773" s="272">
        <f>ROUND(AP75,0)</f>
        <v>0</v>
      </c>
      <c r="O773" s="272">
        <f>ROUND(AP73,0)</f>
        <v>0</v>
      </c>
      <c r="P773" s="272">
        <f>IF(AP76&gt;0,ROUND(AP76,0),0)</f>
        <v>0</v>
      </c>
      <c r="Q773" s="272">
        <f>IF(AP77&gt;0,ROUND(AP77,0),0)</f>
        <v>0</v>
      </c>
      <c r="R773" s="272">
        <f>IF(AP78&gt;0,ROUND(AP78,0),0)</f>
        <v>0</v>
      </c>
      <c r="S773" s="272">
        <f>IF(AP79&gt;0,ROUND(AP79,0),0)</f>
        <v>0</v>
      </c>
      <c r="T773" s="274">
        <f>IF(AP80&gt;0,ROUND(AP80,2),0)</f>
        <v>0</v>
      </c>
      <c r="U773" s="272"/>
      <c r="V773" s="273"/>
      <c r="W773" s="272"/>
      <c r="X773" s="272"/>
      <c r="Y773" s="272">
        <f t="shared" si="21"/>
        <v>0</v>
      </c>
      <c r="Z773" s="273"/>
      <c r="AA773" s="273"/>
      <c r="AB773" s="273"/>
      <c r="AC773" s="273"/>
      <c r="AD773" s="273"/>
      <c r="AE773" s="273"/>
      <c r="AF773" s="273"/>
      <c r="AG773" s="273"/>
      <c r="AH773" s="273"/>
      <c r="AI773" s="273"/>
      <c r="AJ773" s="273"/>
      <c r="AK773" s="273"/>
      <c r="AL773" s="273"/>
      <c r="AM773" s="273"/>
      <c r="AN773" s="273"/>
      <c r="AO773" s="273"/>
      <c r="AP773" s="273"/>
      <c r="AQ773" s="273"/>
      <c r="AR773" s="273"/>
      <c r="AS773" s="273"/>
      <c r="AT773" s="273"/>
      <c r="AU773" s="273"/>
      <c r="AV773" s="273"/>
      <c r="AW773" s="273"/>
      <c r="AX773" s="273"/>
      <c r="AY773" s="273"/>
      <c r="AZ773" s="273"/>
      <c r="BA773" s="273"/>
      <c r="BB773" s="273"/>
      <c r="BC773" s="273"/>
      <c r="BD773" s="273"/>
      <c r="BE773" s="273"/>
      <c r="BF773" s="273"/>
      <c r="BG773" s="273"/>
      <c r="BH773" s="273"/>
      <c r="BI773" s="273"/>
      <c r="BJ773" s="273"/>
      <c r="BK773" s="273"/>
      <c r="BL773" s="273"/>
      <c r="BM773" s="273"/>
      <c r="BN773" s="273"/>
      <c r="BO773" s="273"/>
      <c r="BP773" s="273"/>
      <c r="BQ773" s="273"/>
      <c r="BR773" s="273"/>
      <c r="BS773" s="273"/>
      <c r="BT773" s="273"/>
      <c r="BU773" s="273"/>
      <c r="BV773" s="273"/>
      <c r="BW773" s="273"/>
      <c r="BX773" s="273"/>
      <c r="BY773" s="273"/>
      <c r="BZ773" s="273"/>
      <c r="CA773" s="273"/>
      <c r="CB773" s="273"/>
      <c r="CC773" s="273"/>
      <c r="CD773" s="273"/>
      <c r="CE773" s="273"/>
    </row>
    <row r="774" spans="1:83" ht="12.6" customHeight="1" x14ac:dyDescent="0.25">
      <c r="A774" s="207" t="str">
        <f>RIGHT($C$83,3)&amp;"*"&amp;RIGHT($C$82,4)&amp;"*"&amp;AQ$55&amp;"*"&amp;"A"</f>
        <v>209*2018*7390*A</v>
      </c>
      <c r="B774" s="272">
        <f>ROUND(AQ59,0)</f>
        <v>0</v>
      </c>
      <c r="C774" s="274">
        <f>ROUND(AQ60,2)</f>
        <v>0</v>
      </c>
      <c r="D774" s="272">
        <f>ROUND(AQ61,0)</f>
        <v>0</v>
      </c>
      <c r="E774" s="272">
        <f>ROUND(AQ62,0)</f>
        <v>0</v>
      </c>
      <c r="F774" s="272">
        <f>ROUND(AQ63,0)</f>
        <v>0</v>
      </c>
      <c r="G774" s="272">
        <f>ROUND(AQ64,0)</f>
        <v>0</v>
      </c>
      <c r="H774" s="272">
        <f>ROUND(AQ65,0)</f>
        <v>0</v>
      </c>
      <c r="I774" s="272">
        <f>ROUND(AQ66,0)</f>
        <v>0</v>
      </c>
      <c r="J774" s="272">
        <f>ROUND(AQ67,0)</f>
        <v>0</v>
      </c>
      <c r="K774" s="272">
        <f>ROUND(AQ68,0)</f>
        <v>0</v>
      </c>
      <c r="L774" s="272">
        <f>ROUND(AQ69,0)</f>
        <v>0</v>
      </c>
      <c r="M774" s="272">
        <f>ROUND(AQ70,0)</f>
        <v>0</v>
      </c>
      <c r="N774" s="272">
        <f>ROUND(AQ75,0)</f>
        <v>0</v>
      </c>
      <c r="O774" s="272">
        <f>ROUND(AQ73,0)</f>
        <v>0</v>
      </c>
      <c r="P774" s="272">
        <f>IF(AQ76&gt;0,ROUND(AQ76,0),0)</f>
        <v>0</v>
      </c>
      <c r="Q774" s="272">
        <f>IF(AQ77&gt;0,ROUND(AQ77,0),0)</f>
        <v>0</v>
      </c>
      <c r="R774" s="272">
        <f>IF(AQ78&gt;0,ROUND(AQ78,0),0)</f>
        <v>0</v>
      </c>
      <c r="S774" s="272">
        <f>IF(AQ79&gt;0,ROUND(AQ79,0),0)</f>
        <v>0</v>
      </c>
      <c r="T774" s="274">
        <f>IF(AQ80&gt;0,ROUND(AQ80,2),0)</f>
        <v>0</v>
      </c>
      <c r="U774" s="272"/>
      <c r="V774" s="273"/>
      <c r="W774" s="272"/>
      <c r="X774" s="272"/>
      <c r="Y774" s="272">
        <f t="shared" si="21"/>
        <v>0</v>
      </c>
      <c r="Z774" s="273"/>
      <c r="AA774" s="273"/>
      <c r="AB774" s="273"/>
      <c r="AC774" s="273"/>
      <c r="AD774" s="273"/>
      <c r="AE774" s="273"/>
      <c r="AF774" s="273"/>
      <c r="AG774" s="273"/>
      <c r="AH774" s="273"/>
      <c r="AI774" s="273"/>
      <c r="AJ774" s="273"/>
      <c r="AK774" s="273"/>
      <c r="AL774" s="273"/>
      <c r="AM774" s="273"/>
      <c r="AN774" s="273"/>
      <c r="AO774" s="273"/>
      <c r="AP774" s="273"/>
      <c r="AQ774" s="273"/>
      <c r="AR774" s="273"/>
      <c r="AS774" s="273"/>
      <c r="AT774" s="273"/>
      <c r="AU774" s="273"/>
      <c r="AV774" s="273"/>
      <c r="AW774" s="273"/>
      <c r="AX774" s="273"/>
      <c r="AY774" s="273"/>
      <c r="AZ774" s="273"/>
      <c r="BA774" s="273"/>
      <c r="BB774" s="273"/>
      <c r="BC774" s="273"/>
      <c r="BD774" s="273"/>
      <c r="BE774" s="273"/>
      <c r="BF774" s="273"/>
      <c r="BG774" s="273"/>
      <c r="BH774" s="273"/>
      <c r="BI774" s="273"/>
      <c r="BJ774" s="273"/>
      <c r="BK774" s="273"/>
      <c r="BL774" s="273"/>
      <c r="BM774" s="273"/>
      <c r="BN774" s="273"/>
      <c r="BO774" s="273"/>
      <c r="BP774" s="273"/>
      <c r="BQ774" s="273"/>
      <c r="BR774" s="273"/>
      <c r="BS774" s="273"/>
      <c r="BT774" s="273"/>
      <c r="BU774" s="273"/>
      <c r="BV774" s="273"/>
      <c r="BW774" s="273"/>
      <c r="BX774" s="273"/>
      <c r="BY774" s="273"/>
      <c r="BZ774" s="273"/>
      <c r="CA774" s="273"/>
      <c r="CB774" s="273"/>
      <c r="CC774" s="273"/>
      <c r="CD774" s="273"/>
      <c r="CE774" s="273"/>
    </row>
    <row r="775" spans="1:83" ht="12.6" customHeight="1" x14ac:dyDescent="0.25">
      <c r="A775" s="207" t="str">
        <f>RIGHT($C$83,3)&amp;"*"&amp;RIGHT($C$82,4)&amp;"*"&amp;AR$55&amp;"*"&amp;"A"</f>
        <v>209*2018*7400*A</v>
      </c>
      <c r="B775" s="272">
        <f>ROUND(AR59,0)</f>
        <v>0</v>
      </c>
      <c r="C775" s="274">
        <f>ROUND(AR60,2)</f>
        <v>0</v>
      </c>
      <c r="D775" s="272">
        <f>ROUND(AR61,0)</f>
        <v>0</v>
      </c>
      <c r="E775" s="272">
        <f>ROUND(AR62,0)</f>
        <v>0</v>
      </c>
      <c r="F775" s="272">
        <f>ROUND(AR63,0)</f>
        <v>0</v>
      </c>
      <c r="G775" s="272">
        <f>ROUND(AR64,0)</f>
        <v>0</v>
      </c>
      <c r="H775" s="272">
        <f>ROUND(AR65,0)</f>
        <v>0</v>
      </c>
      <c r="I775" s="272">
        <f>ROUND(AR66,0)</f>
        <v>0</v>
      </c>
      <c r="J775" s="272">
        <f>ROUND(AR67,0)</f>
        <v>0</v>
      </c>
      <c r="K775" s="272">
        <f>ROUND(AR68,0)</f>
        <v>0</v>
      </c>
      <c r="L775" s="272">
        <f>ROUND(AR69,0)</f>
        <v>0</v>
      </c>
      <c r="M775" s="272">
        <f>ROUND(AR70,0)</f>
        <v>0</v>
      </c>
      <c r="N775" s="272">
        <f>ROUND(AR75,0)</f>
        <v>0</v>
      </c>
      <c r="O775" s="272">
        <f>ROUND(AR73,0)</f>
        <v>0</v>
      </c>
      <c r="P775" s="272">
        <f>IF(AR76&gt;0,ROUND(AR76,0),0)</f>
        <v>0</v>
      </c>
      <c r="Q775" s="272">
        <f>IF(AR77&gt;0,ROUND(AR77,0),0)</f>
        <v>0</v>
      </c>
      <c r="R775" s="272">
        <f>IF(AR78&gt;0,ROUND(AR78,0),0)</f>
        <v>0</v>
      </c>
      <c r="S775" s="272">
        <f>IF(AR79&gt;0,ROUND(AR79,0),0)</f>
        <v>0</v>
      </c>
      <c r="T775" s="274">
        <f>IF(AR80&gt;0,ROUND(AR80,2),0)</f>
        <v>0</v>
      </c>
      <c r="U775" s="272"/>
      <c r="V775" s="273"/>
      <c r="W775" s="272"/>
      <c r="X775" s="272"/>
      <c r="Y775" s="272">
        <f t="shared" si="21"/>
        <v>0</v>
      </c>
      <c r="Z775" s="273"/>
      <c r="AA775" s="273"/>
      <c r="AB775" s="273"/>
      <c r="AC775" s="273"/>
      <c r="AD775" s="273"/>
      <c r="AE775" s="273"/>
      <c r="AF775" s="273"/>
      <c r="AG775" s="273"/>
      <c r="AH775" s="273"/>
      <c r="AI775" s="273"/>
      <c r="AJ775" s="273"/>
      <c r="AK775" s="273"/>
      <c r="AL775" s="273"/>
      <c r="AM775" s="273"/>
      <c r="AN775" s="273"/>
      <c r="AO775" s="273"/>
      <c r="AP775" s="273"/>
      <c r="AQ775" s="273"/>
      <c r="AR775" s="273"/>
      <c r="AS775" s="273"/>
      <c r="AT775" s="273"/>
      <c r="AU775" s="273"/>
      <c r="AV775" s="273"/>
      <c r="AW775" s="273"/>
      <c r="AX775" s="273"/>
      <c r="AY775" s="273"/>
      <c r="AZ775" s="273"/>
      <c r="BA775" s="273"/>
      <c r="BB775" s="273"/>
      <c r="BC775" s="273"/>
      <c r="BD775" s="273"/>
      <c r="BE775" s="273"/>
      <c r="BF775" s="273"/>
      <c r="BG775" s="273"/>
      <c r="BH775" s="273"/>
      <c r="BI775" s="273"/>
      <c r="BJ775" s="273"/>
      <c r="BK775" s="273"/>
      <c r="BL775" s="273"/>
      <c r="BM775" s="273"/>
      <c r="BN775" s="273"/>
      <c r="BO775" s="273"/>
      <c r="BP775" s="273"/>
      <c r="BQ775" s="273"/>
      <c r="BR775" s="273"/>
      <c r="BS775" s="273"/>
      <c r="BT775" s="273"/>
      <c r="BU775" s="273"/>
      <c r="BV775" s="273"/>
      <c r="BW775" s="273"/>
      <c r="BX775" s="273"/>
      <c r="BY775" s="273"/>
      <c r="BZ775" s="273"/>
      <c r="CA775" s="273"/>
      <c r="CB775" s="273"/>
      <c r="CC775" s="273"/>
      <c r="CD775" s="273"/>
      <c r="CE775" s="273"/>
    </row>
    <row r="776" spans="1:83" ht="12.6" customHeight="1" x14ac:dyDescent="0.25">
      <c r="A776" s="207" t="str">
        <f>RIGHT($C$83,3)&amp;"*"&amp;RIGHT($C$82,4)&amp;"*"&amp;AS$55&amp;"*"&amp;"A"</f>
        <v>209*2018*7410*A</v>
      </c>
      <c r="B776" s="272">
        <f>ROUND(AS59,0)</f>
        <v>0</v>
      </c>
      <c r="C776" s="274">
        <f>ROUND(AS60,2)</f>
        <v>0</v>
      </c>
      <c r="D776" s="272">
        <f>ROUND(AS61,0)</f>
        <v>0</v>
      </c>
      <c r="E776" s="272">
        <f>ROUND(AS62,0)</f>
        <v>0</v>
      </c>
      <c r="F776" s="272">
        <f>ROUND(AS63,0)</f>
        <v>0</v>
      </c>
      <c r="G776" s="272">
        <f>ROUND(AS64,0)</f>
        <v>0</v>
      </c>
      <c r="H776" s="272">
        <f>ROUND(AS65,0)</f>
        <v>0</v>
      </c>
      <c r="I776" s="272">
        <f>ROUND(AS66,0)</f>
        <v>0</v>
      </c>
      <c r="J776" s="272">
        <f>ROUND(AS67,0)</f>
        <v>0</v>
      </c>
      <c r="K776" s="272">
        <f>ROUND(AS68,0)</f>
        <v>0</v>
      </c>
      <c r="L776" s="272">
        <f>ROUND(AS69,0)</f>
        <v>0</v>
      </c>
      <c r="M776" s="272">
        <f>ROUND(AS70,0)</f>
        <v>0</v>
      </c>
      <c r="N776" s="272">
        <f>ROUND(AS75,0)</f>
        <v>0</v>
      </c>
      <c r="O776" s="272">
        <f>ROUND(AS73,0)</f>
        <v>0</v>
      </c>
      <c r="P776" s="272">
        <f>IF(AS76&gt;0,ROUND(AS76,0),0)</f>
        <v>0</v>
      </c>
      <c r="Q776" s="272">
        <f>IF(AS77&gt;0,ROUND(AS77,0),0)</f>
        <v>0</v>
      </c>
      <c r="R776" s="272">
        <f>IF(AS78&gt;0,ROUND(AS78,0),0)</f>
        <v>0</v>
      </c>
      <c r="S776" s="272">
        <f>IF(AS79&gt;0,ROUND(AS79,0),0)</f>
        <v>0</v>
      </c>
      <c r="T776" s="274">
        <f>IF(AS80&gt;0,ROUND(AS80,2),0)</f>
        <v>0</v>
      </c>
      <c r="U776" s="272"/>
      <c r="V776" s="273"/>
      <c r="W776" s="272"/>
      <c r="X776" s="272"/>
      <c r="Y776" s="272">
        <f t="shared" si="21"/>
        <v>0</v>
      </c>
      <c r="Z776" s="273"/>
      <c r="AA776" s="273"/>
      <c r="AB776" s="273"/>
      <c r="AC776" s="273"/>
      <c r="AD776" s="273"/>
      <c r="AE776" s="273"/>
      <c r="AF776" s="273"/>
      <c r="AG776" s="273"/>
      <c r="AH776" s="273"/>
      <c r="AI776" s="273"/>
      <c r="AJ776" s="273"/>
      <c r="AK776" s="273"/>
      <c r="AL776" s="273"/>
      <c r="AM776" s="273"/>
      <c r="AN776" s="273"/>
      <c r="AO776" s="273"/>
      <c r="AP776" s="273"/>
      <c r="AQ776" s="273"/>
      <c r="AR776" s="273"/>
      <c r="AS776" s="273"/>
      <c r="AT776" s="273"/>
      <c r="AU776" s="273"/>
      <c r="AV776" s="273"/>
      <c r="AW776" s="273"/>
      <c r="AX776" s="273"/>
      <c r="AY776" s="273"/>
      <c r="AZ776" s="273"/>
      <c r="BA776" s="273"/>
      <c r="BB776" s="273"/>
      <c r="BC776" s="273"/>
      <c r="BD776" s="273"/>
      <c r="BE776" s="273"/>
      <c r="BF776" s="273"/>
      <c r="BG776" s="273"/>
      <c r="BH776" s="273"/>
      <c r="BI776" s="273"/>
      <c r="BJ776" s="273"/>
      <c r="BK776" s="273"/>
      <c r="BL776" s="273"/>
      <c r="BM776" s="273"/>
      <c r="BN776" s="273"/>
      <c r="BO776" s="273"/>
      <c r="BP776" s="273"/>
      <c r="BQ776" s="273"/>
      <c r="BR776" s="273"/>
      <c r="BS776" s="273"/>
      <c r="BT776" s="273"/>
      <c r="BU776" s="273"/>
      <c r="BV776" s="273"/>
      <c r="BW776" s="273"/>
      <c r="BX776" s="273"/>
      <c r="BY776" s="273"/>
      <c r="BZ776" s="273"/>
      <c r="CA776" s="273"/>
      <c r="CB776" s="273"/>
      <c r="CC776" s="273"/>
      <c r="CD776" s="273"/>
      <c r="CE776" s="273"/>
    </row>
    <row r="777" spans="1:83" ht="12.6" customHeight="1" x14ac:dyDescent="0.25">
      <c r="A777" s="207" t="str">
        <f>RIGHT($C$83,3)&amp;"*"&amp;RIGHT($C$82,4)&amp;"*"&amp;AT$55&amp;"*"&amp;"A"</f>
        <v>209*2018*7420*A</v>
      </c>
      <c r="B777" s="272">
        <f>ROUND(AT59,0)</f>
        <v>0</v>
      </c>
      <c r="C777" s="274">
        <f>ROUND(AT60,2)</f>
        <v>0</v>
      </c>
      <c r="D777" s="272">
        <f>ROUND(AT61,0)</f>
        <v>0</v>
      </c>
      <c r="E777" s="272">
        <f>ROUND(AT62,0)</f>
        <v>0</v>
      </c>
      <c r="F777" s="272">
        <f>ROUND(AT63,0)</f>
        <v>0</v>
      </c>
      <c r="G777" s="272">
        <f>ROUND(AT64,0)</f>
        <v>0</v>
      </c>
      <c r="H777" s="272">
        <f>ROUND(AT65,0)</f>
        <v>0</v>
      </c>
      <c r="I777" s="272">
        <f>ROUND(AT66,0)</f>
        <v>0</v>
      </c>
      <c r="J777" s="272">
        <f>ROUND(AT67,0)</f>
        <v>0</v>
      </c>
      <c r="K777" s="272">
        <f>ROUND(AT68,0)</f>
        <v>0</v>
      </c>
      <c r="L777" s="272">
        <f>ROUND(AT69,0)</f>
        <v>0</v>
      </c>
      <c r="M777" s="272">
        <f>ROUND(AT70,0)</f>
        <v>0</v>
      </c>
      <c r="N777" s="272">
        <f>ROUND(AT75,0)</f>
        <v>0</v>
      </c>
      <c r="O777" s="272">
        <f>ROUND(AT73,0)</f>
        <v>0</v>
      </c>
      <c r="P777" s="272">
        <f>IF(AT76&gt;0,ROUND(AT76,0),0)</f>
        <v>0</v>
      </c>
      <c r="Q777" s="272">
        <f>IF(AT77&gt;0,ROUND(AT77,0),0)</f>
        <v>0</v>
      </c>
      <c r="R777" s="272">
        <f>IF(AT78&gt;0,ROUND(AT78,0),0)</f>
        <v>0</v>
      </c>
      <c r="S777" s="272">
        <f>IF(AT79&gt;0,ROUND(AT79,0),0)</f>
        <v>0</v>
      </c>
      <c r="T777" s="274">
        <f>IF(AT80&gt;0,ROUND(AT80,2),0)</f>
        <v>0</v>
      </c>
      <c r="U777" s="272"/>
      <c r="V777" s="273"/>
      <c r="W777" s="272"/>
      <c r="X777" s="272"/>
      <c r="Y777" s="272">
        <f t="shared" si="21"/>
        <v>0</v>
      </c>
      <c r="Z777" s="273"/>
      <c r="AA777" s="273"/>
      <c r="AB777" s="273"/>
      <c r="AC777" s="273"/>
      <c r="AD777" s="273"/>
      <c r="AE777" s="273"/>
      <c r="AF777" s="273"/>
      <c r="AG777" s="273"/>
      <c r="AH777" s="273"/>
      <c r="AI777" s="273"/>
      <c r="AJ777" s="273"/>
      <c r="AK777" s="273"/>
      <c r="AL777" s="273"/>
      <c r="AM777" s="273"/>
      <c r="AN777" s="273"/>
      <c r="AO777" s="273"/>
      <c r="AP777" s="273"/>
      <c r="AQ777" s="273"/>
      <c r="AR777" s="273"/>
      <c r="AS777" s="273"/>
      <c r="AT777" s="273"/>
      <c r="AU777" s="273"/>
      <c r="AV777" s="273"/>
      <c r="AW777" s="273"/>
      <c r="AX777" s="273"/>
      <c r="AY777" s="273"/>
      <c r="AZ777" s="273"/>
      <c r="BA777" s="273"/>
      <c r="BB777" s="273"/>
      <c r="BC777" s="273"/>
      <c r="BD777" s="273"/>
      <c r="BE777" s="273"/>
      <c r="BF777" s="273"/>
      <c r="BG777" s="273"/>
      <c r="BH777" s="273"/>
      <c r="BI777" s="273"/>
      <c r="BJ777" s="273"/>
      <c r="BK777" s="273"/>
      <c r="BL777" s="273"/>
      <c r="BM777" s="273"/>
      <c r="BN777" s="273"/>
      <c r="BO777" s="273"/>
      <c r="BP777" s="273"/>
      <c r="BQ777" s="273"/>
      <c r="BR777" s="273"/>
      <c r="BS777" s="273"/>
      <c r="BT777" s="273"/>
      <c r="BU777" s="273"/>
      <c r="BV777" s="273"/>
      <c r="BW777" s="273"/>
      <c r="BX777" s="273"/>
      <c r="BY777" s="273"/>
      <c r="BZ777" s="273"/>
      <c r="CA777" s="273"/>
      <c r="CB777" s="273"/>
      <c r="CC777" s="273"/>
      <c r="CD777" s="273"/>
      <c r="CE777" s="273"/>
    </row>
    <row r="778" spans="1:83" ht="12.6" customHeight="1" x14ac:dyDescent="0.25">
      <c r="A778" s="207" t="str">
        <f>RIGHT($C$83,3)&amp;"*"&amp;RIGHT($C$82,4)&amp;"*"&amp;AU$55&amp;"*"&amp;"A"</f>
        <v>209*2018*7430*A</v>
      </c>
      <c r="B778" s="272">
        <f>ROUND(AU59,0)</f>
        <v>0</v>
      </c>
      <c r="C778" s="274">
        <f>ROUND(AU60,2)</f>
        <v>0</v>
      </c>
      <c r="D778" s="272">
        <f>ROUND(AU61,0)</f>
        <v>0</v>
      </c>
      <c r="E778" s="272">
        <f>ROUND(AU62,0)</f>
        <v>0</v>
      </c>
      <c r="F778" s="272">
        <f>ROUND(AU63,0)</f>
        <v>0</v>
      </c>
      <c r="G778" s="272">
        <f>ROUND(AU64,0)</f>
        <v>0</v>
      </c>
      <c r="H778" s="272">
        <f>ROUND(AU65,0)</f>
        <v>0</v>
      </c>
      <c r="I778" s="272">
        <f>ROUND(AU66,0)</f>
        <v>0</v>
      </c>
      <c r="J778" s="272">
        <f>ROUND(AU67,0)</f>
        <v>0</v>
      </c>
      <c r="K778" s="272">
        <f>ROUND(AU68,0)</f>
        <v>0</v>
      </c>
      <c r="L778" s="272">
        <f>ROUND(AU69,0)</f>
        <v>0</v>
      </c>
      <c r="M778" s="272">
        <f>ROUND(AU70,0)</f>
        <v>0</v>
      </c>
      <c r="N778" s="272">
        <f>ROUND(AU75,0)</f>
        <v>0</v>
      </c>
      <c r="O778" s="272">
        <f>ROUND(AU73,0)</f>
        <v>0</v>
      </c>
      <c r="P778" s="272">
        <f>IF(AU76&gt;0,ROUND(AU76,0),0)</f>
        <v>0</v>
      </c>
      <c r="Q778" s="272">
        <f>IF(AU77&gt;0,ROUND(AU77,0),0)</f>
        <v>0</v>
      </c>
      <c r="R778" s="272">
        <f>IF(AU78&gt;0,ROUND(AU78,0),0)</f>
        <v>0</v>
      </c>
      <c r="S778" s="272">
        <f>IF(AU79&gt;0,ROUND(AU79,0),0)</f>
        <v>0</v>
      </c>
      <c r="T778" s="274">
        <f>IF(AU80&gt;0,ROUND(AU80,2),0)</f>
        <v>0</v>
      </c>
      <c r="U778" s="272"/>
      <c r="V778" s="273"/>
      <c r="W778" s="272"/>
      <c r="X778" s="272"/>
      <c r="Y778" s="272">
        <f t="shared" si="21"/>
        <v>0</v>
      </c>
      <c r="Z778" s="273"/>
      <c r="AA778" s="273"/>
      <c r="AB778" s="273"/>
      <c r="AC778" s="273"/>
      <c r="AD778" s="273"/>
      <c r="AE778" s="273"/>
      <c r="AF778" s="273"/>
      <c r="AG778" s="273"/>
      <c r="AH778" s="273"/>
      <c r="AI778" s="273"/>
      <c r="AJ778" s="273"/>
      <c r="AK778" s="273"/>
      <c r="AL778" s="273"/>
      <c r="AM778" s="273"/>
      <c r="AN778" s="273"/>
      <c r="AO778" s="273"/>
      <c r="AP778" s="273"/>
      <c r="AQ778" s="273"/>
      <c r="AR778" s="273"/>
      <c r="AS778" s="273"/>
      <c r="AT778" s="273"/>
      <c r="AU778" s="273"/>
      <c r="AV778" s="273"/>
      <c r="AW778" s="273"/>
      <c r="AX778" s="273"/>
      <c r="AY778" s="273"/>
      <c r="AZ778" s="273"/>
      <c r="BA778" s="273"/>
      <c r="BB778" s="273"/>
      <c r="BC778" s="273"/>
      <c r="BD778" s="273"/>
      <c r="BE778" s="273"/>
      <c r="BF778" s="273"/>
      <c r="BG778" s="273"/>
      <c r="BH778" s="273"/>
      <c r="BI778" s="273"/>
      <c r="BJ778" s="273"/>
      <c r="BK778" s="273"/>
      <c r="BL778" s="273"/>
      <c r="BM778" s="273"/>
      <c r="BN778" s="273"/>
      <c r="BO778" s="273"/>
      <c r="BP778" s="273"/>
      <c r="BQ778" s="273"/>
      <c r="BR778" s="273"/>
      <c r="BS778" s="273"/>
      <c r="BT778" s="273"/>
      <c r="BU778" s="273"/>
      <c r="BV778" s="273"/>
      <c r="BW778" s="273"/>
      <c r="BX778" s="273"/>
      <c r="BY778" s="273"/>
      <c r="BZ778" s="273"/>
      <c r="CA778" s="273"/>
      <c r="CB778" s="273"/>
      <c r="CC778" s="273"/>
      <c r="CD778" s="273"/>
      <c r="CE778" s="273"/>
    </row>
    <row r="779" spans="1:83" ht="12.6" customHeight="1" x14ac:dyDescent="0.25">
      <c r="A779" s="207" t="str">
        <f>RIGHT($C$83,3)&amp;"*"&amp;RIGHT($C$82,4)&amp;"*"&amp;AV$55&amp;"*"&amp;"A"</f>
        <v>209*2018*7490*A</v>
      </c>
      <c r="B779" s="272"/>
      <c r="C779" s="274">
        <f>ROUND(AV60,2)</f>
        <v>2.34</v>
      </c>
      <c r="D779" s="272">
        <f>ROUND(AV61,0)</f>
        <v>192275</v>
      </c>
      <c r="E779" s="272">
        <f>ROUND(AV62,0)</f>
        <v>47651</v>
      </c>
      <c r="F779" s="272">
        <f>ROUND(AV63,0)</f>
        <v>2379629</v>
      </c>
      <c r="G779" s="272">
        <f>ROUND(AV64,0)</f>
        <v>26541</v>
      </c>
      <c r="H779" s="272">
        <f>ROUND(AV65,0)</f>
        <v>1368</v>
      </c>
      <c r="I779" s="272">
        <f>ROUND(AV66,0)</f>
        <v>766444</v>
      </c>
      <c r="J779" s="272">
        <f>ROUND(AV67,0)</f>
        <v>17962</v>
      </c>
      <c r="K779" s="272">
        <f>ROUND(AV68,0)</f>
        <v>152806</v>
      </c>
      <c r="L779" s="272">
        <f>ROUND(AV69,0)</f>
        <v>7386</v>
      </c>
      <c r="M779" s="272">
        <f>ROUND(AV70,0)</f>
        <v>0</v>
      </c>
      <c r="N779" s="272">
        <f>ROUND(AV75,0)</f>
        <v>3010710</v>
      </c>
      <c r="O779" s="272">
        <f>ROUND(AV73,0)</f>
        <v>682137</v>
      </c>
      <c r="P779" s="272">
        <f>IF(AV76&gt;0,ROUND(AV76,0),0)</f>
        <v>0</v>
      </c>
      <c r="Q779" s="272">
        <f>IF(AV77&gt;0,ROUND(AV77,0),0)</f>
        <v>0</v>
      </c>
      <c r="R779" s="272">
        <f>IF(AV78&gt;0,ROUND(AV78,0),0)</f>
        <v>0</v>
      </c>
      <c r="S779" s="272">
        <f>IF(AV79&gt;0,ROUND(AV79,0),0)</f>
        <v>54</v>
      </c>
      <c r="T779" s="274">
        <f>IF(AV80&gt;0,ROUND(AV80,2),0)</f>
        <v>0.15</v>
      </c>
      <c r="U779" s="272"/>
      <c r="V779" s="273"/>
      <c r="W779" s="272"/>
      <c r="X779" s="272"/>
      <c r="Y779" s="272">
        <f t="shared" si="21"/>
        <v>743355</v>
      </c>
      <c r="Z779" s="273"/>
      <c r="AA779" s="273"/>
      <c r="AB779" s="273"/>
      <c r="AC779" s="273"/>
      <c r="AD779" s="273"/>
      <c r="AE779" s="273"/>
      <c r="AF779" s="273"/>
      <c r="AG779" s="273"/>
      <c r="AH779" s="273"/>
      <c r="AI779" s="273"/>
      <c r="AJ779" s="273"/>
      <c r="AK779" s="273"/>
      <c r="AL779" s="273"/>
      <c r="AM779" s="273"/>
      <c r="AN779" s="273"/>
      <c r="AO779" s="273"/>
      <c r="AP779" s="273"/>
      <c r="AQ779" s="273"/>
      <c r="AR779" s="273"/>
      <c r="AS779" s="273"/>
      <c r="AT779" s="273"/>
      <c r="AU779" s="273"/>
      <c r="AV779" s="273"/>
      <c r="AW779" s="273"/>
      <c r="AX779" s="273"/>
      <c r="AY779" s="273"/>
      <c r="AZ779" s="273"/>
      <c r="BA779" s="273"/>
      <c r="BB779" s="273"/>
      <c r="BC779" s="273"/>
      <c r="BD779" s="273"/>
      <c r="BE779" s="273"/>
      <c r="BF779" s="273"/>
      <c r="BG779" s="273"/>
      <c r="BH779" s="273"/>
      <c r="BI779" s="273"/>
      <c r="BJ779" s="273"/>
      <c r="BK779" s="273"/>
      <c r="BL779" s="273"/>
      <c r="BM779" s="273"/>
      <c r="BN779" s="273"/>
      <c r="BO779" s="273"/>
      <c r="BP779" s="273"/>
      <c r="BQ779" s="273"/>
      <c r="BR779" s="273"/>
      <c r="BS779" s="273"/>
      <c r="BT779" s="273"/>
      <c r="BU779" s="273"/>
      <c r="BV779" s="273"/>
      <c r="BW779" s="273"/>
      <c r="BX779" s="273"/>
      <c r="BY779" s="273"/>
      <c r="BZ779" s="273"/>
      <c r="CA779" s="273"/>
      <c r="CB779" s="273"/>
      <c r="CC779" s="273"/>
      <c r="CD779" s="273"/>
      <c r="CE779" s="273"/>
    </row>
    <row r="780" spans="1:83" ht="12.6" customHeight="1" x14ac:dyDescent="0.25">
      <c r="A780" s="207" t="str">
        <f>RIGHT($C$83,3)&amp;"*"&amp;RIGHT($C$82,4)&amp;"*"&amp;AW$55&amp;"*"&amp;"A"</f>
        <v>209*2018*8200*A</v>
      </c>
      <c r="B780" s="272"/>
      <c r="C780" s="274">
        <f>ROUND(AW60,2)</f>
        <v>0</v>
      </c>
      <c r="D780" s="272">
        <f>ROUND(AW61,0)</f>
        <v>0</v>
      </c>
      <c r="E780" s="272">
        <f>ROUND(AW62,0)</f>
        <v>0</v>
      </c>
      <c r="F780" s="272">
        <f>ROUND(AW63,0)</f>
        <v>0</v>
      </c>
      <c r="G780" s="272">
        <f>ROUND(AW64,0)</f>
        <v>0</v>
      </c>
      <c r="H780" s="272">
        <f>ROUND(AW65,0)</f>
        <v>0</v>
      </c>
      <c r="I780" s="272">
        <f>ROUND(AW66,0)</f>
        <v>0</v>
      </c>
      <c r="J780" s="272">
        <f>ROUND(AW67,0)</f>
        <v>0</v>
      </c>
      <c r="K780" s="272">
        <f>ROUND(AW68,0)</f>
        <v>0</v>
      </c>
      <c r="L780" s="272">
        <f>ROUND(AW69,0)</f>
        <v>0</v>
      </c>
      <c r="M780" s="272">
        <f>ROUND(AW70,0)</f>
        <v>0</v>
      </c>
      <c r="N780" s="272"/>
      <c r="O780" s="272"/>
      <c r="P780" s="272">
        <f>IF(AW76&gt;0,ROUND(AW76,0),0)</f>
        <v>0</v>
      </c>
      <c r="Q780" s="272">
        <f>IF(AW77&gt;0,ROUND(AW77,0),0)</f>
        <v>0</v>
      </c>
      <c r="R780" s="272">
        <f>IF(AW78&gt;0,ROUND(AW78,0),0)</f>
        <v>0</v>
      </c>
      <c r="S780" s="272">
        <f>IF(AW79&gt;0,ROUND(AW79,0),0)</f>
        <v>0</v>
      </c>
      <c r="T780" s="274">
        <f>IF(AW80&gt;0,ROUND(AW80,2),0)</f>
        <v>0</v>
      </c>
      <c r="U780" s="272"/>
      <c r="V780" s="273"/>
      <c r="W780" s="272"/>
      <c r="X780" s="272"/>
      <c r="Y780" s="272"/>
      <c r="Z780" s="273"/>
      <c r="AA780" s="273"/>
      <c r="AB780" s="273"/>
      <c r="AC780" s="273"/>
      <c r="AD780" s="273"/>
      <c r="AE780" s="273"/>
      <c r="AF780" s="273"/>
      <c r="AG780" s="273"/>
      <c r="AH780" s="273"/>
      <c r="AI780" s="273"/>
      <c r="AJ780" s="273"/>
      <c r="AK780" s="273"/>
      <c r="AL780" s="273"/>
      <c r="AM780" s="273"/>
      <c r="AN780" s="273"/>
      <c r="AO780" s="273"/>
      <c r="AP780" s="273"/>
      <c r="AQ780" s="273"/>
      <c r="AR780" s="273"/>
      <c r="AS780" s="273"/>
      <c r="AT780" s="273"/>
      <c r="AU780" s="273"/>
      <c r="AV780" s="273"/>
      <c r="AW780" s="273"/>
      <c r="AX780" s="273"/>
      <c r="AY780" s="273"/>
      <c r="AZ780" s="273"/>
      <c r="BA780" s="273"/>
      <c r="BB780" s="273"/>
      <c r="BC780" s="273"/>
      <c r="BD780" s="273"/>
      <c r="BE780" s="273"/>
      <c r="BF780" s="273"/>
      <c r="BG780" s="273"/>
      <c r="BH780" s="273"/>
      <c r="BI780" s="273"/>
      <c r="BJ780" s="273"/>
      <c r="BK780" s="273"/>
      <c r="BL780" s="273"/>
      <c r="BM780" s="273"/>
      <c r="BN780" s="273"/>
      <c r="BO780" s="273"/>
      <c r="BP780" s="273"/>
      <c r="BQ780" s="273"/>
      <c r="BR780" s="273"/>
      <c r="BS780" s="273"/>
      <c r="BT780" s="273"/>
      <c r="BU780" s="273"/>
      <c r="BV780" s="273"/>
      <c r="BW780" s="273"/>
      <c r="BX780" s="273"/>
      <c r="BY780" s="273"/>
      <c r="BZ780" s="273"/>
      <c r="CA780" s="273"/>
      <c r="CB780" s="273"/>
      <c r="CC780" s="273"/>
      <c r="CD780" s="273"/>
      <c r="CE780" s="273"/>
    </row>
    <row r="781" spans="1:83" ht="12.6" customHeight="1" x14ac:dyDescent="0.25">
      <c r="A781" s="207" t="str">
        <f>RIGHT($C$83,3)&amp;"*"&amp;RIGHT($C$82,4)&amp;"*"&amp;AX$55&amp;"*"&amp;"A"</f>
        <v>209*2018*8310*A</v>
      </c>
      <c r="B781" s="272"/>
      <c r="C781" s="274">
        <f>ROUND(AX60,2)</f>
        <v>0</v>
      </c>
      <c r="D781" s="272">
        <f>ROUND(AX61,0)</f>
        <v>0</v>
      </c>
      <c r="E781" s="272">
        <f>ROUND(AX62,0)</f>
        <v>0</v>
      </c>
      <c r="F781" s="272">
        <f>ROUND(AX63,0)</f>
        <v>0</v>
      </c>
      <c r="G781" s="272">
        <f>ROUND(AX64,0)</f>
        <v>0</v>
      </c>
      <c r="H781" s="272">
        <f>ROUND(AX65,0)</f>
        <v>0</v>
      </c>
      <c r="I781" s="272">
        <f>ROUND(AX66,0)</f>
        <v>432</v>
      </c>
      <c r="J781" s="272">
        <f>ROUND(AX67,0)</f>
        <v>0</v>
      </c>
      <c r="K781" s="272">
        <f>ROUND(AX68,0)</f>
        <v>0</v>
      </c>
      <c r="L781" s="272">
        <f>ROUND(AX69,0)</f>
        <v>0</v>
      </c>
      <c r="M781" s="272">
        <f>ROUND(AX70,0)</f>
        <v>0</v>
      </c>
      <c r="N781" s="272"/>
      <c r="O781" s="272"/>
      <c r="P781" s="272">
        <f>IF(AX76&gt;0,ROUND(AX76,0),0)</f>
        <v>0</v>
      </c>
      <c r="Q781" s="272">
        <f>IF(AX77&gt;0,ROUND(AX77,0),0)</f>
        <v>0</v>
      </c>
      <c r="R781" s="272">
        <f>IF(AX78&gt;0,ROUND(AX78,0),0)</f>
        <v>0</v>
      </c>
      <c r="S781" s="272">
        <f>IF(AX79&gt;0,ROUND(AX79,0),0)</f>
        <v>0</v>
      </c>
      <c r="T781" s="274">
        <f>IF(AX80&gt;0,ROUND(AX80,2),0)</f>
        <v>0</v>
      </c>
      <c r="U781" s="272"/>
      <c r="V781" s="273"/>
      <c r="W781" s="272"/>
      <c r="X781" s="272"/>
      <c r="Y781" s="272"/>
      <c r="Z781" s="273"/>
      <c r="AA781" s="273"/>
      <c r="AB781" s="273"/>
      <c r="AC781" s="273"/>
      <c r="AD781" s="273"/>
      <c r="AE781" s="273"/>
      <c r="AF781" s="273"/>
      <c r="AG781" s="273"/>
      <c r="AH781" s="273"/>
      <c r="AI781" s="273"/>
      <c r="AJ781" s="273"/>
      <c r="AK781" s="273"/>
      <c r="AL781" s="273"/>
      <c r="AM781" s="273"/>
      <c r="AN781" s="273"/>
      <c r="AO781" s="273"/>
      <c r="AP781" s="273"/>
      <c r="AQ781" s="273"/>
      <c r="AR781" s="273"/>
      <c r="AS781" s="273"/>
      <c r="AT781" s="273"/>
      <c r="AU781" s="273"/>
      <c r="AV781" s="273"/>
      <c r="AW781" s="273"/>
      <c r="AX781" s="273"/>
      <c r="AY781" s="273"/>
      <c r="AZ781" s="273"/>
      <c r="BA781" s="273"/>
      <c r="BB781" s="273"/>
      <c r="BC781" s="273"/>
      <c r="BD781" s="273"/>
      <c r="BE781" s="273"/>
      <c r="BF781" s="273"/>
      <c r="BG781" s="273"/>
      <c r="BH781" s="273"/>
      <c r="BI781" s="273"/>
      <c r="BJ781" s="273"/>
      <c r="BK781" s="273"/>
      <c r="BL781" s="273"/>
      <c r="BM781" s="273"/>
      <c r="BN781" s="273"/>
      <c r="BO781" s="273"/>
      <c r="BP781" s="273"/>
      <c r="BQ781" s="273"/>
      <c r="BR781" s="273"/>
      <c r="BS781" s="273"/>
      <c r="BT781" s="273"/>
      <c r="BU781" s="273"/>
      <c r="BV781" s="273"/>
      <c r="BW781" s="273"/>
      <c r="BX781" s="273"/>
      <c r="BY781" s="273"/>
      <c r="BZ781" s="273"/>
      <c r="CA781" s="273"/>
      <c r="CB781" s="273"/>
      <c r="CC781" s="273"/>
      <c r="CD781" s="273"/>
      <c r="CE781" s="273"/>
    </row>
    <row r="782" spans="1:83" ht="12.6" customHeight="1" x14ac:dyDescent="0.25">
      <c r="A782" s="207" t="str">
        <f>RIGHT($C$83,3)&amp;"*"&amp;RIGHT($C$82,4)&amp;"*"&amp;AY$55&amp;"*"&amp;"A"</f>
        <v>209*2018*8320*A</v>
      </c>
      <c r="B782" s="272">
        <f>ROUND(AY59,0)</f>
        <v>124575</v>
      </c>
      <c r="C782" s="274">
        <f>ROUND(AY60,2)</f>
        <v>0</v>
      </c>
      <c r="D782" s="272">
        <f>ROUND(AY61,0)</f>
        <v>0</v>
      </c>
      <c r="E782" s="272">
        <f>ROUND(AY62,0)</f>
        <v>0</v>
      </c>
      <c r="F782" s="272">
        <f>ROUND(AY63,0)</f>
        <v>0</v>
      </c>
      <c r="G782" s="272">
        <f>ROUND(AY64,0)</f>
        <v>0</v>
      </c>
      <c r="H782" s="272">
        <f>ROUND(AY65,0)</f>
        <v>0</v>
      </c>
      <c r="I782" s="272">
        <f>ROUND(AY66,0)</f>
        <v>0</v>
      </c>
      <c r="J782" s="272">
        <f>ROUND(AY67,0)</f>
        <v>13599</v>
      </c>
      <c r="K782" s="272">
        <f>ROUND(AY68,0)</f>
        <v>0</v>
      </c>
      <c r="L782" s="272">
        <f>ROUND(AY69,0)</f>
        <v>0</v>
      </c>
      <c r="M782" s="272">
        <f>ROUND(AY70,0)</f>
        <v>0</v>
      </c>
      <c r="N782" s="272"/>
      <c r="O782" s="272"/>
      <c r="P782" s="272">
        <f>IF(AY76&gt;0,ROUND(AY76,0),0)</f>
        <v>1247</v>
      </c>
      <c r="Q782" s="272">
        <f>IF(AY77&gt;0,ROUND(AY77,0),0)</f>
        <v>0</v>
      </c>
      <c r="R782" s="272">
        <f>IF(AY78&gt;0,ROUND(AY78,0),0)</f>
        <v>0</v>
      </c>
      <c r="S782" s="272">
        <f>IF(AY79&gt;0,ROUND(AY79,0),0)</f>
        <v>0</v>
      </c>
      <c r="T782" s="274">
        <f>IF(AY80&gt;0,ROUND(AY80,2),0)</f>
        <v>0</v>
      </c>
      <c r="U782" s="272"/>
      <c r="V782" s="273"/>
      <c r="W782" s="272"/>
      <c r="X782" s="272"/>
      <c r="Y782" s="272"/>
      <c r="Z782" s="273"/>
      <c r="AA782" s="273"/>
      <c r="AB782" s="273"/>
      <c r="AC782" s="273"/>
      <c r="AD782" s="273"/>
      <c r="AE782" s="273"/>
      <c r="AF782" s="273"/>
      <c r="AG782" s="273"/>
      <c r="AH782" s="273"/>
      <c r="AI782" s="273"/>
      <c r="AJ782" s="273"/>
      <c r="AK782" s="273"/>
      <c r="AL782" s="273"/>
      <c r="AM782" s="273"/>
      <c r="AN782" s="273"/>
      <c r="AO782" s="273"/>
      <c r="AP782" s="273"/>
      <c r="AQ782" s="273"/>
      <c r="AR782" s="273"/>
      <c r="AS782" s="273"/>
      <c r="AT782" s="273"/>
      <c r="AU782" s="273"/>
      <c r="AV782" s="273"/>
      <c r="AW782" s="273"/>
      <c r="AX782" s="273"/>
      <c r="AY782" s="273"/>
      <c r="AZ782" s="273"/>
      <c r="BA782" s="273"/>
      <c r="BB782" s="273"/>
      <c r="BC782" s="273"/>
      <c r="BD782" s="273"/>
      <c r="BE782" s="273"/>
      <c r="BF782" s="273"/>
      <c r="BG782" s="273"/>
      <c r="BH782" s="273"/>
      <c r="BI782" s="273"/>
      <c r="BJ782" s="273"/>
      <c r="BK782" s="273"/>
      <c r="BL782" s="273"/>
      <c r="BM782" s="273"/>
      <c r="BN782" s="273"/>
      <c r="BO782" s="273"/>
      <c r="BP782" s="273"/>
      <c r="BQ782" s="273"/>
      <c r="BR782" s="273"/>
      <c r="BS782" s="273"/>
      <c r="BT782" s="273"/>
      <c r="BU782" s="273"/>
      <c r="BV782" s="273"/>
      <c r="BW782" s="273"/>
      <c r="BX782" s="273"/>
      <c r="BY782" s="273"/>
      <c r="BZ782" s="273"/>
      <c r="CA782" s="273"/>
      <c r="CB782" s="273"/>
      <c r="CC782" s="273"/>
      <c r="CD782" s="273"/>
      <c r="CE782" s="273"/>
    </row>
    <row r="783" spans="1:83" ht="12.6" customHeight="1" x14ac:dyDescent="0.25">
      <c r="A783" s="207" t="str">
        <f>RIGHT($C$83,3)&amp;"*"&amp;RIGHT($C$82,4)&amp;"*"&amp;AZ$55&amp;"*"&amp;"A"</f>
        <v>209*2018*8330*A</v>
      </c>
      <c r="B783" s="272">
        <f>ROUND(AZ59,0)</f>
        <v>351722</v>
      </c>
      <c r="C783" s="274">
        <f>ROUND(AZ60,2)</f>
        <v>30.61</v>
      </c>
      <c r="D783" s="272">
        <f>ROUND(AZ61,0)</f>
        <v>1229035</v>
      </c>
      <c r="E783" s="272">
        <f>ROUND(AZ62,0)</f>
        <v>467207</v>
      </c>
      <c r="F783" s="272">
        <f>ROUND(AZ63,0)</f>
        <v>0</v>
      </c>
      <c r="G783" s="272">
        <f>ROUND(AZ64,0)</f>
        <v>643283</v>
      </c>
      <c r="H783" s="272">
        <f>ROUND(AZ65,0)</f>
        <v>92</v>
      </c>
      <c r="I783" s="272">
        <f>ROUND(AZ66,0)</f>
        <v>519581</v>
      </c>
      <c r="J783" s="272">
        <f>ROUND(AZ67,0)</f>
        <v>257967</v>
      </c>
      <c r="K783" s="272">
        <f>ROUND(AZ68,0)</f>
        <v>18001</v>
      </c>
      <c r="L783" s="272">
        <f>ROUND(AZ69,0)</f>
        <v>15800</v>
      </c>
      <c r="M783" s="272">
        <f>ROUND(AZ70,0)</f>
        <v>866768</v>
      </c>
      <c r="N783" s="272"/>
      <c r="O783" s="272"/>
      <c r="P783" s="272">
        <f>IF(AZ76&gt;0,ROUND(AZ76,0),0)</f>
        <v>6076</v>
      </c>
      <c r="Q783" s="272">
        <f>IF(AZ77&gt;0,ROUND(AZ77,0),0)</f>
        <v>0</v>
      </c>
      <c r="R783" s="272">
        <f>IF(AZ78&gt;0,ROUND(AZ78,0),0)</f>
        <v>0</v>
      </c>
      <c r="S783" s="272">
        <f>IF(AZ79&gt;0,ROUND(AZ79,0),0)</f>
        <v>0</v>
      </c>
      <c r="T783" s="274">
        <f>IF(AZ80&gt;0,ROUND(AZ80,2),0)</f>
        <v>0</v>
      </c>
      <c r="U783" s="272"/>
      <c r="V783" s="273"/>
      <c r="W783" s="272"/>
      <c r="X783" s="272"/>
      <c r="Y783" s="272"/>
      <c r="Z783" s="273"/>
      <c r="AA783" s="273"/>
      <c r="AB783" s="273"/>
      <c r="AC783" s="273"/>
      <c r="AD783" s="273"/>
      <c r="AE783" s="273"/>
      <c r="AF783" s="273"/>
      <c r="AG783" s="273"/>
      <c r="AH783" s="273"/>
      <c r="AI783" s="273"/>
      <c r="AJ783" s="273"/>
      <c r="AK783" s="273"/>
      <c r="AL783" s="273"/>
      <c r="AM783" s="273"/>
      <c r="AN783" s="273"/>
      <c r="AO783" s="273"/>
      <c r="AP783" s="273"/>
      <c r="AQ783" s="273"/>
      <c r="AR783" s="273"/>
      <c r="AS783" s="273"/>
      <c r="AT783" s="273"/>
      <c r="AU783" s="273"/>
      <c r="AV783" s="273"/>
      <c r="AW783" s="273"/>
      <c r="AX783" s="273"/>
      <c r="AY783" s="273"/>
      <c r="AZ783" s="273"/>
      <c r="BA783" s="273"/>
      <c r="BB783" s="273"/>
      <c r="BC783" s="273"/>
      <c r="BD783" s="273"/>
      <c r="BE783" s="273"/>
      <c r="BF783" s="273"/>
      <c r="BG783" s="273"/>
      <c r="BH783" s="273"/>
      <c r="BI783" s="273"/>
      <c r="BJ783" s="273"/>
      <c r="BK783" s="273"/>
      <c r="BL783" s="273"/>
      <c r="BM783" s="273"/>
      <c r="BN783" s="273"/>
      <c r="BO783" s="273"/>
      <c r="BP783" s="273"/>
      <c r="BQ783" s="273"/>
      <c r="BR783" s="273"/>
      <c r="BS783" s="273"/>
      <c r="BT783" s="273"/>
      <c r="BU783" s="273"/>
      <c r="BV783" s="273"/>
      <c r="BW783" s="273"/>
      <c r="BX783" s="273"/>
      <c r="BY783" s="273"/>
      <c r="BZ783" s="273"/>
      <c r="CA783" s="273"/>
      <c r="CB783" s="273"/>
      <c r="CC783" s="273"/>
      <c r="CD783" s="273"/>
      <c r="CE783" s="273"/>
    </row>
    <row r="784" spans="1:83" ht="12.6" customHeight="1" x14ac:dyDescent="0.25">
      <c r="A784" s="207" t="str">
        <f>RIGHT($C$83,3)&amp;"*"&amp;RIGHT($C$82,4)&amp;"*"&amp;BA$55&amp;"*"&amp;"A"</f>
        <v>209*2018*8350*A</v>
      </c>
      <c r="B784" s="272">
        <f>ROUND(BA59,0)</f>
        <v>0</v>
      </c>
      <c r="C784" s="274">
        <f>ROUND(BA60,2)</f>
        <v>1.51</v>
      </c>
      <c r="D784" s="272">
        <f>ROUND(BA61,0)</f>
        <v>53706</v>
      </c>
      <c r="E784" s="272">
        <f>ROUND(BA62,0)</f>
        <v>22374</v>
      </c>
      <c r="F784" s="272">
        <f>ROUND(BA63,0)</f>
        <v>0</v>
      </c>
      <c r="G784" s="272">
        <f>ROUND(BA64,0)</f>
        <v>72</v>
      </c>
      <c r="H784" s="272">
        <f>ROUND(BA65,0)</f>
        <v>0</v>
      </c>
      <c r="I784" s="272">
        <f>ROUND(BA66,0)</f>
        <v>68860</v>
      </c>
      <c r="J784" s="272">
        <f>ROUND(BA67,0)</f>
        <v>22981</v>
      </c>
      <c r="K784" s="272">
        <f>ROUND(BA68,0)</f>
        <v>0</v>
      </c>
      <c r="L784" s="272">
        <f>ROUND(BA69,0)</f>
        <v>0</v>
      </c>
      <c r="M784" s="272">
        <f>ROUND(BA70,0)</f>
        <v>0</v>
      </c>
      <c r="N784" s="272"/>
      <c r="O784" s="272"/>
      <c r="P784" s="272">
        <f>IF(BA76&gt;0,ROUND(BA76,0),0)</f>
        <v>893</v>
      </c>
      <c r="Q784" s="272">
        <f>IF(BA77&gt;0,ROUND(BA77,0),0)</f>
        <v>0</v>
      </c>
      <c r="R784" s="272">
        <f>IF(BA78&gt;0,ROUND(BA78,0),0)</f>
        <v>278</v>
      </c>
      <c r="S784" s="272">
        <f>IF(BA79&gt;0,ROUND(BA79,0),0)</f>
        <v>0</v>
      </c>
      <c r="T784" s="274">
        <f>IF(BA80&gt;0,ROUND(BA80,2),0)</f>
        <v>0</v>
      </c>
      <c r="U784" s="272"/>
      <c r="V784" s="273"/>
      <c r="W784" s="272"/>
      <c r="X784" s="272"/>
      <c r="Y784" s="272"/>
      <c r="Z784" s="273"/>
      <c r="AA784" s="273"/>
      <c r="AB784" s="273"/>
      <c r="AC784" s="273"/>
      <c r="AD784" s="273"/>
      <c r="AE784" s="273"/>
      <c r="AF784" s="273"/>
      <c r="AG784" s="273"/>
      <c r="AH784" s="273"/>
      <c r="AI784" s="273"/>
      <c r="AJ784" s="273"/>
      <c r="AK784" s="273"/>
      <c r="AL784" s="273"/>
      <c r="AM784" s="273"/>
      <c r="AN784" s="273"/>
      <c r="AO784" s="273"/>
      <c r="AP784" s="273"/>
      <c r="AQ784" s="273"/>
      <c r="AR784" s="273"/>
      <c r="AS784" s="273"/>
      <c r="AT784" s="273"/>
      <c r="AU784" s="273"/>
      <c r="AV784" s="273"/>
      <c r="AW784" s="273"/>
      <c r="AX784" s="273"/>
      <c r="AY784" s="273"/>
      <c r="AZ784" s="273"/>
      <c r="BA784" s="273"/>
      <c r="BB784" s="273"/>
      <c r="BC784" s="273"/>
      <c r="BD784" s="273"/>
      <c r="BE784" s="273"/>
      <c r="BF784" s="273"/>
      <c r="BG784" s="273"/>
      <c r="BH784" s="273"/>
      <c r="BI784" s="273"/>
      <c r="BJ784" s="273"/>
      <c r="BK784" s="273"/>
      <c r="BL784" s="273"/>
      <c r="BM784" s="273"/>
      <c r="BN784" s="273"/>
      <c r="BO784" s="273"/>
      <c r="BP784" s="273"/>
      <c r="BQ784" s="273"/>
      <c r="BR784" s="273"/>
      <c r="BS784" s="273"/>
      <c r="BT784" s="273"/>
      <c r="BU784" s="273"/>
      <c r="BV784" s="273"/>
      <c r="BW784" s="273"/>
      <c r="BX784" s="273"/>
      <c r="BY784" s="273"/>
      <c r="BZ784" s="273"/>
      <c r="CA784" s="273"/>
      <c r="CB784" s="273"/>
      <c r="CC784" s="273"/>
      <c r="CD784" s="273"/>
      <c r="CE784" s="273"/>
    </row>
    <row r="785" spans="1:83" ht="12.6" customHeight="1" x14ac:dyDescent="0.25">
      <c r="A785" s="207" t="str">
        <f>RIGHT($C$83,3)&amp;"*"&amp;RIGHT($C$82,4)&amp;"*"&amp;BB$55&amp;"*"&amp;"A"</f>
        <v>209*2018*8360*A</v>
      </c>
      <c r="B785" s="272"/>
      <c r="C785" s="274">
        <f>ROUND(BB60,2)</f>
        <v>0</v>
      </c>
      <c r="D785" s="272">
        <f>ROUND(BB61,0)</f>
        <v>0</v>
      </c>
      <c r="E785" s="272">
        <f>ROUND(BB62,0)</f>
        <v>0</v>
      </c>
      <c r="F785" s="272">
        <f>ROUND(BB63,0)</f>
        <v>0</v>
      </c>
      <c r="G785" s="272">
        <f>ROUND(BB64,0)</f>
        <v>0</v>
      </c>
      <c r="H785" s="272">
        <f>ROUND(BB65,0)</f>
        <v>0</v>
      </c>
      <c r="I785" s="272">
        <f>ROUND(BB66,0)</f>
        <v>0</v>
      </c>
      <c r="J785" s="272">
        <f>ROUND(BB67,0)</f>
        <v>0</v>
      </c>
      <c r="K785" s="272">
        <f>ROUND(BB68,0)</f>
        <v>0</v>
      </c>
      <c r="L785" s="272">
        <f>ROUND(BB69,0)</f>
        <v>0</v>
      </c>
      <c r="M785" s="272">
        <f>ROUND(BB70,0)</f>
        <v>0</v>
      </c>
      <c r="N785" s="272"/>
      <c r="O785" s="272"/>
      <c r="P785" s="272">
        <f>IF(BB76&gt;0,ROUND(BB76,0),0)</f>
        <v>0</v>
      </c>
      <c r="Q785" s="272">
        <f>IF(BB77&gt;0,ROUND(BB77,0),0)</f>
        <v>0</v>
      </c>
      <c r="R785" s="272">
        <f>IF(BB78&gt;0,ROUND(BB78,0),0)</f>
        <v>0</v>
      </c>
      <c r="S785" s="272">
        <f>IF(BB79&gt;0,ROUND(BB79,0),0)</f>
        <v>0</v>
      </c>
      <c r="T785" s="274">
        <f>IF(BB80&gt;0,ROUND(BB80,2),0)</f>
        <v>0</v>
      </c>
      <c r="U785" s="272"/>
      <c r="V785" s="273"/>
      <c r="W785" s="272"/>
      <c r="X785" s="272"/>
      <c r="Y785" s="272"/>
      <c r="Z785" s="273"/>
      <c r="AA785" s="273"/>
      <c r="AB785" s="273"/>
      <c r="AC785" s="273"/>
      <c r="AD785" s="273"/>
      <c r="AE785" s="273"/>
      <c r="AF785" s="273"/>
      <c r="AG785" s="273"/>
      <c r="AH785" s="273"/>
      <c r="AI785" s="273"/>
      <c r="AJ785" s="273"/>
      <c r="AK785" s="273"/>
      <c r="AL785" s="273"/>
      <c r="AM785" s="273"/>
      <c r="AN785" s="273"/>
      <c r="AO785" s="273"/>
      <c r="AP785" s="273"/>
      <c r="AQ785" s="273"/>
      <c r="AR785" s="273"/>
      <c r="AS785" s="273"/>
      <c r="AT785" s="273"/>
      <c r="AU785" s="273"/>
      <c r="AV785" s="273"/>
      <c r="AW785" s="273"/>
      <c r="AX785" s="273"/>
      <c r="AY785" s="273"/>
      <c r="AZ785" s="273"/>
      <c r="BA785" s="273"/>
      <c r="BB785" s="273"/>
      <c r="BC785" s="273"/>
      <c r="BD785" s="273"/>
      <c r="BE785" s="273"/>
      <c r="BF785" s="273"/>
      <c r="BG785" s="273"/>
      <c r="BH785" s="273"/>
      <c r="BI785" s="273"/>
      <c r="BJ785" s="273"/>
      <c r="BK785" s="273"/>
      <c r="BL785" s="273"/>
      <c r="BM785" s="273"/>
      <c r="BN785" s="273"/>
      <c r="BO785" s="273"/>
      <c r="BP785" s="273"/>
      <c r="BQ785" s="273"/>
      <c r="BR785" s="273"/>
      <c r="BS785" s="273"/>
      <c r="BT785" s="273"/>
      <c r="BU785" s="273"/>
      <c r="BV785" s="273"/>
      <c r="BW785" s="273"/>
      <c r="BX785" s="273"/>
      <c r="BY785" s="273"/>
      <c r="BZ785" s="273"/>
      <c r="CA785" s="273"/>
      <c r="CB785" s="273"/>
      <c r="CC785" s="273"/>
      <c r="CD785" s="273"/>
      <c r="CE785" s="273"/>
    </row>
    <row r="786" spans="1:83" ht="12.6" customHeight="1" x14ac:dyDescent="0.25">
      <c r="A786" s="207" t="str">
        <f>RIGHT($C$83,3)&amp;"*"&amp;RIGHT($C$82,4)&amp;"*"&amp;BC$55&amp;"*"&amp;"A"</f>
        <v>209*2018*8370*A</v>
      </c>
      <c r="B786" s="272"/>
      <c r="C786" s="274">
        <f>ROUND(BC60,2)</f>
        <v>3.67</v>
      </c>
      <c r="D786" s="272">
        <f>ROUND(BC61,0)</f>
        <v>156103</v>
      </c>
      <c r="E786" s="272">
        <f>ROUND(BC62,0)</f>
        <v>57151</v>
      </c>
      <c r="F786" s="272">
        <f>ROUND(BC63,0)</f>
        <v>0</v>
      </c>
      <c r="G786" s="272">
        <f>ROUND(BC64,0)</f>
        <v>16</v>
      </c>
      <c r="H786" s="272">
        <f>ROUND(BC65,0)</f>
        <v>393</v>
      </c>
      <c r="I786" s="272">
        <f>ROUND(BC66,0)</f>
        <v>101319</v>
      </c>
      <c r="J786" s="272">
        <f>ROUND(BC67,0)</f>
        <v>0</v>
      </c>
      <c r="K786" s="272">
        <f>ROUND(BC68,0)</f>
        <v>0</v>
      </c>
      <c r="L786" s="272">
        <f>ROUND(BC69,0)</f>
        <v>0</v>
      </c>
      <c r="M786" s="272">
        <f>ROUND(BC70,0)</f>
        <v>0</v>
      </c>
      <c r="N786" s="272"/>
      <c r="O786" s="272"/>
      <c r="P786" s="272">
        <f>IF(BC76&gt;0,ROUND(BC76,0),0)</f>
        <v>0</v>
      </c>
      <c r="Q786" s="272">
        <f>IF(BC77&gt;0,ROUND(BC77,0),0)</f>
        <v>0</v>
      </c>
      <c r="R786" s="272">
        <f>IF(BC78&gt;0,ROUND(BC78,0),0)</f>
        <v>0</v>
      </c>
      <c r="S786" s="272">
        <f>IF(BC79&gt;0,ROUND(BC79,0),0)</f>
        <v>0</v>
      </c>
      <c r="T786" s="274">
        <f>IF(BC80&gt;0,ROUND(BC80,2),0)</f>
        <v>0</v>
      </c>
      <c r="U786" s="272"/>
      <c r="V786" s="273"/>
      <c r="W786" s="272"/>
      <c r="X786" s="272"/>
      <c r="Y786" s="272"/>
      <c r="Z786" s="273"/>
      <c r="AA786" s="273"/>
      <c r="AB786" s="273"/>
      <c r="AC786" s="273"/>
      <c r="AD786" s="273"/>
      <c r="AE786" s="273"/>
      <c r="AF786" s="273"/>
      <c r="AG786" s="273"/>
      <c r="AH786" s="273"/>
      <c r="AI786" s="273"/>
      <c r="AJ786" s="273"/>
      <c r="AK786" s="273"/>
      <c r="AL786" s="273"/>
      <c r="AM786" s="273"/>
      <c r="AN786" s="273"/>
      <c r="AO786" s="273"/>
      <c r="AP786" s="273"/>
      <c r="AQ786" s="273"/>
      <c r="AR786" s="273"/>
      <c r="AS786" s="273"/>
      <c r="AT786" s="273"/>
      <c r="AU786" s="273"/>
      <c r="AV786" s="273"/>
      <c r="AW786" s="273"/>
      <c r="AX786" s="273"/>
      <c r="AY786" s="273"/>
      <c r="AZ786" s="273"/>
      <c r="BA786" s="273"/>
      <c r="BB786" s="273"/>
      <c r="BC786" s="273"/>
      <c r="BD786" s="273"/>
      <c r="BE786" s="273"/>
      <c r="BF786" s="273"/>
      <c r="BG786" s="273"/>
      <c r="BH786" s="273"/>
      <c r="BI786" s="273"/>
      <c r="BJ786" s="273"/>
      <c r="BK786" s="273"/>
      <c r="BL786" s="273"/>
      <c r="BM786" s="273"/>
      <c r="BN786" s="273"/>
      <c r="BO786" s="273"/>
      <c r="BP786" s="273"/>
      <c r="BQ786" s="273"/>
      <c r="BR786" s="273"/>
      <c r="BS786" s="273"/>
      <c r="BT786" s="273"/>
      <c r="BU786" s="273"/>
      <c r="BV786" s="273"/>
      <c r="BW786" s="273"/>
      <c r="BX786" s="273"/>
      <c r="BY786" s="273"/>
      <c r="BZ786" s="273"/>
      <c r="CA786" s="273"/>
      <c r="CB786" s="273"/>
      <c r="CC786" s="273"/>
      <c r="CD786" s="273"/>
      <c r="CE786" s="273"/>
    </row>
    <row r="787" spans="1:83" ht="12.6" customHeight="1" x14ac:dyDescent="0.25">
      <c r="A787" s="207" t="str">
        <f>RIGHT($C$83,3)&amp;"*"&amp;RIGHT($C$82,4)&amp;"*"&amp;BD$55&amp;"*"&amp;"A"</f>
        <v>209*2018*8420*A</v>
      </c>
      <c r="B787" s="272"/>
      <c r="C787" s="274">
        <f>ROUND(BD60,2)</f>
        <v>0</v>
      </c>
      <c r="D787" s="272">
        <f>ROUND(BD61,0)</f>
        <v>0</v>
      </c>
      <c r="E787" s="272">
        <f>ROUND(BD62,0)</f>
        <v>0</v>
      </c>
      <c r="F787" s="272">
        <f>ROUND(BD63,0)</f>
        <v>0</v>
      </c>
      <c r="G787" s="272">
        <f>ROUND(BD64,0)</f>
        <v>0</v>
      </c>
      <c r="H787" s="272">
        <f>ROUND(BD65,0)</f>
        <v>0</v>
      </c>
      <c r="I787" s="272">
        <f>ROUND(BD66,0)</f>
        <v>0</v>
      </c>
      <c r="J787" s="272">
        <f>ROUND(BD67,0)</f>
        <v>0</v>
      </c>
      <c r="K787" s="272">
        <f>ROUND(BD68,0)</f>
        <v>0</v>
      </c>
      <c r="L787" s="272">
        <f>ROUND(BD69,0)</f>
        <v>0</v>
      </c>
      <c r="M787" s="272">
        <f>ROUND(BD70,0)</f>
        <v>0</v>
      </c>
      <c r="N787" s="272"/>
      <c r="O787" s="272"/>
      <c r="P787" s="272">
        <f>IF(BD76&gt;0,ROUND(BD76,0),0)</f>
        <v>0</v>
      </c>
      <c r="Q787" s="272">
        <f>IF(BD77&gt;0,ROUND(BD77,0),0)</f>
        <v>0</v>
      </c>
      <c r="R787" s="272">
        <f>IF(BD78&gt;0,ROUND(BD78,0),0)</f>
        <v>0</v>
      </c>
      <c r="S787" s="272">
        <f>IF(BD79&gt;0,ROUND(BD79,0),0)</f>
        <v>0</v>
      </c>
      <c r="T787" s="274">
        <f>IF(BD80&gt;0,ROUND(BD80,2),0)</f>
        <v>0</v>
      </c>
      <c r="U787" s="272"/>
      <c r="V787" s="273"/>
      <c r="W787" s="272"/>
      <c r="X787" s="272"/>
      <c r="Y787" s="272"/>
      <c r="Z787" s="273"/>
      <c r="AA787" s="273"/>
      <c r="AB787" s="273"/>
      <c r="AC787" s="273"/>
      <c r="AD787" s="273"/>
      <c r="AE787" s="273"/>
      <c r="AF787" s="273"/>
      <c r="AG787" s="273"/>
      <c r="AH787" s="273"/>
      <c r="AI787" s="273"/>
      <c r="AJ787" s="273"/>
      <c r="AK787" s="273"/>
      <c r="AL787" s="273"/>
      <c r="AM787" s="273"/>
      <c r="AN787" s="273"/>
      <c r="AO787" s="273"/>
      <c r="AP787" s="273"/>
      <c r="AQ787" s="273"/>
      <c r="AR787" s="273"/>
      <c r="AS787" s="273"/>
      <c r="AT787" s="273"/>
      <c r="AU787" s="273"/>
      <c r="AV787" s="273"/>
      <c r="AW787" s="273"/>
      <c r="AX787" s="273"/>
      <c r="AY787" s="273"/>
      <c r="AZ787" s="273"/>
      <c r="BA787" s="273"/>
      <c r="BB787" s="273"/>
      <c r="BC787" s="273"/>
      <c r="BD787" s="273"/>
      <c r="BE787" s="273"/>
      <c r="BF787" s="273"/>
      <c r="BG787" s="273"/>
      <c r="BH787" s="273"/>
      <c r="BI787" s="273"/>
      <c r="BJ787" s="273"/>
      <c r="BK787" s="273"/>
      <c r="BL787" s="273"/>
      <c r="BM787" s="273"/>
      <c r="BN787" s="273"/>
      <c r="BO787" s="273"/>
      <c r="BP787" s="273"/>
      <c r="BQ787" s="273"/>
      <c r="BR787" s="273"/>
      <c r="BS787" s="273"/>
      <c r="BT787" s="273"/>
      <c r="BU787" s="273"/>
      <c r="BV787" s="273"/>
      <c r="BW787" s="273"/>
      <c r="BX787" s="273"/>
      <c r="BY787" s="273"/>
      <c r="BZ787" s="273"/>
      <c r="CA787" s="273"/>
      <c r="CB787" s="273"/>
      <c r="CC787" s="273"/>
      <c r="CD787" s="273"/>
      <c r="CE787" s="273"/>
    </row>
    <row r="788" spans="1:83" ht="12.6" customHeight="1" x14ac:dyDescent="0.25">
      <c r="A788" s="207" t="str">
        <f>RIGHT($C$83,3)&amp;"*"&amp;RIGHT($C$82,4)&amp;"*"&amp;BE$55&amp;"*"&amp;"A"</f>
        <v>209*2018*8430*A</v>
      </c>
      <c r="B788" s="272">
        <f>ROUND(BE59,0)</f>
        <v>285855</v>
      </c>
      <c r="C788" s="274">
        <f>ROUND(BE60,2)</f>
        <v>6.05</v>
      </c>
      <c r="D788" s="272">
        <f>ROUND(BE61,0)</f>
        <v>405216</v>
      </c>
      <c r="E788" s="272">
        <f>ROUND(BE62,0)</f>
        <v>111712</v>
      </c>
      <c r="F788" s="272">
        <f>ROUND(BE63,0)</f>
        <v>0</v>
      </c>
      <c r="G788" s="272">
        <f>ROUND(BE64,0)</f>
        <v>40392</v>
      </c>
      <c r="H788" s="272">
        <f>ROUND(BE65,0)</f>
        <v>1156155</v>
      </c>
      <c r="I788" s="272">
        <f>ROUND(BE66,0)</f>
        <v>3588340</v>
      </c>
      <c r="J788" s="272">
        <f>ROUND(BE67,0)</f>
        <v>456316</v>
      </c>
      <c r="K788" s="272">
        <f>ROUND(BE68,0)</f>
        <v>-54</v>
      </c>
      <c r="L788" s="272">
        <f>ROUND(BE69,0)</f>
        <v>12524</v>
      </c>
      <c r="M788" s="272">
        <f>ROUND(BE70,0)</f>
        <v>47</v>
      </c>
      <c r="N788" s="272"/>
      <c r="O788" s="272"/>
      <c r="P788" s="272">
        <f>IF(BE76&gt;0,ROUND(BE76,0),0)</f>
        <v>19028</v>
      </c>
      <c r="Q788" s="272">
        <f>IF(BE77&gt;0,ROUND(BE77,0),0)</f>
        <v>0</v>
      </c>
      <c r="R788" s="272">
        <f>IF(BE78&gt;0,ROUND(BE78,0),0)</f>
        <v>0</v>
      </c>
      <c r="S788" s="272">
        <f>IF(BE79&gt;0,ROUND(BE79,0),0)</f>
        <v>0</v>
      </c>
      <c r="T788" s="274">
        <f>IF(BE80&gt;0,ROUND(BE80,2),0)</f>
        <v>0</v>
      </c>
      <c r="U788" s="272"/>
      <c r="V788" s="273"/>
      <c r="W788" s="272"/>
      <c r="X788" s="272"/>
      <c r="Y788" s="272"/>
      <c r="Z788" s="273"/>
      <c r="AA788" s="273"/>
      <c r="AB788" s="273"/>
      <c r="AC788" s="273"/>
      <c r="AD788" s="273"/>
      <c r="AE788" s="273"/>
      <c r="AF788" s="273"/>
      <c r="AG788" s="273"/>
      <c r="AH788" s="273"/>
      <c r="AI788" s="273"/>
      <c r="AJ788" s="273"/>
      <c r="AK788" s="273"/>
      <c r="AL788" s="273"/>
      <c r="AM788" s="273"/>
      <c r="AN788" s="273"/>
      <c r="AO788" s="273"/>
      <c r="AP788" s="273"/>
      <c r="AQ788" s="273"/>
      <c r="AR788" s="273"/>
      <c r="AS788" s="273"/>
      <c r="AT788" s="273"/>
      <c r="AU788" s="273"/>
      <c r="AV788" s="273"/>
      <c r="AW788" s="273"/>
      <c r="AX788" s="273"/>
      <c r="AY788" s="273"/>
      <c r="AZ788" s="273"/>
      <c r="BA788" s="273"/>
      <c r="BB788" s="273"/>
      <c r="BC788" s="273"/>
      <c r="BD788" s="273"/>
      <c r="BE788" s="273"/>
      <c r="BF788" s="273"/>
      <c r="BG788" s="273"/>
      <c r="BH788" s="273"/>
      <c r="BI788" s="273"/>
      <c r="BJ788" s="273"/>
      <c r="BK788" s="273"/>
      <c r="BL788" s="273"/>
      <c r="BM788" s="273"/>
      <c r="BN788" s="273"/>
      <c r="BO788" s="273"/>
      <c r="BP788" s="273"/>
      <c r="BQ788" s="273"/>
      <c r="BR788" s="273"/>
      <c r="BS788" s="273"/>
      <c r="BT788" s="273"/>
      <c r="BU788" s="273"/>
      <c r="BV788" s="273"/>
      <c r="BW788" s="273"/>
      <c r="BX788" s="273"/>
      <c r="BY788" s="273"/>
      <c r="BZ788" s="273"/>
      <c r="CA788" s="273"/>
      <c r="CB788" s="273"/>
      <c r="CC788" s="273"/>
      <c r="CD788" s="273"/>
      <c r="CE788" s="273"/>
    </row>
    <row r="789" spans="1:83" ht="12.6" customHeight="1" x14ac:dyDescent="0.25">
      <c r="A789" s="207" t="str">
        <f>RIGHT($C$83,3)&amp;"*"&amp;RIGHT($C$82,4)&amp;"*"&amp;BF$55&amp;"*"&amp;"A"</f>
        <v>209*2018*8460*A</v>
      </c>
      <c r="B789" s="272"/>
      <c r="C789" s="274">
        <f>ROUND(BF60,2)</f>
        <v>24.43</v>
      </c>
      <c r="D789" s="272">
        <f>ROUND(BF61,0)</f>
        <v>998661</v>
      </c>
      <c r="E789" s="272">
        <f>ROUND(BF62,0)</f>
        <v>374094</v>
      </c>
      <c r="F789" s="272">
        <f>ROUND(BF63,0)</f>
        <v>0</v>
      </c>
      <c r="G789" s="272">
        <f>ROUND(BF64,0)</f>
        <v>188215</v>
      </c>
      <c r="H789" s="272">
        <f>ROUND(BF65,0)</f>
        <v>2037</v>
      </c>
      <c r="I789" s="272">
        <f>ROUND(BF66,0)</f>
        <v>62191</v>
      </c>
      <c r="J789" s="272">
        <f>ROUND(BF67,0)</f>
        <v>62515</v>
      </c>
      <c r="K789" s="272">
        <f>ROUND(BF68,0)</f>
        <v>418</v>
      </c>
      <c r="L789" s="272">
        <f>ROUND(BF69,0)</f>
        <v>2718</v>
      </c>
      <c r="M789" s="272">
        <f>ROUND(BF70,0)</f>
        <v>0</v>
      </c>
      <c r="N789" s="272"/>
      <c r="O789" s="272"/>
      <c r="P789" s="272">
        <f>IF(BF76&gt;0,ROUND(BF76,0),0)</f>
        <v>730</v>
      </c>
      <c r="Q789" s="272">
        <f>IF(BF77&gt;0,ROUND(BF77,0),0)</f>
        <v>0</v>
      </c>
      <c r="R789" s="272">
        <f>IF(BF78&gt;0,ROUND(BF78,0),0)</f>
        <v>0</v>
      </c>
      <c r="S789" s="272">
        <f>IF(BF79&gt;0,ROUND(BF79,0),0)</f>
        <v>0</v>
      </c>
      <c r="T789" s="274">
        <f>IF(BF80&gt;0,ROUND(BF80,2),0)</f>
        <v>0</v>
      </c>
      <c r="U789" s="272"/>
      <c r="V789" s="273"/>
      <c r="W789" s="272"/>
      <c r="X789" s="272"/>
      <c r="Y789" s="272"/>
      <c r="Z789" s="273"/>
      <c r="AA789" s="273"/>
      <c r="AB789" s="273"/>
      <c r="AC789" s="273"/>
      <c r="AD789" s="273"/>
      <c r="AE789" s="273"/>
      <c r="AF789" s="273"/>
      <c r="AG789" s="273"/>
      <c r="AH789" s="273"/>
      <c r="AI789" s="273"/>
      <c r="AJ789" s="273"/>
      <c r="AK789" s="273"/>
      <c r="AL789" s="273"/>
      <c r="AM789" s="273"/>
      <c r="AN789" s="273"/>
      <c r="AO789" s="273"/>
      <c r="AP789" s="273"/>
      <c r="AQ789" s="273"/>
      <c r="AR789" s="273"/>
      <c r="AS789" s="273"/>
      <c r="AT789" s="273"/>
      <c r="AU789" s="273"/>
      <c r="AV789" s="273"/>
      <c r="AW789" s="273"/>
      <c r="AX789" s="273"/>
      <c r="AY789" s="273"/>
      <c r="AZ789" s="273"/>
      <c r="BA789" s="273"/>
      <c r="BB789" s="273"/>
      <c r="BC789" s="273"/>
      <c r="BD789" s="273"/>
      <c r="BE789" s="273"/>
      <c r="BF789" s="273"/>
      <c r="BG789" s="273"/>
      <c r="BH789" s="273"/>
      <c r="BI789" s="273"/>
      <c r="BJ789" s="273"/>
      <c r="BK789" s="273"/>
      <c r="BL789" s="273"/>
      <c r="BM789" s="273"/>
      <c r="BN789" s="273"/>
      <c r="BO789" s="273"/>
      <c r="BP789" s="273"/>
      <c r="BQ789" s="273"/>
      <c r="BR789" s="273"/>
      <c r="BS789" s="273"/>
      <c r="BT789" s="273"/>
      <c r="BU789" s="273"/>
      <c r="BV789" s="273"/>
      <c r="BW789" s="273"/>
      <c r="BX789" s="273"/>
      <c r="BY789" s="273"/>
      <c r="BZ789" s="273"/>
      <c r="CA789" s="273"/>
      <c r="CB789" s="273"/>
      <c r="CC789" s="273"/>
      <c r="CD789" s="273"/>
      <c r="CE789" s="273"/>
    </row>
    <row r="790" spans="1:83" ht="12.6" customHeight="1" x14ac:dyDescent="0.25">
      <c r="A790" s="207" t="str">
        <f>RIGHT($C$83,3)&amp;"*"&amp;RIGHT($C$82,4)&amp;"*"&amp;BG$55&amp;"*"&amp;"A"</f>
        <v>209*2018*8470*A</v>
      </c>
      <c r="B790" s="272"/>
      <c r="C790" s="274">
        <f>ROUND(BG60,2)</f>
        <v>0</v>
      </c>
      <c r="D790" s="272">
        <f>ROUND(BG61,0)</f>
        <v>0</v>
      </c>
      <c r="E790" s="272">
        <f>ROUND(BG62,0)</f>
        <v>0</v>
      </c>
      <c r="F790" s="272">
        <f>ROUND(BG63,0)</f>
        <v>0</v>
      </c>
      <c r="G790" s="272">
        <f>ROUND(BG64,0)</f>
        <v>0</v>
      </c>
      <c r="H790" s="272">
        <f>ROUND(BG65,0)</f>
        <v>0</v>
      </c>
      <c r="I790" s="272">
        <f>ROUND(BG66,0)</f>
        <v>20899</v>
      </c>
      <c r="J790" s="272">
        <f>ROUND(BG67,0)</f>
        <v>0</v>
      </c>
      <c r="K790" s="272">
        <f>ROUND(BG68,0)</f>
        <v>0</v>
      </c>
      <c r="L790" s="272">
        <f>ROUND(BG69,0)</f>
        <v>0</v>
      </c>
      <c r="M790" s="272">
        <f>ROUND(BG70,0)</f>
        <v>0</v>
      </c>
      <c r="N790" s="272"/>
      <c r="O790" s="272"/>
      <c r="P790" s="272">
        <f>IF(BG76&gt;0,ROUND(BG76,0),0)</f>
        <v>0</v>
      </c>
      <c r="Q790" s="272">
        <f>IF(BG77&gt;0,ROUND(BG77,0),0)</f>
        <v>0</v>
      </c>
      <c r="R790" s="272">
        <f>IF(BG78&gt;0,ROUND(BG78,0),0)</f>
        <v>0</v>
      </c>
      <c r="S790" s="272">
        <f>IF(BG79&gt;0,ROUND(BG79,0),0)</f>
        <v>0</v>
      </c>
      <c r="T790" s="274">
        <f>IF(BG80&gt;0,ROUND(BG80,2),0)</f>
        <v>0</v>
      </c>
      <c r="U790" s="272"/>
      <c r="V790" s="273"/>
      <c r="W790" s="272"/>
      <c r="X790" s="272"/>
      <c r="Y790" s="272"/>
      <c r="Z790" s="273"/>
      <c r="AA790" s="273"/>
      <c r="AB790" s="273"/>
      <c r="AC790" s="273"/>
      <c r="AD790" s="273"/>
      <c r="AE790" s="273"/>
      <c r="AF790" s="273"/>
      <c r="AG790" s="273"/>
      <c r="AH790" s="273"/>
      <c r="AI790" s="273"/>
      <c r="AJ790" s="273"/>
      <c r="AK790" s="273"/>
      <c r="AL790" s="273"/>
      <c r="AM790" s="273"/>
      <c r="AN790" s="273"/>
      <c r="AO790" s="273"/>
      <c r="AP790" s="273"/>
      <c r="AQ790" s="273"/>
      <c r="AR790" s="273"/>
      <c r="AS790" s="273"/>
      <c r="AT790" s="273"/>
      <c r="AU790" s="273"/>
      <c r="AV790" s="273"/>
      <c r="AW790" s="273"/>
      <c r="AX790" s="273"/>
      <c r="AY790" s="273"/>
      <c r="AZ790" s="273"/>
      <c r="BA790" s="273"/>
      <c r="BB790" s="273"/>
      <c r="BC790" s="273"/>
      <c r="BD790" s="273"/>
      <c r="BE790" s="273"/>
      <c r="BF790" s="273"/>
      <c r="BG790" s="273"/>
      <c r="BH790" s="273"/>
      <c r="BI790" s="273"/>
      <c r="BJ790" s="273"/>
      <c r="BK790" s="273"/>
      <c r="BL790" s="273"/>
      <c r="BM790" s="273"/>
      <c r="BN790" s="273"/>
      <c r="BO790" s="273"/>
      <c r="BP790" s="273"/>
      <c r="BQ790" s="273"/>
      <c r="BR790" s="273"/>
      <c r="BS790" s="273"/>
      <c r="BT790" s="273"/>
      <c r="BU790" s="273"/>
      <c r="BV790" s="273"/>
      <c r="BW790" s="273"/>
      <c r="BX790" s="273"/>
      <c r="BY790" s="273"/>
      <c r="BZ790" s="273"/>
      <c r="CA790" s="273"/>
      <c r="CB790" s="273"/>
      <c r="CC790" s="273"/>
      <c r="CD790" s="273"/>
      <c r="CE790" s="273"/>
    </row>
    <row r="791" spans="1:83" ht="12.6" customHeight="1" x14ac:dyDescent="0.25">
      <c r="A791" s="207" t="str">
        <f>RIGHT($C$83,3)&amp;"*"&amp;RIGHT($C$82,4)&amp;"*"&amp;BH$55&amp;"*"&amp;"A"</f>
        <v>209*2018*8480*A</v>
      </c>
      <c r="B791" s="272"/>
      <c r="C791" s="274">
        <f>ROUND(BH60,2)</f>
        <v>0</v>
      </c>
      <c r="D791" s="272">
        <f>ROUND(BH61,0)</f>
        <v>0</v>
      </c>
      <c r="E791" s="272">
        <f>ROUND(BH62,0)</f>
        <v>0</v>
      </c>
      <c r="F791" s="272">
        <f>ROUND(BH63,0)</f>
        <v>0</v>
      </c>
      <c r="G791" s="272">
        <f>ROUND(BH64,0)</f>
        <v>0</v>
      </c>
      <c r="H791" s="272">
        <f>ROUND(BH65,0)</f>
        <v>0</v>
      </c>
      <c r="I791" s="272">
        <f>ROUND(BH66,0)</f>
        <v>40377</v>
      </c>
      <c r="J791" s="272">
        <f>ROUND(BH67,0)</f>
        <v>0</v>
      </c>
      <c r="K791" s="272">
        <f>ROUND(BH68,0)</f>
        <v>0</v>
      </c>
      <c r="L791" s="272">
        <f>ROUND(BH69,0)</f>
        <v>0</v>
      </c>
      <c r="M791" s="272">
        <f>ROUND(BH70,0)</f>
        <v>0</v>
      </c>
      <c r="N791" s="272"/>
      <c r="O791" s="272"/>
      <c r="P791" s="272">
        <f>IF(BH76&gt;0,ROUND(BH76,0),0)</f>
        <v>0</v>
      </c>
      <c r="Q791" s="272">
        <f>IF(BH77&gt;0,ROUND(BH77,0),0)</f>
        <v>0</v>
      </c>
      <c r="R791" s="272">
        <f>IF(BH78&gt;0,ROUND(BH78,0),0)</f>
        <v>0</v>
      </c>
      <c r="S791" s="272">
        <f>IF(BH79&gt;0,ROUND(BH79,0),0)</f>
        <v>0</v>
      </c>
      <c r="T791" s="274">
        <f>IF(BH80&gt;0,ROUND(BH80,2),0)</f>
        <v>0</v>
      </c>
      <c r="U791" s="272"/>
      <c r="V791" s="273"/>
      <c r="W791" s="272"/>
      <c r="X791" s="272"/>
      <c r="Y791" s="272"/>
      <c r="Z791" s="273"/>
      <c r="AA791" s="273"/>
      <c r="AB791" s="273"/>
      <c r="AC791" s="273"/>
      <c r="AD791" s="273"/>
      <c r="AE791" s="273"/>
      <c r="AF791" s="273"/>
      <c r="AG791" s="273"/>
      <c r="AH791" s="273"/>
      <c r="AI791" s="273"/>
      <c r="AJ791" s="273"/>
      <c r="AK791" s="273"/>
      <c r="AL791" s="273"/>
      <c r="AM791" s="273"/>
      <c r="AN791" s="273"/>
      <c r="AO791" s="273"/>
      <c r="AP791" s="273"/>
      <c r="AQ791" s="273"/>
      <c r="AR791" s="273"/>
      <c r="AS791" s="273"/>
      <c r="AT791" s="273"/>
      <c r="AU791" s="273"/>
      <c r="AV791" s="273"/>
      <c r="AW791" s="273"/>
      <c r="AX791" s="273"/>
      <c r="AY791" s="273"/>
      <c r="AZ791" s="273"/>
      <c r="BA791" s="273"/>
      <c r="BB791" s="273"/>
      <c r="BC791" s="273"/>
      <c r="BD791" s="273"/>
      <c r="BE791" s="273"/>
      <c r="BF791" s="273"/>
      <c r="BG791" s="273"/>
      <c r="BH791" s="273"/>
      <c r="BI791" s="273"/>
      <c r="BJ791" s="273"/>
      <c r="BK791" s="273"/>
      <c r="BL791" s="273"/>
      <c r="BM791" s="273"/>
      <c r="BN791" s="273"/>
      <c r="BO791" s="273"/>
      <c r="BP791" s="273"/>
      <c r="BQ791" s="273"/>
      <c r="BR791" s="273"/>
      <c r="BS791" s="273"/>
      <c r="BT791" s="273"/>
      <c r="BU791" s="273"/>
      <c r="BV791" s="273"/>
      <c r="BW791" s="273"/>
      <c r="BX791" s="273"/>
      <c r="BY791" s="273"/>
      <c r="BZ791" s="273"/>
      <c r="CA791" s="273"/>
      <c r="CB791" s="273"/>
      <c r="CC791" s="273"/>
      <c r="CD791" s="273"/>
      <c r="CE791" s="273"/>
    </row>
    <row r="792" spans="1:83" ht="12.6" customHeight="1" x14ac:dyDescent="0.25">
      <c r="A792" s="207" t="str">
        <f>RIGHT($C$83,3)&amp;"*"&amp;RIGHT($C$82,4)&amp;"*"&amp;BI$55&amp;"*"&amp;"A"</f>
        <v>209*2018*8490*A</v>
      </c>
      <c r="B792" s="272"/>
      <c r="C792" s="274">
        <f>ROUND(BI60,2)</f>
        <v>0.37</v>
      </c>
      <c r="D792" s="272">
        <f>ROUND(BI61,0)</f>
        <v>12140</v>
      </c>
      <c r="E792" s="272">
        <f>ROUND(BI62,0)</f>
        <v>5571</v>
      </c>
      <c r="F792" s="272">
        <f>ROUND(BI63,0)</f>
        <v>0</v>
      </c>
      <c r="G792" s="272">
        <f>ROUND(BI64,0)</f>
        <v>75349</v>
      </c>
      <c r="H792" s="272">
        <f>ROUND(BI65,0)</f>
        <v>0</v>
      </c>
      <c r="I792" s="272">
        <f>ROUND(BI66,0)</f>
        <v>803</v>
      </c>
      <c r="J792" s="272">
        <f>ROUND(BI67,0)</f>
        <v>16547</v>
      </c>
      <c r="K792" s="272">
        <f>ROUND(BI68,0)</f>
        <v>405</v>
      </c>
      <c r="L792" s="272">
        <f>ROUND(BI69,0)</f>
        <v>181</v>
      </c>
      <c r="M792" s="272">
        <f>ROUND(BI70,0)</f>
        <v>126224</v>
      </c>
      <c r="N792" s="272"/>
      <c r="O792" s="272"/>
      <c r="P792" s="272">
        <f>IF(BI76&gt;0,ROUND(BI76,0),0)</f>
        <v>674</v>
      </c>
      <c r="Q792" s="272">
        <f>IF(BI77&gt;0,ROUND(BI77,0),0)</f>
        <v>0</v>
      </c>
      <c r="R792" s="272">
        <f>IF(BI78&gt;0,ROUND(BI78,0),0)</f>
        <v>210</v>
      </c>
      <c r="S792" s="272">
        <f>IF(BI79&gt;0,ROUND(BI79,0),0)</f>
        <v>0</v>
      </c>
      <c r="T792" s="274">
        <f>IF(BI80&gt;0,ROUND(BI80,2),0)</f>
        <v>0</v>
      </c>
      <c r="U792" s="272"/>
      <c r="V792" s="273"/>
      <c r="W792" s="272"/>
      <c r="X792" s="272"/>
      <c r="Y792" s="272"/>
      <c r="Z792" s="273"/>
      <c r="AA792" s="273"/>
      <c r="AB792" s="273"/>
      <c r="AC792" s="273"/>
      <c r="AD792" s="273"/>
      <c r="AE792" s="273"/>
      <c r="AF792" s="273"/>
      <c r="AG792" s="273"/>
      <c r="AH792" s="273"/>
      <c r="AI792" s="273"/>
      <c r="AJ792" s="273"/>
      <c r="AK792" s="273"/>
      <c r="AL792" s="273"/>
      <c r="AM792" s="273"/>
      <c r="AN792" s="273"/>
      <c r="AO792" s="273"/>
      <c r="AP792" s="273"/>
      <c r="AQ792" s="273"/>
      <c r="AR792" s="273"/>
      <c r="AS792" s="273"/>
      <c r="AT792" s="273"/>
      <c r="AU792" s="273"/>
      <c r="AV792" s="273"/>
      <c r="AW792" s="273"/>
      <c r="AX792" s="273"/>
      <c r="AY792" s="273"/>
      <c r="AZ792" s="273"/>
      <c r="BA792" s="273"/>
      <c r="BB792" s="273"/>
      <c r="BC792" s="273"/>
      <c r="BD792" s="273"/>
      <c r="BE792" s="273"/>
      <c r="BF792" s="273"/>
      <c r="BG792" s="273"/>
      <c r="BH792" s="273"/>
      <c r="BI792" s="273"/>
      <c r="BJ792" s="273"/>
      <c r="BK792" s="273"/>
      <c r="BL792" s="273"/>
      <c r="BM792" s="273"/>
      <c r="BN792" s="273"/>
      <c r="BO792" s="273"/>
      <c r="BP792" s="273"/>
      <c r="BQ792" s="273"/>
      <c r="BR792" s="273"/>
      <c r="BS792" s="273"/>
      <c r="BT792" s="273"/>
      <c r="BU792" s="273"/>
      <c r="BV792" s="273"/>
      <c r="BW792" s="273"/>
      <c r="BX792" s="273"/>
      <c r="BY792" s="273"/>
      <c r="BZ792" s="273"/>
      <c r="CA792" s="273"/>
      <c r="CB792" s="273"/>
      <c r="CC792" s="273"/>
      <c r="CD792" s="273"/>
      <c r="CE792" s="273"/>
    </row>
    <row r="793" spans="1:83" ht="12.6" customHeight="1" x14ac:dyDescent="0.25">
      <c r="A793" s="207" t="str">
        <f>RIGHT($C$83,3)&amp;"*"&amp;RIGHT($C$82,4)&amp;"*"&amp;BJ$55&amp;"*"&amp;"A"</f>
        <v>209*2018*8510*A</v>
      </c>
      <c r="B793" s="272"/>
      <c r="C793" s="274">
        <f>ROUND(BJ60,2)</f>
        <v>0</v>
      </c>
      <c r="D793" s="272">
        <f>ROUND(BJ61,0)</f>
        <v>0</v>
      </c>
      <c r="E793" s="272">
        <f>ROUND(BJ62,0)</f>
        <v>0</v>
      </c>
      <c r="F793" s="272">
        <f>ROUND(BJ63,0)</f>
        <v>0</v>
      </c>
      <c r="G793" s="272">
        <f>ROUND(BJ64,0)</f>
        <v>0</v>
      </c>
      <c r="H793" s="272">
        <f>ROUND(BJ65,0)</f>
        <v>0</v>
      </c>
      <c r="I793" s="272">
        <f>ROUND(BJ66,0)</f>
        <v>366649</v>
      </c>
      <c r="J793" s="272">
        <f>ROUND(BJ67,0)</f>
        <v>0</v>
      </c>
      <c r="K793" s="272">
        <f>ROUND(BJ68,0)</f>
        <v>0</v>
      </c>
      <c r="L793" s="272">
        <f>ROUND(BJ69,0)</f>
        <v>0</v>
      </c>
      <c r="M793" s="272">
        <f>ROUND(BJ70,0)</f>
        <v>0</v>
      </c>
      <c r="N793" s="272"/>
      <c r="O793" s="272"/>
      <c r="P793" s="272">
        <f>IF(BJ76&gt;0,ROUND(BJ76,0),0)</f>
        <v>0</v>
      </c>
      <c r="Q793" s="272">
        <f>IF(BJ77&gt;0,ROUND(BJ77,0),0)</f>
        <v>0</v>
      </c>
      <c r="R793" s="272">
        <f>IF(BJ78&gt;0,ROUND(BJ78,0),0)</f>
        <v>0</v>
      </c>
      <c r="S793" s="272">
        <f>IF(BJ79&gt;0,ROUND(BJ79,0),0)</f>
        <v>0</v>
      </c>
      <c r="T793" s="274">
        <f>IF(BJ80&gt;0,ROUND(BJ80,2),0)</f>
        <v>0</v>
      </c>
      <c r="U793" s="272"/>
      <c r="V793" s="273"/>
      <c r="W793" s="272"/>
      <c r="X793" s="272"/>
      <c r="Y793" s="272"/>
      <c r="Z793" s="273"/>
      <c r="AA793" s="273"/>
      <c r="AB793" s="273"/>
      <c r="AC793" s="273"/>
      <c r="AD793" s="273"/>
      <c r="AE793" s="273"/>
      <c r="AF793" s="273"/>
      <c r="AG793" s="273"/>
      <c r="AH793" s="273"/>
      <c r="AI793" s="273"/>
      <c r="AJ793" s="273"/>
      <c r="AK793" s="273"/>
      <c r="AL793" s="273"/>
      <c r="AM793" s="273"/>
      <c r="AN793" s="273"/>
      <c r="AO793" s="273"/>
      <c r="AP793" s="273"/>
      <c r="AQ793" s="273"/>
      <c r="AR793" s="273"/>
      <c r="AS793" s="273"/>
      <c r="AT793" s="273"/>
      <c r="AU793" s="273"/>
      <c r="AV793" s="273"/>
      <c r="AW793" s="273"/>
      <c r="AX793" s="273"/>
      <c r="AY793" s="273"/>
      <c r="AZ793" s="273"/>
      <c r="BA793" s="273"/>
      <c r="BB793" s="273"/>
      <c r="BC793" s="273"/>
      <c r="BD793" s="273"/>
      <c r="BE793" s="273"/>
      <c r="BF793" s="273"/>
      <c r="BG793" s="273"/>
      <c r="BH793" s="273"/>
      <c r="BI793" s="273"/>
      <c r="BJ793" s="273"/>
      <c r="BK793" s="273"/>
      <c r="BL793" s="273"/>
      <c r="BM793" s="273"/>
      <c r="BN793" s="273"/>
      <c r="BO793" s="273"/>
      <c r="BP793" s="273"/>
      <c r="BQ793" s="273"/>
      <c r="BR793" s="273"/>
      <c r="BS793" s="273"/>
      <c r="BT793" s="273"/>
      <c r="BU793" s="273"/>
      <c r="BV793" s="273"/>
      <c r="BW793" s="273"/>
      <c r="BX793" s="273"/>
      <c r="BY793" s="273"/>
      <c r="BZ793" s="273"/>
      <c r="CA793" s="273"/>
      <c r="CB793" s="273"/>
      <c r="CC793" s="273"/>
      <c r="CD793" s="273"/>
      <c r="CE793" s="273"/>
    </row>
    <row r="794" spans="1:83" ht="12.6" customHeight="1" x14ac:dyDescent="0.25">
      <c r="A794" s="207" t="str">
        <f>RIGHT($C$83,3)&amp;"*"&amp;RIGHT($C$82,4)&amp;"*"&amp;BK$55&amp;"*"&amp;"A"</f>
        <v>209*2018*8530*A</v>
      </c>
      <c r="B794" s="272"/>
      <c r="C794" s="274">
        <f>ROUND(BK60,2)</f>
        <v>0</v>
      </c>
      <c r="D794" s="272">
        <f>ROUND(BK61,0)</f>
        <v>0</v>
      </c>
      <c r="E794" s="272">
        <f>ROUND(BK62,0)</f>
        <v>0</v>
      </c>
      <c r="F794" s="272">
        <f>ROUND(BK63,0)</f>
        <v>0</v>
      </c>
      <c r="G794" s="272">
        <f>ROUND(BK64,0)</f>
        <v>0</v>
      </c>
      <c r="H794" s="272">
        <f>ROUND(BK65,0)</f>
        <v>0</v>
      </c>
      <c r="I794" s="272">
        <f>ROUND(BK66,0)</f>
        <v>1564029</v>
      </c>
      <c r="J794" s="272">
        <f>ROUND(BK67,0)</f>
        <v>0</v>
      </c>
      <c r="K794" s="272">
        <f>ROUND(BK68,0)</f>
        <v>0</v>
      </c>
      <c r="L794" s="272">
        <f>ROUND(BK69,0)</f>
        <v>0</v>
      </c>
      <c r="M794" s="272">
        <f>ROUND(BK70,0)</f>
        <v>0</v>
      </c>
      <c r="N794" s="272"/>
      <c r="O794" s="272"/>
      <c r="P794" s="272">
        <f>IF(BK76&gt;0,ROUND(BK76,0),0)</f>
        <v>0</v>
      </c>
      <c r="Q794" s="272">
        <f>IF(BK77&gt;0,ROUND(BK77,0),0)</f>
        <v>0</v>
      </c>
      <c r="R794" s="272">
        <f>IF(BK78&gt;0,ROUND(BK78,0),0)</f>
        <v>0</v>
      </c>
      <c r="S794" s="272">
        <f>IF(BK79&gt;0,ROUND(BK79,0),0)</f>
        <v>0</v>
      </c>
      <c r="T794" s="274">
        <f>IF(BK80&gt;0,ROUND(BK80,2),0)</f>
        <v>0</v>
      </c>
      <c r="U794" s="272"/>
      <c r="V794" s="273"/>
      <c r="W794" s="272"/>
      <c r="X794" s="272"/>
      <c r="Y794" s="272"/>
      <c r="Z794" s="273"/>
      <c r="AA794" s="273"/>
      <c r="AB794" s="273"/>
      <c r="AC794" s="273"/>
      <c r="AD794" s="273"/>
      <c r="AE794" s="273"/>
      <c r="AF794" s="273"/>
      <c r="AG794" s="273"/>
      <c r="AH794" s="273"/>
      <c r="AI794" s="273"/>
      <c r="AJ794" s="273"/>
      <c r="AK794" s="273"/>
      <c r="AL794" s="273"/>
      <c r="AM794" s="273"/>
      <c r="AN794" s="273"/>
      <c r="AO794" s="273"/>
      <c r="AP794" s="273"/>
      <c r="AQ794" s="273"/>
      <c r="AR794" s="273"/>
      <c r="AS794" s="273"/>
      <c r="AT794" s="273"/>
      <c r="AU794" s="273"/>
      <c r="AV794" s="273"/>
      <c r="AW794" s="273"/>
      <c r="AX794" s="273"/>
      <c r="AY794" s="273"/>
      <c r="AZ794" s="273"/>
      <c r="BA794" s="273"/>
      <c r="BB794" s="273"/>
      <c r="BC794" s="273"/>
      <c r="BD794" s="273"/>
      <c r="BE794" s="273"/>
      <c r="BF794" s="273"/>
      <c r="BG794" s="273"/>
      <c r="BH794" s="273"/>
      <c r="BI794" s="273"/>
      <c r="BJ794" s="273"/>
      <c r="BK794" s="273"/>
      <c r="BL794" s="273"/>
      <c r="BM794" s="273"/>
      <c r="BN794" s="273"/>
      <c r="BO794" s="273"/>
      <c r="BP794" s="273"/>
      <c r="BQ794" s="273"/>
      <c r="BR794" s="273"/>
      <c r="BS794" s="273"/>
      <c r="BT794" s="273"/>
      <c r="BU794" s="273"/>
      <c r="BV794" s="273"/>
      <c r="BW794" s="273"/>
      <c r="BX794" s="273"/>
      <c r="BY794" s="273"/>
      <c r="BZ794" s="273"/>
      <c r="CA794" s="273"/>
      <c r="CB794" s="273"/>
      <c r="CC794" s="273"/>
      <c r="CD794" s="273"/>
      <c r="CE794" s="273"/>
    </row>
    <row r="795" spans="1:83" ht="12.6" customHeight="1" x14ac:dyDescent="0.25">
      <c r="A795" s="207" t="str">
        <f>RIGHT($C$83,3)&amp;"*"&amp;RIGHT($C$82,4)&amp;"*"&amp;BL$55&amp;"*"&amp;"A"</f>
        <v>209*2018*8560*A</v>
      </c>
      <c r="B795" s="272"/>
      <c r="C795" s="274">
        <f>ROUND(BL60,2)</f>
        <v>0</v>
      </c>
      <c r="D795" s="272">
        <f>ROUND(BL61,0)</f>
        <v>0</v>
      </c>
      <c r="E795" s="272">
        <f>ROUND(BL62,0)</f>
        <v>0</v>
      </c>
      <c r="F795" s="272">
        <f>ROUND(BL63,0)</f>
        <v>0</v>
      </c>
      <c r="G795" s="272">
        <f>ROUND(BL64,0)</f>
        <v>14281</v>
      </c>
      <c r="H795" s="272">
        <f>ROUND(BL65,0)</f>
        <v>114</v>
      </c>
      <c r="I795" s="272">
        <f>ROUND(BL66,0)</f>
        <v>1802019</v>
      </c>
      <c r="J795" s="272">
        <f>ROUND(BL67,0)</f>
        <v>23370</v>
      </c>
      <c r="K795" s="272">
        <f>ROUND(BL68,0)</f>
        <v>11809</v>
      </c>
      <c r="L795" s="272">
        <f>ROUND(BL69,0)</f>
        <v>3130</v>
      </c>
      <c r="M795" s="272">
        <f>ROUND(BL70,0)</f>
        <v>0</v>
      </c>
      <c r="N795" s="272"/>
      <c r="O795" s="272"/>
      <c r="P795" s="272">
        <f>IF(BL76&gt;0,ROUND(BL76,0),0)</f>
        <v>0</v>
      </c>
      <c r="Q795" s="272">
        <f>IF(BL77&gt;0,ROUND(BL77,0),0)</f>
        <v>0</v>
      </c>
      <c r="R795" s="272">
        <f>IF(BL78&gt;0,ROUND(BL78,0),0)</f>
        <v>0</v>
      </c>
      <c r="S795" s="272">
        <f>IF(BL79&gt;0,ROUND(BL79,0),0)</f>
        <v>0</v>
      </c>
      <c r="T795" s="274">
        <f>IF(BL80&gt;0,ROUND(BL80,2),0)</f>
        <v>0</v>
      </c>
      <c r="U795" s="272"/>
      <c r="V795" s="273"/>
      <c r="W795" s="272"/>
      <c r="X795" s="272"/>
      <c r="Y795" s="272"/>
      <c r="Z795" s="273"/>
      <c r="AA795" s="273"/>
      <c r="AB795" s="273"/>
      <c r="AC795" s="273"/>
      <c r="AD795" s="273"/>
      <c r="AE795" s="273"/>
      <c r="AF795" s="273"/>
      <c r="AG795" s="273"/>
      <c r="AH795" s="273"/>
      <c r="AI795" s="273"/>
      <c r="AJ795" s="273"/>
      <c r="AK795" s="273"/>
      <c r="AL795" s="273"/>
      <c r="AM795" s="273"/>
      <c r="AN795" s="273"/>
      <c r="AO795" s="273"/>
      <c r="AP795" s="273"/>
      <c r="AQ795" s="273"/>
      <c r="AR795" s="273"/>
      <c r="AS795" s="273"/>
      <c r="AT795" s="273"/>
      <c r="AU795" s="273"/>
      <c r="AV795" s="273"/>
      <c r="AW795" s="273"/>
      <c r="AX795" s="273"/>
      <c r="AY795" s="273"/>
      <c r="AZ795" s="273"/>
      <c r="BA795" s="273"/>
      <c r="BB795" s="273"/>
      <c r="BC795" s="273"/>
      <c r="BD795" s="273"/>
      <c r="BE795" s="273"/>
      <c r="BF795" s="273"/>
      <c r="BG795" s="273"/>
      <c r="BH795" s="273"/>
      <c r="BI795" s="273"/>
      <c r="BJ795" s="273"/>
      <c r="BK795" s="273"/>
      <c r="BL795" s="273"/>
      <c r="BM795" s="273"/>
      <c r="BN795" s="273"/>
      <c r="BO795" s="273"/>
      <c r="BP795" s="273"/>
      <c r="BQ795" s="273"/>
      <c r="BR795" s="273"/>
      <c r="BS795" s="273"/>
      <c r="BT795" s="273"/>
      <c r="BU795" s="273"/>
      <c r="BV795" s="273"/>
      <c r="BW795" s="273"/>
      <c r="BX795" s="273"/>
      <c r="BY795" s="273"/>
      <c r="BZ795" s="273"/>
      <c r="CA795" s="273"/>
      <c r="CB795" s="273"/>
      <c r="CC795" s="273"/>
      <c r="CD795" s="273"/>
      <c r="CE795" s="273"/>
    </row>
    <row r="796" spans="1:83" ht="12.6" customHeight="1" x14ac:dyDescent="0.25">
      <c r="A796" s="207" t="str">
        <f>RIGHT($C$83,3)&amp;"*"&amp;RIGHT($C$82,4)&amp;"*"&amp;BM$55&amp;"*"&amp;"A"</f>
        <v>209*2018*8590*A</v>
      </c>
      <c r="B796" s="272"/>
      <c r="C796" s="274">
        <f>ROUND(BM60,2)</f>
        <v>0</v>
      </c>
      <c r="D796" s="272">
        <f>ROUND(BM61,0)</f>
        <v>0</v>
      </c>
      <c r="E796" s="272">
        <f>ROUND(BM62,0)</f>
        <v>0</v>
      </c>
      <c r="F796" s="272">
        <f>ROUND(BM63,0)</f>
        <v>0</v>
      </c>
      <c r="G796" s="272">
        <f>ROUND(BM64,0)</f>
        <v>0</v>
      </c>
      <c r="H796" s="272">
        <f>ROUND(BM65,0)</f>
        <v>0</v>
      </c>
      <c r="I796" s="272">
        <f>ROUND(BM66,0)</f>
        <v>0</v>
      </c>
      <c r="J796" s="272">
        <f>ROUND(BM67,0)</f>
        <v>0</v>
      </c>
      <c r="K796" s="272">
        <f>ROUND(BM68,0)</f>
        <v>0</v>
      </c>
      <c r="L796" s="272">
        <f>ROUND(BM69,0)</f>
        <v>0</v>
      </c>
      <c r="M796" s="272">
        <f>ROUND(BM70,0)</f>
        <v>0</v>
      </c>
      <c r="N796" s="272"/>
      <c r="O796" s="272"/>
      <c r="P796" s="272">
        <f>IF(BM76&gt;0,ROUND(BM76,0),0)</f>
        <v>0</v>
      </c>
      <c r="Q796" s="272">
        <f>IF(BM77&gt;0,ROUND(BM77,0),0)</f>
        <v>0</v>
      </c>
      <c r="R796" s="272">
        <f>IF(BM78&gt;0,ROUND(BM78,0),0)</f>
        <v>0</v>
      </c>
      <c r="S796" s="272">
        <f>IF(BM79&gt;0,ROUND(BM79,0),0)</f>
        <v>0</v>
      </c>
      <c r="T796" s="274">
        <f>IF(BM80&gt;0,ROUND(BM80,2),0)</f>
        <v>0</v>
      </c>
      <c r="U796" s="272"/>
      <c r="V796" s="273"/>
      <c r="W796" s="272"/>
      <c r="X796" s="272"/>
      <c r="Y796" s="272"/>
      <c r="Z796" s="273"/>
      <c r="AA796" s="273"/>
      <c r="AB796" s="273"/>
      <c r="AC796" s="273"/>
      <c r="AD796" s="273"/>
      <c r="AE796" s="273"/>
      <c r="AF796" s="273"/>
      <c r="AG796" s="273"/>
      <c r="AH796" s="273"/>
      <c r="AI796" s="273"/>
      <c r="AJ796" s="273"/>
      <c r="AK796" s="273"/>
      <c r="AL796" s="273"/>
      <c r="AM796" s="273"/>
      <c r="AN796" s="273"/>
      <c r="AO796" s="273"/>
      <c r="AP796" s="273"/>
      <c r="AQ796" s="273"/>
      <c r="AR796" s="273"/>
      <c r="AS796" s="273"/>
      <c r="AT796" s="273"/>
      <c r="AU796" s="273"/>
      <c r="AV796" s="273"/>
      <c r="AW796" s="273"/>
      <c r="AX796" s="273"/>
      <c r="AY796" s="273"/>
      <c r="AZ796" s="273"/>
      <c r="BA796" s="273"/>
      <c r="BB796" s="273"/>
      <c r="BC796" s="273"/>
      <c r="BD796" s="273"/>
      <c r="BE796" s="273"/>
      <c r="BF796" s="273"/>
      <c r="BG796" s="273"/>
      <c r="BH796" s="273"/>
      <c r="BI796" s="273"/>
      <c r="BJ796" s="273"/>
      <c r="BK796" s="273"/>
      <c r="BL796" s="273"/>
      <c r="BM796" s="273"/>
      <c r="BN796" s="273"/>
      <c r="BO796" s="273"/>
      <c r="BP796" s="273"/>
      <c r="BQ796" s="273"/>
      <c r="BR796" s="273"/>
      <c r="BS796" s="273"/>
      <c r="BT796" s="273"/>
      <c r="BU796" s="273"/>
      <c r="BV796" s="273"/>
      <c r="BW796" s="273"/>
      <c r="BX796" s="273"/>
      <c r="BY796" s="273"/>
      <c r="BZ796" s="273"/>
      <c r="CA796" s="273"/>
      <c r="CB796" s="273"/>
      <c r="CC796" s="273"/>
      <c r="CD796" s="273"/>
      <c r="CE796" s="273"/>
    </row>
    <row r="797" spans="1:83" ht="12.6" customHeight="1" x14ac:dyDescent="0.25">
      <c r="A797" s="207" t="str">
        <f>RIGHT($C$83,3)&amp;"*"&amp;RIGHT($C$82,4)&amp;"*"&amp;BN$55&amp;"*"&amp;"A"</f>
        <v>209*2018*8610*A</v>
      </c>
      <c r="B797" s="272"/>
      <c r="C797" s="274">
        <f>ROUND(BN60,2)</f>
        <v>7.28</v>
      </c>
      <c r="D797" s="272">
        <f>ROUND(BN61,0)</f>
        <v>809885</v>
      </c>
      <c r="E797" s="272">
        <f>ROUND(BN62,0)</f>
        <v>180249</v>
      </c>
      <c r="F797" s="272">
        <f>ROUND(BN63,0)</f>
        <v>0</v>
      </c>
      <c r="G797" s="272">
        <f>ROUND(BN64,0)</f>
        <v>96922</v>
      </c>
      <c r="H797" s="272">
        <f>ROUND(BN65,0)</f>
        <v>512</v>
      </c>
      <c r="I797" s="272">
        <f>ROUND(BN66,0)</f>
        <v>2986128</v>
      </c>
      <c r="J797" s="272">
        <f>ROUND(BN67,0)</f>
        <v>1899964</v>
      </c>
      <c r="K797" s="272">
        <f>ROUND(BN68,0)</f>
        <v>78210</v>
      </c>
      <c r="L797" s="272">
        <f>ROUND(BN69,0)</f>
        <v>143880</v>
      </c>
      <c r="M797" s="272">
        <f>ROUND(BN70,0)</f>
        <v>5926</v>
      </c>
      <c r="N797" s="272"/>
      <c r="O797" s="272"/>
      <c r="P797" s="272">
        <f>IF(BN76&gt;0,ROUND(BN76,0),0)</f>
        <v>94761</v>
      </c>
      <c r="Q797" s="272">
        <f>IF(BN77&gt;0,ROUND(BN77,0),0)</f>
        <v>0</v>
      </c>
      <c r="R797" s="272">
        <f>IF(BN78&gt;0,ROUND(BN78,0),0)</f>
        <v>0</v>
      </c>
      <c r="S797" s="272">
        <f>IF(BN79&gt;0,ROUND(BN79,0),0)</f>
        <v>0</v>
      </c>
      <c r="T797" s="274">
        <f>IF(BN80&gt;0,ROUND(BN80,2),0)</f>
        <v>0</v>
      </c>
      <c r="U797" s="272"/>
      <c r="V797" s="273"/>
      <c r="W797" s="272"/>
      <c r="X797" s="272"/>
      <c r="Y797" s="272"/>
      <c r="Z797" s="273"/>
      <c r="AA797" s="273"/>
      <c r="AB797" s="273"/>
      <c r="AC797" s="273"/>
      <c r="AD797" s="273"/>
      <c r="AE797" s="273"/>
      <c r="AF797" s="273"/>
      <c r="AG797" s="273"/>
      <c r="AH797" s="273"/>
      <c r="AI797" s="273"/>
      <c r="AJ797" s="273"/>
      <c r="AK797" s="273"/>
      <c r="AL797" s="273"/>
      <c r="AM797" s="273"/>
      <c r="AN797" s="273"/>
      <c r="AO797" s="273"/>
      <c r="AP797" s="273"/>
      <c r="AQ797" s="273"/>
      <c r="AR797" s="273"/>
      <c r="AS797" s="273"/>
      <c r="AT797" s="273"/>
      <c r="AU797" s="273"/>
      <c r="AV797" s="273"/>
      <c r="AW797" s="273"/>
      <c r="AX797" s="273"/>
      <c r="AY797" s="273"/>
      <c r="AZ797" s="273"/>
      <c r="BA797" s="273"/>
      <c r="BB797" s="273"/>
      <c r="BC797" s="273"/>
      <c r="BD797" s="273"/>
      <c r="BE797" s="273"/>
      <c r="BF797" s="273"/>
      <c r="BG797" s="273"/>
      <c r="BH797" s="273"/>
      <c r="BI797" s="273"/>
      <c r="BJ797" s="273"/>
      <c r="BK797" s="273"/>
      <c r="BL797" s="273"/>
      <c r="BM797" s="273"/>
      <c r="BN797" s="273"/>
      <c r="BO797" s="273"/>
      <c r="BP797" s="273"/>
      <c r="BQ797" s="273"/>
      <c r="BR797" s="273"/>
      <c r="BS797" s="273"/>
      <c r="BT797" s="273"/>
      <c r="BU797" s="273"/>
      <c r="BV797" s="273"/>
      <c r="BW797" s="273"/>
      <c r="BX797" s="273"/>
      <c r="BY797" s="273"/>
      <c r="BZ797" s="273"/>
      <c r="CA797" s="273"/>
      <c r="CB797" s="273"/>
      <c r="CC797" s="273"/>
      <c r="CD797" s="273"/>
      <c r="CE797" s="273"/>
    </row>
    <row r="798" spans="1:83" ht="12.6" customHeight="1" x14ac:dyDescent="0.25">
      <c r="A798" s="207" t="str">
        <f>RIGHT($C$83,3)&amp;"*"&amp;RIGHT($C$82,4)&amp;"*"&amp;BO$55&amp;"*"&amp;"A"</f>
        <v>209*2018*8620*A</v>
      </c>
      <c r="B798" s="272"/>
      <c r="C798" s="274">
        <f>ROUND(BO60,2)</f>
        <v>0</v>
      </c>
      <c r="D798" s="272">
        <f>ROUND(BO61,0)</f>
        <v>0</v>
      </c>
      <c r="E798" s="272">
        <f>ROUND(BO62,0)</f>
        <v>0</v>
      </c>
      <c r="F798" s="272">
        <f>ROUND(BO63,0)</f>
        <v>0</v>
      </c>
      <c r="G798" s="272">
        <f>ROUND(BO64,0)</f>
        <v>0</v>
      </c>
      <c r="H798" s="272">
        <f>ROUND(BO65,0)</f>
        <v>0</v>
      </c>
      <c r="I798" s="272">
        <f>ROUND(BO66,0)</f>
        <v>201917</v>
      </c>
      <c r="J798" s="272">
        <f>ROUND(BO67,0)</f>
        <v>0</v>
      </c>
      <c r="K798" s="272">
        <f>ROUND(BO68,0)</f>
        <v>0</v>
      </c>
      <c r="L798" s="272">
        <f>ROUND(BO69,0)</f>
        <v>0</v>
      </c>
      <c r="M798" s="272">
        <f>ROUND(BO70,0)</f>
        <v>0</v>
      </c>
      <c r="N798" s="272"/>
      <c r="O798" s="272"/>
      <c r="P798" s="272">
        <f>IF(BO76&gt;0,ROUND(BO76,0),0)</f>
        <v>0</v>
      </c>
      <c r="Q798" s="272">
        <f>IF(BO77&gt;0,ROUND(BO77,0),0)</f>
        <v>0</v>
      </c>
      <c r="R798" s="272">
        <f>IF(BO78&gt;0,ROUND(BO78,0),0)</f>
        <v>0</v>
      </c>
      <c r="S798" s="272">
        <f>IF(BO79&gt;0,ROUND(BO79,0),0)</f>
        <v>0</v>
      </c>
      <c r="T798" s="274">
        <f>IF(BO80&gt;0,ROUND(BO80,2),0)</f>
        <v>0</v>
      </c>
      <c r="U798" s="272"/>
      <c r="V798" s="273"/>
      <c r="W798" s="272"/>
      <c r="X798" s="272"/>
      <c r="Y798" s="272"/>
      <c r="Z798" s="273"/>
      <c r="AA798" s="273"/>
      <c r="AB798" s="273"/>
      <c r="AC798" s="273"/>
      <c r="AD798" s="273"/>
      <c r="AE798" s="273"/>
      <c r="AF798" s="273"/>
      <c r="AG798" s="273"/>
      <c r="AH798" s="273"/>
      <c r="AI798" s="273"/>
      <c r="AJ798" s="273"/>
      <c r="AK798" s="273"/>
      <c r="AL798" s="273"/>
      <c r="AM798" s="273"/>
      <c r="AN798" s="273"/>
      <c r="AO798" s="273"/>
      <c r="AP798" s="273"/>
      <c r="AQ798" s="273"/>
      <c r="AR798" s="273"/>
      <c r="AS798" s="273"/>
      <c r="AT798" s="273"/>
      <c r="AU798" s="273"/>
      <c r="AV798" s="273"/>
      <c r="AW798" s="273"/>
      <c r="AX798" s="273"/>
      <c r="AY798" s="273"/>
      <c r="AZ798" s="273"/>
      <c r="BA798" s="273"/>
      <c r="BB798" s="273"/>
      <c r="BC798" s="273"/>
      <c r="BD798" s="273"/>
      <c r="BE798" s="273"/>
      <c r="BF798" s="273"/>
      <c r="BG798" s="273"/>
      <c r="BH798" s="273"/>
      <c r="BI798" s="273"/>
      <c r="BJ798" s="273"/>
      <c r="BK798" s="273"/>
      <c r="BL798" s="273"/>
      <c r="BM798" s="273"/>
      <c r="BN798" s="273"/>
      <c r="BO798" s="273"/>
      <c r="BP798" s="273"/>
      <c r="BQ798" s="273"/>
      <c r="BR798" s="273"/>
      <c r="BS798" s="273"/>
      <c r="BT798" s="273"/>
      <c r="BU798" s="273"/>
      <c r="BV798" s="273"/>
      <c r="BW798" s="273"/>
      <c r="BX798" s="273"/>
      <c r="BY798" s="273"/>
      <c r="BZ798" s="273"/>
      <c r="CA798" s="273"/>
      <c r="CB798" s="273"/>
      <c r="CC798" s="273"/>
      <c r="CD798" s="273"/>
      <c r="CE798" s="273"/>
    </row>
    <row r="799" spans="1:83" ht="12.6" customHeight="1" x14ac:dyDescent="0.25">
      <c r="A799" s="207" t="str">
        <f>RIGHT($C$83,3)&amp;"*"&amp;RIGHT($C$82,4)&amp;"*"&amp;BP$55&amp;"*"&amp;"A"</f>
        <v>209*2018*8630*A</v>
      </c>
      <c r="B799" s="272"/>
      <c r="C799" s="274">
        <f>ROUND(BP60,2)</f>
        <v>0</v>
      </c>
      <c r="D799" s="272">
        <f>ROUND(BP61,0)</f>
        <v>0</v>
      </c>
      <c r="E799" s="272">
        <f>ROUND(BP62,0)</f>
        <v>0</v>
      </c>
      <c r="F799" s="272">
        <f>ROUND(BP63,0)</f>
        <v>0</v>
      </c>
      <c r="G799" s="272">
        <f>ROUND(BP64,0)</f>
        <v>0</v>
      </c>
      <c r="H799" s="272">
        <f>ROUND(BP65,0)</f>
        <v>0</v>
      </c>
      <c r="I799" s="272">
        <f>ROUND(BP66,0)</f>
        <v>264696</v>
      </c>
      <c r="J799" s="272">
        <f>ROUND(BP67,0)</f>
        <v>0</v>
      </c>
      <c r="K799" s="272">
        <f>ROUND(BP68,0)</f>
        <v>0</v>
      </c>
      <c r="L799" s="272">
        <f>ROUND(BP69,0)</f>
        <v>0</v>
      </c>
      <c r="M799" s="272">
        <f>ROUND(BP70,0)</f>
        <v>0</v>
      </c>
      <c r="N799" s="272"/>
      <c r="O799" s="272"/>
      <c r="P799" s="272">
        <f>IF(BP76&gt;0,ROUND(BP76,0),0)</f>
        <v>0</v>
      </c>
      <c r="Q799" s="272">
        <f>IF(BP77&gt;0,ROUND(BP77,0),0)</f>
        <v>0</v>
      </c>
      <c r="R799" s="272">
        <f>IF(BP78&gt;0,ROUND(BP78,0),0)</f>
        <v>0</v>
      </c>
      <c r="S799" s="272">
        <f>IF(BP79&gt;0,ROUND(BP79,0),0)</f>
        <v>0</v>
      </c>
      <c r="T799" s="274">
        <f>IF(BP80&gt;0,ROUND(BP80,2),0)</f>
        <v>0</v>
      </c>
      <c r="U799" s="272"/>
      <c r="V799" s="273"/>
      <c r="W799" s="272"/>
      <c r="X799" s="272"/>
      <c r="Y799" s="272"/>
      <c r="Z799" s="273"/>
      <c r="AA799" s="273"/>
      <c r="AB799" s="273"/>
      <c r="AC799" s="273"/>
      <c r="AD799" s="273"/>
      <c r="AE799" s="273"/>
      <c r="AF799" s="273"/>
      <c r="AG799" s="273"/>
      <c r="AH799" s="273"/>
      <c r="AI799" s="273"/>
      <c r="AJ799" s="273"/>
      <c r="AK799" s="273"/>
      <c r="AL799" s="273"/>
      <c r="AM799" s="273"/>
      <c r="AN799" s="273"/>
      <c r="AO799" s="273"/>
      <c r="AP799" s="273"/>
      <c r="AQ799" s="273"/>
      <c r="AR799" s="273"/>
      <c r="AS799" s="273"/>
      <c r="AT799" s="273"/>
      <c r="AU799" s="273"/>
      <c r="AV799" s="273"/>
      <c r="AW799" s="273"/>
      <c r="AX799" s="273"/>
      <c r="AY799" s="273"/>
      <c r="AZ799" s="273"/>
      <c r="BA799" s="273"/>
      <c r="BB799" s="273"/>
      <c r="BC799" s="273"/>
      <c r="BD799" s="273"/>
      <c r="BE799" s="273"/>
      <c r="BF799" s="273"/>
      <c r="BG799" s="273"/>
      <c r="BH799" s="273"/>
      <c r="BI799" s="273"/>
      <c r="BJ799" s="273"/>
      <c r="BK799" s="273"/>
      <c r="BL799" s="273"/>
      <c r="BM799" s="273"/>
      <c r="BN799" s="273"/>
      <c r="BO799" s="273"/>
      <c r="BP799" s="273"/>
      <c r="BQ799" s="273"/>
      <c r="BR799" s="273"/>
      <c r="BS799" s="273"/>
      <c r="BT799" s="273"/>
      <c r="BU799" s="273"/>
      <c r="BV799" s="273"/>
      <c r="BW799" s="273"/>
      <c r="BX799" s="273"/>
      <c r="BY799" s="273"/>
      <c r="BZ799" s="273"/>
      <c r="CA799" s="273"/>
      <c r="CB799" s="273"/>
      <c r="CC799" s="273"/>
      <c r="CD799" s="273"/>
      <c r="CE799" s="273"/>
    </row>
    <row r="800" spans="1:83" ht="12.6" customHeight="1" x14ac:dyDescent="0.25">
      <c r="A800" s="207" t="str">
        <f>RIGHT($C$83,3)&amp;"*"&amp;RIGHT($C$82,4)&amp;"*"&amp;BQ$55&amp;"*"&amp;"A"</f>
        <v>209*2018*8640*A</v>
      </c>
      <c r="B800" s="272"/>
      <c r="C800" s="274">
        <f>ROUND(BQ60,2)</f>
        <v>0</v>
      </c>
      <c r="D800" s="272">
        <f>ROUND(BQ61,0)</f>
        <v>0</v>
      </c>
      <c r="E800" s="272">
        <f>ROUND(BQ62,0)</f>
        <v>0</v>
      </c>
      <c r="F800" s="272">
        <f>ROUND(BQ63,0)</f>
        <v>0</v>
      </c>
      <c r="G800" s="272">
        <f>ROUND(BQ64,0)</f>
        <v>0</v>
      </c>
      <c r="H800" s="272">
        <f>ROUND(BQ65,0)</f>
        <v>0</v>
      </c>
      <c r="I800" s="272">
        <f>ROUND(BQ66,0)</f>
        <v>0</v>
      </c>
      <c r="J800" s="272">
        <f>ROUND(BQ67,0)</f>
        <v>0</v>
      </c>
      <c r="K800" s="272">
        <f>ROUND(BQ68,0)</f>
        <v>0</v>
      </c>
      <c r="L800" s="272">
        <f>ROUND(BQ69,0)</f>
        <v>0</v>
      </c>
      <c r="M800" s="272">
        <f>ROUND(BQ70,0)</f>
        <v>0</v>
      </c>
      <c r="N800" s="272"/>
      <c r="O800" s="272"/>
      <c r="P800" s="272">
        <f>IF(BQ76&gt;0,ROUND(BQ76,0),0)</f>
        <v>0</v>
      </c>
      <c r="Q800" s="272">
        <f>IF(BQ77&gt;0,ROUND(BQ77,0),0)</f>
        <v>0</v>
      </c>
      <c r="R800" s="272">
        <f>IF(BQ78&gt;0,ROUND(BQ78,0),0)</f>
        <v>0</v>
      </c>
      <c r="S800" s="272">
        <f>IF(BQ79&gt;0,ROUND(BQ79,0),0)</f>
        <v>0</v>
      </c>
      <c r="T800" s="274">
        <f>IF(BQ80&gt;0,ROUND(BQ80,2),0)</f>
        <v>0</v>
      </c>
      <c r="U800" s="272"/>
      <c r="V800" s="273"/>
      <c r="W800" s="272"/>
      <c r="X800" s="272"/>
      <c r="Y800" s="272"/>
      <c r="Z800" s="273"/>
      <c r="AA800" s="273"/>
      <c r="AB800" s="273"/>
      <c r="AC800" s="273"/>
      <c r="AD800" s="273"/>
      <c r="AE800" s="273"/>
      <c r="AF800" s="273"/>
      <c r="AG800" s="273"/>
      <c r="AH800" s="273"/>
      <c r="AI800" s="273"/>
      <c r="AJ800" s="273"/>
      <c r="AK800" s="273"/>
      <c r="AL800" s="273"/>
      <c r="AM800" s="273"/>
      <c r="AN800" s="273"/>
      <c r="AO800" s="273"/>
      <c r="AP800" s="273"/>
      <c r="AQ800" s="273"/>
      <c r="AR800" s="273"/>
      <c r="AS800" s="273"/>
      <c r="AT800" s="273"/>
      <c r="AU800" s="273"/>
      <c r="AV800" s="273"/>
      <c r="AW800" s="273"/>
      <c r="AX800" s="273"/>
      <c r="AY800" s="273"/>
      <c r="AZ800" s="273"/>
      <c r="BA800" s="273"/>
      <c r="BB800" s="273"/>
      <c r="BC800" s="273"/>
      <c r="BD800" s="273"/>
      <c r="BE800" s="273"/>
      <c r="BF800" s="273"/>
      <c r="BG800" s="273"/>
      <c r="BH800" s="273"/>
      <c r="BI800" s="273"/>
      <c r="BJ800" s="273"/>
      <c r="BK800" s="273"/>
      <c r="BL800" s="273"/>
      <c r="BM800" s="273"/>
      <c r="BN800" s="273"/>
      <c r="BO800" s="273"/>
      <c r="BP800" s="273"/>
      <c r="BQ800" s="273"/>
      <c r="BR800" s="273"/>
      <c r="BS800" s="273"/>
      <c r="BT800" s="273"/>
      <c r="BU800" s="273"/>
      <c r="BV800" s="273"/>
      <c r="BW800" s="273"/>
      <c r="BX800" s="273"/>
      <c r="BY800" s="273"/>
      <c r="BZ800" s="273"/>
      <c r="CA800" s="273"/>
      <c r="CB800" s="273"/>
      <c r="CC800" s="273"/>
      <c r="CD800" s="273"/>
      <c r="CE800" s="273"/>
    </row>
    <row r="801" spans="1:83" ht="12.6" customHeight="1" x14ac:dyDescent="0.25">
      <c r="A801" s="207" t="str">
        <f>RIGHT($C$83,3)&amp;"*"&amp;RIGHT($C$82,4)&amp;"*"&amp;BR$55&amp;"*"&amp;"A"</f>
        <v>209*2018*8650*A</v>
      </c>
      <c r="B801" s="272"/>
      <c r="C801" s="274">
        <f>ROUND(BR60,2)</f>
        <v>0</v>
      </c>
      <c r="D801" s="272">
        <f>ROUND(BR61,0)</f>
        <v>0</v>
      </c>
      <c r="E801" s="272">
        <f>ROUND(BR62,0)</f>
        <v>-108</v>
      </c>
      <c r="F801" s="272">
        <f>ROUND(BR63,0)</f>
        <v>0</v>
      </c>
      <c r="G801" s="272">
        <f>ROUND(BR64,0)</f>
        <v>0</v>
      </c>
      <c r="H801" s="272">
        <f>ROUND(BR65,0)</f>
        <v>0</v>
      </c>
      <c r="I801" s="272">
        <f>ROUND(BR66,0)</f>
        <v>795422</v>
      </c>
      <c r="J801" s="272">
        <f>ROUND(BR67,0)</f>
        <v>9520</v>
      </c>
      <c r="K801" s="272">
        <f>ROUND(BR68,0)</f>
        <v>0</v>
      </c>
      <c r="L801" s="272">
        <f>ROUND(BR69,0)</f>
        <v>0</v>
      </c>
      <c r="M801" s="272">
        <f>ROUND(BR70,0)</f>
        <v>0</v>
      </c>
      <c r="N801" s="272"/>
      <c r="O801" s="272"/>
      <c r="P801" s="272">
        <f>IF(BR76&gt;0,ROUND(BR76,0),0)</f>
        <v>873</v>
      </c>
      <c r="Q801" s="272">
        <f>IF(BR77&gt;0,ROUND(BR77,0),0)</f>
        <v>0</v>
      </c>
      <c r="R801" s="272">
        <f>IF(BR78&gt;0,ROUND(BR78,0),0)</f>
        <v>0</v>
      </c>
      <c r="S801" s="272">
        <f>IF(BR79&gt;0,ROUND(BR79,0),0)</f>
        <v>0</v>
      </c>
      <c r="T801" s="274">
        <f>IF(BR80&gt;0,ROUND(BR80,2),0)</f>
        <v>0</v>
      </c>
      <c r="U801" s="272"/>
      <c r="V801" s="273"/>
      <c r="W801" s="272"/>
      <c r="X801" s="272"/>
      <c r="Y801" s="272"/>
      <c r="Z801" s="273"/>
      <c r="AA801" s="273"/>
      <c r="AB801" s="273"/>
      <c r="AC801" s="273"/>
      <c r="AD801" s="273"/>
      <c r="AE801" s="273"/>
      <c r="AF801" s="273"/>
      <c r="AG801" s="273"/>
      <c r="AH801" s="273"/>
      <c r="AI801" s="273"/>
      <c r="AJ801" s="273"/>
      <c r="AK801" s="273"/>
      <c r="AL801" s="273"/>
      <c r="AM801" s="273"/>
      <c r="AN801" s="273"/>
      <c r="AO801" s="273"/>
      <c r="AP801" s="273"/>
      <c r="AQ801" s="273"/>
      <c r="AR801" s="273"/>
      <c r="AS801" s="273"/>
      <c r="AT801" s="273"/>
      <c r="AU801" s="273"/>
      <c r="AV801" s="273"/>
      <c r="AW801" s="273"/>
      <c r="AX801" s="273"/>
      <c r="AY801" s="273"/>
      <c r="AZ801" s="273"/>
      <c r="BA801" s="273"/>
      <c r="BB801" s="273"/>
      <c r="BC801" s="273"/>
      <c r="BD801" s="273"/>
      <c r="BE801" s="273"/>
      <c r="BF801" s="273"/>
      <c r="BG801" s="273"/>
      <c r="BH801" s="273"/>
      <c r="BI801" s="273"/>
      <c r="BJ801" s="273"/>
      <c r="BK801" s="273"/>
      <c r="BL801" s="273"/>
      <c r="BM801" s="273"/>
      <c r="BN801" s="273"/>
      <c r="BO801" s="273"/>
      <c r="BP801" s="273"/>
      <c r="BQ801" s="273"/>
      <c r="BR801" s="273"/>
      <c r="BS801" s="273"/>
      <c r="BT801" s="273"/>
      <c r="BU801" s="273"/>
      <c r="BV801" s="273"/>
      <c r="BW801" s="273"/>
      <c r="BX801" s="273"/>
      <c r="BY801" s="273"/>
      <c r="BZ801" s="273"/>
      <c r="CA801" s="273"/>
      <c r="CB801" s="273"/>
      <c r="CC801" s="273"/>
      <c r="CD801" s="273"/>
      <c r="CE801" s="273"/>
    </row>
    <row r="802" spans="1:83" ht="12.6" customHeight="1" x14ac:dyDescent="0.25">
      <c r="A802" s="207" t="str">
        <f>RIGHT($C$83,3)&amp;"*"&amp;RIGHT($C$82,4)&amp;"*"&amp;BS$55&amp;"*"&amp;"A"</f>
        <v>209*2018*8660*A</v>
      </c>
      <c r="B802" s="272"/>
      <c r="C802" s="274">
        <f>ROUND(BS60,2)</f>
        <v>0</v>
      </c>
      <c r="D802" s="272">
        <f>ROUND(BS61,0)</f>
        <v>0</v>
      </c>
      <c r="E802" s="272">
        <f>ROUND(BS62,0)</f>
        <v>0</v>
      </c>
      <c r="F802" s="272">
        <f>ROUND(BS63,0)</f>
        <v>0</v>
      </c>
      <c r="G802" s="272">
        <f>ROUND(BS64,0)</f>
        <v>0</v>
      </c>
      <c r="H802" s="272">
        <f>ROUND(BS65,0)</f>
        <v>0</v>
      </c>
      <c r="I802" s="272">
        <f>ROUND(BS66,0)</f>
        <v>10</v>
      </c>
      <c r="J802" s="272">
        <f>ROUND(BS67,0)</f>
        <v>0</v>
      </c>
      <c r="K802" s="272">
        <f>ROUND(BS68,0)</f>
        <v>0</v>
      </c>
      <c r="L802" s="272">
        <f>ROUND(BS69,0)</f>
        <v>0</v>
      </c>
      <c r="M802" s="272">
        <f>ROUND(BS70,0)</f>
        <v>0</v>
      </c>
      <c r="N802" s="272"/>
      <c r="O802" s="272"/>
      <c r="P802" s="272">
        <f>IF(BS76&gt;0,ROUND(BS76,0),0)</f>
        <v>0</v>
      </c>
      <c r="Q802" s="272">
        <f>IF(BS77&gt;0,ROUND(BS77,0),0)</f>
        <v>0</v>
      </c>
      <c r="R802" s="272">
        <f>IF(BS78&gt;0,ROUND(BS78,0),0)</f>
        <v>0</v>
      </c>
      <c r="S802" s="272">
        <f>IF(BS79&gt;0,ROUND(BS79,0),0)</f>
        <v>0</v>
      </c>
      <c r="T802" s="274">
        <f>IF(BS80&gt;0,ROUND(BS80,2),0)</f>
        <v>0</v>
      </c>
      <c r="U802" s="272"/>
      <c r="V802" s="273"/>
      <c r="W802" s="272"/>
      <c r="X802" s="272"/>
      <c r="Y802" s="272"/>
      <c r="Z802" s="273"/>
      <c r="AA802" s="273"/>
      <c r="AB802" s="273"/>
      <c r="AC802" s="273"/>
      <c r="AD802" s="273"/>
      <c r="AE802" s="273"/>
      <c r="AF802" s="273"/>
      <c r="AG802" s="273"/>
      <c r="AH802" s="273"/>
      <c r="AI802" s="273"/>
      <c r="AJ802" s="273"/>
      <c r="AK802" s="273"/>
      <c r="AL802" s="273"/>
      <c r="AM802" s="273"/>
      <c r="AN802" s="273"/>
      <c r="AO802" s="273"/>
      <c r="AP802" s="273"/>
      <c r="AQ802" s="273"/>
      <c r="AR802" s="273"/>
      <c r="AS802" s="273"/>
      <c r="AT802" s="273"/>
      <c r="AU802" s="273"/>
      <c r="AV802" s="273"/>
      <c r="AW802" s="273"/>
      <c r="AX802" s="273"/>
      <c r="AY802" s="273"/>
      <c r="AZ802" s="273"/>
      <c r="BA802" s="273"/>
      <c r="BB802" s="273"/>
      <c r="BC802" s="273"/>
      <c r="BD802" s="273"/>
      <c r="BE802" s="273"/>
      <c r="BF802" s="273"/>
      <c r="BG802" s="273"/>
      <c r="BH802" s="273"/>
      <c r="BI802" s="273"/>
      <c r="BJ802" s="273"/>
      <c r="BK802" s="273"/>
      <c r="BL802" s="273"/>
      <c r="BM802" s="273"/>
      <c r="BN802" s="273"/>
      <c r="BO802" s="273"/>
      <c r="BP802" s="273"/>
      <c r="BQ802" s="273"/>
      <c r="BR802" s="273"/>
      <c r="BS802" s="273"/>
      <c r="BT802" s="273"/>
      <c r="BU802" s="273"/>
      <c r="BV802" s="273"/>
      <c r="BW802" s="273"/>
      <c r="BX802" s="273"/>
      <c r="BY802" s="273"/>
      <c r="BZ802" s="273"/>
      <c r="CA802" s="273"/>
      <c r="CB802" s="273"/>
      <c r="CC802" s="273"/>
      <c r="CD802" s="273"/>
      <c r="CE802" s="273"/>
    </row>
    <row r="803" spans="1:83" ht="12.6" customHeight="1" x14ac:dyDescent="0.25">
      <c r="A803" s="207" t="str">
        <f>RIGHT($C$83,3)&amp;"*"&amp;RIGHT($C$82,4)&amp;"*"&amp;BT$55&amp;"*"&amp;"A"</f>
        <v>209*2018*8670*A</v>
      </c>
      <c r="B803" s="272"/>
      <c r="C803" s="274">
        <f>ROUND(BT60,2)</f>
        <v>0</v>
      </c>
      <c r="D803" s="272">
        <f>ROUND(BT61,0)</f>
        <v>0</v>
      </c>
      <c r="E803" s="272">
        <f>ROUND(BT62,0)</f>
        <v>0</v>
      </c>
      <c r="F803" s="272">
        <f>ROUND(BT63,0)</f>
        <v>0</v>
      </c>
      <c r="G803" s="272">
        <f>ROUND(BT64,0)</f>
        <v>0</v>
      </c>
      <c r="H803" s="272">
        <f>ROUND(BT65,0)</f>
        <v>0</v>
      </c>
      <c r="I803" s="272">
        <f>ROUND(BT66,0)</f>
        <v>14623</v>
      </c>
      <c r="J803" s="272">
        <f>ROUND(BT67,0)</f>
        <v>0</v>
      </c>
      <c r="K803" s="272">
        <f>ROUND(BT68,0)</f>
        <v>0</v>
      </c>
      <c r="L803" s="272">
        <f>ROUND(BT69,0)</f>
        <v>0</v>
      </c>
      <c r="M803" s="272">
        <f>ROUND(BT70,0)</f>
        <v>0</v>
      </c>
      <c r="N803" s="272"/>
      <c r="O803" s="272"/>
      <c r="P803" s="272">
        <f>IF(BT76&gt;0,ROUND(BT76,0),0)</f>
        <v>0</v>
      </c>
      <c r="Q803" s="272">
        <f>IF(BT77&gt;0,ROUND(BT77,0),0)</f>
        <v>0</v>
      </c>
      <c r="R803" s="272">
        <f>IF(BT78&gt;0,ROUND(BT78,0),0)</f>
        <v>0</v>
      </c>
      <c r="S803" s="272">
        <f>IF(BT79&gt;0,ROUND(BT79,0),0)</f>
        <v>0</v>
      </c>
      <c r="T803" s="274">
        <f>IF(BT80&gt;0,ROUND(BT80,2),0)</f>
        <v>0</v>
      </c>
      <c r="U803" s="272"/>
      <c r="V803" s="273"/>
      <c r="W803" s="272"/>
      <c r="X803" s="272"/>
      <c r="Y803" s="272"/>
      <c r="Z803" s="273"/>
      <c r="AA803" s="273"/>
      <c r="AB803" s="273"/>
      <c r="AC803" s="273"/>
      <c r="AD803" s="273"/>
      <c r="AE803" s="273"/>
      <c r="AF803" s="273"/>
      <c r="AG803" s="273"/>
      <c r="AH803" s="273"/>
      <c r="AI803" s="273"/>
      <c r="AJ803" s="273"/>
      <c r="AK803" s="273"/>
      <c r="AL803" s="273"/>
      <c r="AM803" s="273"/>
      <c r="AN803" s="273"/>
      <c r="AO803" s="273"/>
      <c r="AP803" s="273"/>
      <c r="AQ803" s="273"/>
      <c r="AR803" s="273"/>
      <c r="AS803" s="273"/>
      <c r="AT803" s="273"/>
      <c r="AU803" s="273"/>
      <c r="AV803" s="273"/>
      <c r="AW803" s="273"/>
      <c r="AX803" s="273"/>
      <c r="AY803" s="273"/>
      <c r="AZ803" s="273"/>
      <c r="BA803" s="273"/>
      <c r="BB803" s="273"/>
      <c r="BC803" s="273"/>
      <c r="BD803" s="273"/>
      <c r="BE803" s="273"/>
      <c r="BF803" s="273"/>
      <c r="BG803" s="273"/>
      <c r="BH803" s="273"/>
      <c r="BI803" s="273"/>
      <c r="BJ803" s="273"/>
      <c r="BK803" s="273"/>
      <c r="BL803" s="273"/>
      <c r="BM803" s="273"/>
      <c r="BN803" s="273"/>
      <c r="BO803" s="273"/>
      <c r="BP803" s="273"/>
      <c r="BQ803" s="273"/>
      <c r="BR803" s="273"/>
      <c r="BS803" s="273"/>
      <c r="BT803" s="273"/>
      <c r="BU803" s="273"/>
      <c r="BV803" s="273"/>
      <c r="BW803" s="273"/>
      <c r="BX803" s="273"/>
      <c r="BY803" s="273"/>
      <c r="BZ803" s="273"/>
      <c r="CA803" s="273"/>
      <c r="CB803" s="273"/>
      <c r="CC803" s="273"/>
      <c r="CD803" s="273"/>
      <c r="CE803" s="273"/>
    </row>
    <row r="804" spans="1:83" ht="12.6" customHeight="1" x14ac:dyDescent="0.25">
      <c r="A804" s="207" t="str">
        <f>RIGHT($C$83,3)&amp;"*"&amp;RIGHT($C$82,4)&amp;"*"&amp;BU$55&amp;"*"&amp;"A"</f>
        <v>209*2018*8680*A</v>
      </c>
      <c r="B804" s="272"/>
      <c r="C804" s="274">
        <f>ROUND(BU60,2)</f>
        <v>0</v>
      </c>
      <c r="D804" s="272">
        <f>ROUND(BU61,0)</f>
        <v>0</v>
      </c>
      <c r="E804" s="272">
        <f>ROUND(BU62,0)</f>
        <v>0</v>
      </c>
      <c r="F804" s="272">
        <f>ROUND(BU63,0)</f>
        <v>0</v>
      </c>
      <c r="G804" s="272">
        <f>ROUND(BU64,0)</f>
        <v>0</v>
      </c>
      <c r="H804" s="272">
        <f>ROUND(BU65,0)</f>
        <v>0</v>
      </c>
      <c r="I804" s="272">
        <f>ROUND(BU66,0)</f>
        <v>23720</v>
      </c>
      <c r="J804" s="272">
        <f>ROUND(BU67,0)</f>
        <v>0</v>
      </c>
      <c r="K804" s="272">
        <f>ROUND(BU68,0)</f>
        <v>0</v>
      </c>
      <c r="L804" s="272">
        <f>ROUND(BU69,0)</f>
        <v>0</v>
      </c>
      <c r="M804" s="272">
        <f>ROUND(BU70,0)</f>
        <v>0</v>
      </c>
      <c r="N804" s="272"/>
      <c r="O804" s="272"/>
      <c r="P804" s="272">
        <f>IF(BU76&gt;0,ROUND(BU76,0),0)</f>
        <v>0</v>
      </c>
      <c r="Q804" s="272">
        <f>IF(BU77&gt;0,ROUND(BU77,0),0)</f>
        <v>0</v>
      </c>
      <c r="R804" s="272">
        <f>IF(BU78&gt;0,ROUND(BU78,0),0)</f>
        <v>0</v>
      </c>
      <c r="S804" s="272">
        <f>IF(BU79&gt;0,ROUND(BU79,0),0)</f>
        <v>0</v>
      </c>
      <c r="T804" s="274">
        <f>IF(BU80&gt;0,ROUND(BU80,2),0)</f>
        <v>0</v>
      </c>
      <c r="U804" s="272"/>
      <c r="V804" s="273"/>
      <c r="W804" s="272"/>
      <c r="X804" s="272"/>
      <c r="Y804" s="272"/>
      <c r="Z804" s="273"/>
      <c r="AA804" s="273"/>
      <c r="AB804" s="273"/>
      <c r="AC804" s="273"/>
      <c r="AD804" s="273"/>
      <c r="AE804" s="273"/>
      <c r="AF804" s="273"/>
      <c r="AG804" s="273"/>
      <c r="AH804" s="273"/>
      <c r="AI804" s="273"/>
      <c r="AJ804" s="273"/>
      <c r="AK804" s="273"/>
      <c r="AL804" s="273"/>
      <c r="AM804" s="273"/>
      <c r="AN804" s="273"/>
      <c r="AO804" s="273"/>
      <c r="AP804" s="273"/>
      <c r="AQ804" s="273"/>
      <c r="AR804" s="273"/>
      <c r="AS804" s="273"/>
      <c r="AT804" s="273"/>
      <c r="AU804" s="273"/>
      <c r="AV804" s="273"/>
      <c r="AW804" s="273"/>
      <c r="AX804" s="273"/>
      <c r="AY804" s="273"/>
      <c r="AZ804" s="273"/>
      <c r="BA804" s="273"/>
      <c r="BB804" s="273"/>
      <c r="BC804" s="273"/>
      <c r="BD804" s="273"/>
      <c r="BE804" s="273"/>
      <c r="BF804" s="273"/>
      <c r="BG804" s="273"/>
      <c r="BH804" s="273"/>
      <c r="BI804" s="273"/>
      <c r="BJ804" s="273"/>
      <c r="BK804" s="273"/>
      <c r="BL804" s="273"/>
      <c r="BM804" s="273"/>
      <c r="BN804" s="273"/>
      <c r="BO804" s="273"/>
      <c r="BP804" s="273"/>
      <c r="BQ804" s="273"/>
      <c r="BR804" s="273"/>
      <c r="BS804" s="273"/>
      <c r="BT804" s="273"/>
      <c r="BU804" s="273"/>
      <c r="BV804" s="273"/>
      <c r="BW804" s="273"/>
      <c r="BX804" s="273"/>
      <c r="BY804" s="273"/>
      <c r="BZ804" s="273"/>
      <c r="CA804" s="273"/>
      <c r="CB804" s="273"/>
      <c r="CC804" s="273"/>
      <c r="CD804" s="273"/>
      <c r="CE804" s="273"/>
    </row>
    <row r="805" spans="1:83" ht="12.6" customHeight="1" x14ac:dyDescent="0.25">
      <c r="A805" s="207" t="str">
        <f>RIGHT($C$83,3)&amp;"*"&amp;RIGHT($C$82,4)&amp;"*"&amp;BV$55&amp;"*"&amp;"A"</f>
        <v>209*2018*8690*A</v>
      </c>
      <c r="B805" s="272"/>
      <c r="C805" s="274">
        <f>ROUND(BV60,2)</f>
        <v>0</v>
      </c>
      <c r="D805" s="272">
        <f>ROUND(BV61,0)</f>
        <v>0</v>
      </c>
      <c r="E805" s="272">
        <f>ROUND(BV62,0)</f>
        <v>0</v>
      </c>
      <c r="F805" s="272">
        <f>ROUND(BV63,0)</f>
        <v>0</v>
      </c>
      <c r="G805" s="272">
        <f>ROUND(BV64,0)</f>
        <v>0</v>
      </c>
      <c r="H805" s="272">
        <f>ROUND(BV65,0)</f>
        <v>0</v>
      </c>
      <c r="I805" s="272">
        <f>ROUND(BV66,0)</f>
        <v>2254188</v>
      </c>
      <c r="J805" s="272">
        <f>ROUND(BV67,0)</f>
        <v>10141</v>
      </c>
      <c r="K805" s="272">
        <f>ROUND(BV68,0)</f>
        <v>0</v>
      </c>
      <c r="L805" s="272">
        <f>ROUND(BV69,0)</f>
        <v>0</v>
      </c>
      <c r="M805" s="272">
        <f>ROUND(BV70,0)</f>
        <v>0</v>
      </c>
      <c r="N805" s="272"/>
      <c r="O805" s="272"/>
      <c r="P805" s="272">
        <f>IF(BV76&gt;0,ROUND(BV76,0),0)</f>
        <v>930</v>
      </c>
      <c r="Q805" s="272">
        <f>IF(BV77&gt;0,ROUND(BV77,0),0)</f>
        <v>0</v>
      </c>
      <c r="R805" s="272">
        <f>IF(BV78&gt;0,ROUND(BV78,0),0)</f>
        <v>290</v>
      </c>
      <c r="S805" s="272">
        <f>IF(BV79&gt;0,ROUND(BV79,0),0)</f>
        <v>0</v>
      </c>
      <c r="T805" s="274">
        <f>IF(BV80&gt;0,ROUND(BV80,2),0)</f>
        <v>0</v>
      </c>
      <c r="U805" s="272"/>
      <c r="V805" s="273"/>
      <c r="W805" s="272"/>
      <c r="X805" s="272"/>
      <c r="Y805" s="272"/>
      <c r="Z805" s="273"/>
      <c r="AA805" s="273"/>
      <c r="AB805" s="273"/>
      <c r="AC805" s="273"/>
      <c r="AD805" s="273"/>
      <c r="AE805" s="273"/>
      <c r="AF805" s="273"/>
      <c r="AG805" s="273"/>
      <c r="AH805" s="273"/>
      <c r="AI805" s="273"/>
      <c r="AJ805" s="273"/>
      <c r="AK805" s="273"/>
      <c r="AL805" s="273"/>
      <c r="AM805" s="273"/>
      <c r="AN805" s="273"/>
      <c r="AO805" s="273"/>
      <c r="AP805" s="273"/>
      <c r="AQ805" s="273"/>
      <c r="AR805" s="273"/>
      <c r="AS805" s="273"/>
      <c r="AT805" s="273"/>
      <c r="AU805" s="273"/>
      <c r="AV805" s="273"/>
      <c r="AW805" s="273"/>
      <c r="AX805" s="273"/>
      <c r="AY805" s="273"/>
      <c r="AZ805" s="273"/>
      <c r="BA805" s="273"/>
      <c r="BB805" s="273"/>
      <c r="BC805" s="273"/>
      <c r="BD805" s="273"/>
      <c r="BE805" s="273"/>
      <c r="BF805" s="273"/>
      <c r="BG805" s="273"/>
      <c r="BH805" s="273"/>
      <c r="BI805" s="273"/>
      <c r="BJ805" s="273"/>
      <c r="BK805" s="273"/>
      <c r="BL805" s="273"/>
      <c r="BM805" s="273"/>
      <c r="BN805" s="273"/>
      <c r="BO805" s="273"/>
      <c r="BP805" s="273"/>
      <c r="BQ805" s="273"/>
      <c r="BR805" s="273"/>
      <c r="BS805" s="273"/>
      <c r="BT805" s="273"/>
      <c r="BU805" s="273"/>
      <c r="BV805" s="273"/>
      <c r="BW805" s="273"/>
      <c r="BX805" s="273"/>
      <c r="BY805" s="273"/>
      <c r="BZ805" s="273"/>
      <c r="CA805" s="273"/>
      <c r="CB805" s="273"/>
      <c r="CC805" s="273"/>
      <c r="CD805" s="273"/>
      <c r="CE805" s="273"/>
    </row>
    <row r="806" spans="1:83" ht="12.6" customHeight="1" x14ac:dyDescent="0.25">
      <c r="A806" s="207" t="str">
        <f>RIGHT($C$83,3)&amp;"*"&amp;RIGHT($C$82,4)&amp;"*"&amp;BW$55&amp;"*"&amp;"A"</f>
        <v>209*2018*8700*A</v>
      </c>
      <c r="B806" s="272"/>
      <c r="C806" s="274">
        <f>ROUND(BW60,2)</f>
        <v>0</v>
      </c>
      <c r="D806" s="272">
        <f>ROUND(BW61,0)</f>
        <v>0</v>
      </c>
      <c r="E806" s="272">
        <f>ROUND(BW62,0)</f>
        <v>0</v>
      </c>
      <c r="F806" s="272">
        <f>ROUND(BW63,0)</f>
        <v>0</v>
      </c>
      <c r="G806" s="272">
        <f>ROUND(BW64,0)</f>
        <v>0</v>
      </c>
      <c r="H806" s="272">
        <f>ROUND(BW65,0)</f>
        <v>0</v>
      </c>
      <c r="I806" s="272">
        <f>ROUND(BW66,0)</f>
        <v>246111</v>
      </c>
      <c r="J806" s="272">
        <f>ROUND(BW67,0)</f>
        <v>0</v>
      </c>
      <c r="K806" s="272">
        <f>ROUND(BW68,0)</f>
        <v>0</v>
      </c>
      <c r="L806" s="272">
        <f>ROUND(BW69,0)</f>
        <v>0</v>
      </c>
      <c r="M806" s="272">
        <f>ROUND(BW70,0)</f>
        <v>0</v>
      </c>
      <c r="N806" s="272"/>
      <c r="O806" s="272"/>
      <c r="P806" s="272">
        <f>IF(BW76&gt;0,ROUND(BW76,0),0)</f>
        <v>0</v>
      </c>
      <c r="Q806" s="272">
        <f>IF(BW77&gt;0,ROUND(BW77,0),0)</f>
        <v>0</v>
      </c>
      <c r="R806" s="272">
        <f>IF(BW78&gt;0,ROUND(BW78,0),0)</f>
        <v>0</v>
      </c>
      <c r="S806" s="272">
        <f>IF(BW79&gt;0,ROUND(BW79,0),0)</f>
        <v>0</v>
      </c>
      <c r="T806" s="274">
        <f>IF(BW80&gt;0,ROUND(BW80,2),0)</f>
        <v>0</v>
      </c>
      <c r="U806" s="272"/>
      <c r="V806" s="273"/>
      <c r="W806" s="272"/>
      <c r="X806" s="272"/>
      <c r="Y806" s="272"/>
      <c r="Z806" s="273"/>
      <c r="AA806" s="273"/>
      <c r="AB806" s="273"/>
      <c r="AC806" s="273"/>
      <c r="AD806" s="273"/>
      <c r="AE806" s="273"/>
      <c r="AF806" s="273"/>
      <c r="AG806" s="273"/>
      <c r="AH806" s="273"/>
      <c r="AI806" s="273"/>
      <c r="AJ806" s="273"/>
      <c r="AK806" s="273"/>
      <c r="AL806" s="273"/>
      <c r="AM806" s="273"/>
      <c r="AN806" s="273"/>
      <c r="AO806" s="273"/>
      <c r="AP806" s="273"/>
      <c r="AQ806" s="273"/>
      <c r="AR806" s="273"/>
      <c r="AS806" s="273"/>
      <c r="AT806" s="273"/>
      <c r="AU806" s="273"/>
      <c r="AV806" s="273"/>
      <c r="AW806" s="273"/>
      <c r="AX806" s="273"/>
      <c r="AY806" s="273"/>
      <c r="AZ806" s="273"/>
      <c r="BA806" s="273"/>
      <c r="BB806" s="273"/>
      <c r="BC806" s="273"/>
      <c r="BD806" s="273"/>
      <c r="BE806" s="273"/>
      <c r="BF806" s="273"/>
      <c r="BG806" s="273"/>
      <c r="BH806" s="273"/>
      <c r="BI806" s="273"/>
      <c r="BJ806" s="273"/>
      <c r="BK806" s="273"/>
      <c r="BL806" s="273"/>
      <c r="BM806" s="273"/>
      <c r="BN806" s="273"/>
      <c r="BO806" s="273"/>
      <c r="BP806" s="273"/>
      <c r="BQ806" s="273"/>
      <c r="BR806" s="273"/>
      <c r="BS806" s="273"/>
      <c r="BT806" s="273"/>
      <c r="BU806" s="273"/>
      <c r="BV806" s="273"/>
      <c r="BW806" s="273"/>
      <c r="BX806" s="273"/>
      <c r="BY806" s="273"/>
      <c r="BZ806" s="273"/>
      <c r="CA806" s="273"/>
      <c r="CB806" s="273"/>
      <c r="CC806" s="273"/>
      <c r="CD806" s="273"/>
      <c r="CE806" s="273"/>
    </row>
    <row r="807" spans="1:83" ht="12.6" customHeight="1" x14ac:dyDescent="0.25">
      <c r="A807" s="207" t="str">
        <f>RIGHT($C$83,3)&amp;"*"&amp;RIGHT($C$82,4)&amp;"*"&amp;BX$55&amp;"*"&amp;"A"</f>
        <v>209*2018*8710*A</v>
      </c>
      <c r="B807" s="272"/>
      <c r="C807" s="274">
        <f>ROUND(BX60,2)</f>
        <v>0</v>
      </c>
      <c r="D807" s="272">
        <f>ROUND(BX61,0)</f>
        <v>0</v>
      </c>
      <c r="E807" s="272">
        <f>ROUND(BX62,0)</f>
        <v>0</v>
      </c>
      <c r="F807" s="272">
        <f>ROUND(BX63,0)</f>
        <v>0</v>
      </c>
      <c r="G807" s="272">
        <f>ROUND(BX64,0)</f>
        <v>0</v>
      </c>
      <c r="H807" s="272">
        <f>ROUND(BX65,0)</f>
        <v>0</v>
      </c>
      <c r="I807" s="272">
        <f>ROUND(BX66,0)</f>
        <v>1014488</v>
      </c>
      <c r="J807" s="272">
        <f>ROUND(BX67,0)</f>
        <v>0</v>
      </c>
      <c r="K807" s="272">
        <f>ROUND(BX68,0)</f>
        <v>0</v>
      </c>
      <c r="L807" s="272">
        <f>ROUND(BX69,0)</f>
        <v>0</v>
      </c>
      <c r="M807" s="272">
        <f>ROUND(BX70,0)</f>
        <v>0</v>
      </c>
      <c r="N807" s="272"/>
      <c r="O807" s="272"/>
      <c r="P807" s="272">
        <f>IF(BX76&gt;0,ROUND(BX76,0),0)</f>
        <v>0</v>
      </c>
      <c r="Q807" s="272">
        <f>IF(BX77&gt;0,ROUND(BX77,0),0)</f>
        <v>0</v>
      </c>
      <c r="R807" s="272">
        <f>IF(BX78&gt;0,ROUND(BX78,0),0)</f>
        <v>0</v>
      </c>
      <c r="S807" s="272">
        <f>IF(BX79&gt;0,ROUND(BX79,0),0)</f>
        <v>0</v>
      </c>
      <c r="T807" s="274">
        <f>IF(BX80&gt;0,ROUND(BX80,2),0)</f>
        <v>0</v>
      </c>
      <c r="U807" s="272"/>
      <c r="V807" s="273"/>
      <c r="W807" s="272"/>
      <c r="X807" s="272"/>
      <c r="Y807" s="272"/>
      <c r="Z807" s="273"/>
      <c r="AA807" s="273"/>
      <c r="AB807" s="273"/>
      <c r="AC807" s="273"/>
      <c r="AD807" s="273"/>
      <c r="AE807" s="273"/>
      <c r="AF807" s="273"/>
      <c r="AG807" s="273"/>
      <c r="AH807" s="273"/>
      <c r="AI807" s="273"/>
      <c r="AJ807" s="273"/>
      <c r="AK807" s="273"/>
      <c r="AL807" s="273"/>
      <c r="AM807" s="273"/>
      <c r="AN807" s="273"/>
      <c r="AO807" s="273"/>
      <c r="AP807" s="273"/>
      <c r="AQ807" s="273"/>
      <c r="AR807" s="273"/>
      <c r="AS807" s="273"/>
      <c r="AT807" s="273"/>
      <c r="AU807" s="273"/>
      <c r="AV807" s="273"/>
      <c r="AW807" s="273"/>
      <c r="AX807" s="273"/>
      <c r="AY807" s="273"/>
      <c r="AZ807" s="273"/>
      <c r="BA807" s="273"/>
      <c r="BB807" s="273"/>
      <c r="BC807" s="273"/>
      <c r="BD807" s="273"/>
      <c r="BE807" s="273"/>
      <c r="BF807" s="273"/>
      <c r="BG807" s="273"/>
      <c r="BH807" s="273"/>
      <c r="BI807" s="273"/>
      <c r="BJ807" s="273"/>
      <c r="BK807" s="273"/>
      <c r="BL807" s="273"/>
      <c r="BM807" s="273"/>
      <c r="BN807" s="273"/>
      <c r="BO807" s="273"/>
      <c r="BP807" s="273"/>
      <c r="BQ807" s="273"/>
      <c r="BR807" s="273"/>
      <c r="BS807" s="273"/>
      <c r="BT807" s="273"/>
      <c r="BU807" s="273"/>
      <c r="BV807" s="273"/>
      <c r="BW807" s="273"/>
      <c r="BX807" s="273"/>
      <c r="BY807" s="273"/>
      <c r="BZ807" s="273"/>
      <c r="CA807" s="273"/>
      <c r="CB807" s="273"/>
      <c r="CC807" s="273"/>
      <c r="CD807" s="273"/>
      <c r="CE807" s="273"/>
    </row>
    <row r="808" spans="1:83" ht="12.6" customHeight="1" x14ac:dyDescent="0.25">
      <c r="A808" s="207" t="str">
        <f>RIGHT($C$83,3)&amp;"*"&amp;RIGHT($C$82,4)&amp;"*"&amp;BY$55&amp;"*"&amp;"A"</f>
        <v>209*2018*8720*A</v>
      </c>
      <c r="B808" s="272"/>
      <c r="C808" s="274">
        <f>ROUND(BY60,2)</f>
        <v>12.19</v>
      </c>
      <c r="D808" s="272">
        <f>ROUND(BY61,0)</f>
        <v>1063732</v>
      </c>
      <c r="E808" s="272">
        <f>ROUND(BY62,0)</f>
        <v>241903</v>
      </c>
      <c r="F808" s="272">
        <f>ROUND(BY63,0)</f>
        <v>0</v>
      </c>
      <c r="G808" s="272">
        <f>ROUND(BY64,0)</f>
        <v>1498</v>
      </c>
      <c r="H808" s="272">
        <f>ROUND(BY65,0)</f>
        <v>612</v>
      </c>
      <c r="I808" s="272">
        <f>ROUND(BY66,0)</f>
        <v>117456</v>
      </c>
      <c r="J808" s="272">
        <f>ROUND(BY67,0)</f>
        <v>3142</v>
      </c>
      <c r="K808" s="272">
        <f>ROUND(BY68,0)</f>
        <v>662</v>
      </c>
      <c r="L808" s="272">
        <f>ROUND(BY69,0)</f>
        <v>203</v>
      </c>
      <c r="M808" s="272">
        <f>ROUND(BY70,0)</f>
        <v>0</v>
      </c>
      <c r="N808" s="272"/>
      <c r="O808" s="272"/>
      <c r="P808" s="272">
        <f>IF(BY76&gt;0,ROUND(BY76,0),0)</f>
        <v>140</v>
      </c>
      <c r="Q808" s="272">
        <f>IF(BY77&gt;0,ROUND(BY77,0),0)</f>
        <v>0</v>
      </c>
      <c r="R808" s="272">
        <f>IF(BY78&gt;0,ROUND(BY78,0),0)</f>
        <v>44</v>
      </c>
      <c r="S808" s="272">
        <f>IF(BY79&gt;0,ROUND(BY79,0),0)</f>
        <v>0</v>
      </c>
      <c r="T808" s="274">
        <f>IF(BY80&gt;0,ROUND(BY80,2),0)</f>
        <v>0</v>
      </c>
      <c r="U808" s="272"/>
      <c r="V808" s="273"/>
      <c r="W808" s="272"/>
      <c r="X808" s="272"/>
      <c r="Y808" s="272"/>
      <c r="Z808" s="273"/>
      <c r="AA808" s="273"/>
      <c r="AB808" s="273"/>
      <c r="AC808" s="273"/>
      <c r="AD808" s="273"/>
      <c r="AE808" s="273"/>
      <c r="AF808" s="273"/>
      <c r="AG808" s="273"/>
      <c r="AH808" s="273"/>
      <c r="AI808" s="273"/>
      <c r="AJ808" s="273"/>
      <c r="AK808" s="273"/>
      <c r="AL808" s="273"/>
      <c r="AM808" s="273"/>
      <c r="AN808" s="273"/>
      <c r="AO808" s="273"/>
      <c r="AP808" s="273"/>
      <c r="AQ808" s="273"/>
      <c r="AR808" s="273"/>
      <c r="AS808" s="273"/>
      <c r="AT808" s="273"/>
      <c r="AU808" s="273"/>
      <c r="AV808" s="273"/>
      <c r="AW808" s="273"/>
      <c r="AX808" s="273"/>
      <c r="AY808" s="273"/>
      <c r="AZ808" s="273"/>
      <c r="BA808" s="273"/>
      <c r="BB808" s="273"/>
      <c r="BC808" s="273"/>
      <c r="BD808" s="273"/>
      <c r="BE808" s="273"/>
      <c r="BF808" s="273"/>
      <c r="BG808" s="273"/>
      <c r="BH808" s="273"/>
      <c r="BI808" s="273"/>
      <c r="BJ808" s="273"/>
      <c r="BK808" s="273"/>
      <c r="BL808" s="273"/>
      <c r="BM808" s="273"/>
      <c r="BN808" s="273"/>
      <c r="BO808" s="273"/>
      <c r="BP808" s="273"/>
      <c r="BQ808" s="273"/>
      <c r="BR808" s="273"/>
      <c r="BS808" s="273"/>
      <c r="BT808" s="273"/>
      <c r="BU808" s="273"/>
      <c r="BV808" s="273"/>
      <c r="BW808" s="273"/>
      <c r="BX808" s="273"/>
      <c r="BY808" s="273"/>
      <c r="BZ808" s="273"/>
      <c r="CA808" s="273"/>
      <c r="CB808" s="273"/>
      <c r="CC808" s="273"/>
      <c r="CD808" s="273"/>
      <c r="CE808" s="273"/>
    </row>
    <row r="809" spans="1:83" ht="12.6" customHeight="1" x14ac:dyDescent="0.25">
      <c r="A809" s="207" t="str">
        <f>RIGHT($C$83,3)&amp;"*"&amp;RIGHT($C$82,4)&amp;"*"&amp;BZ$55&amp;"*"&amp;"A"</f>
        <v>209*2018*8730*A</v>
      </c>
      <c r="B809" s="272"/>
      <c r="C809" s="274">
        <f>ROUND(BZ60,2)</f>
        <v>0</v>
      </c>
      <c r="D809" s="272">
        <f>ROUND(BZ61,0)</f>
        <v>0</v>
      </c>
      <c r="E809" s="272">
        <f>ROUND(BZ62,0)</f>
        <v>0</v>
      </c>
      <c r="F809" s="272">
        <f>ROUND(BZ63,0)</f>
        <v>0</v>
      </c>
      <c r="G809" s="272">
        <f>ROUND(BZ64,0)</f>
        <v>0</v>
      </c>
      <c r="H809" s="272">
        <f>ROUND(BZ65,0)</f>
        <v>0</v>
      </c>
      <c r="I809" s="272">
        <f>ROUND(BZ66,0)</f>
        <v>0</v>
      </c>
      <c r="J809" s="272">
        <f>ROUND(BZ67,0)</f>
        <v>0</v>
      </c>
      <c r="K809" s="272">
        <f>ROUND(BZ68,0)</f>
        <v>0</v>
      </c>
      <c r="L809" s="272">
        <f>ROUND(BZ69,0)</f>
        <v>0</v>
      </c>
      <c r="M809" s="272">
        <f>ROUND(BZ70,0)</f>
        <v>0</v>
      </c>
      <c r="N809" s="272"/>
      <c r="O809" s="272"/>
      <c r="P809" s="272">
        <f>IF(BZ76&gt;0,ROUND(BZ76,0),0)</f>
        <v>0</v>
      </c>
      <c r="Q809" s="272">
        <f>IF(BZ77&gt;0,ROUND(BZ77,0),0)</f>
        <v>0</v>
      </c>
      <c r="R809" s="272">
        <f>IF(BZ78&gt;0,ROUND(BZ78,0),0)</f>
        <v>0</v>
      </c>
      <c r="S809" s="272">
        <f>IF(BZ79&gt;0,ROUND(BZ79,0),0)</f>
        <v>0</v>
      </c>
      <c r="T809" s="274">
        <f>IF(BZ80&gt;0,ROUND(BZ80,2),0)</f>
        <v>0</v>
      </c>
      <c r="U809" s="272"/>
      <c r="V809" s="273"/>
      <c r="W809" s="272"/>
      <c r="X809" s="272"/>
      <c r="Y809" s="272"/>
      <c r="Z809" s="273"/>
      <c r="AA809" s="273"/>
      <c r="AB809" s="273"/>
      <c r="AC809" s="273"/>
      <c r="AD809" s="273"/>
      <c r="AE809" s="273"/>
      <c r="AF809" s="273"/>
      <c r="AG809" s="273"/>
      <c r="AH809" s="273"/>
      <c r="AI809" s="273"/>
      <c r="AJ809" s="273"/>
      <c r="AK809" s="273"/>
      <c r="AL809" s="273"/>
      <c r="AM809" s="273"/>
      <c r="AN809" s="273"/>
      <c r="AO809" s="273"/>
      <c r="AP809" s="273"/>
      <c r="AQ809" s="273"/>
      <c r="AR809" s="273"/>
      <c r="AS809" s="273"/>
      <c r="AT809" s="273"/>
      <c r="AU809" s="273"/>
      <c r="AV809" s="273"/>
      <c r="AW809" s="273"/>
      <c r="AX809" s="273"/>
      <c r="AY809" s="273"/>
      <c r="AZ809" s="273"/>
      <c r="BA809" s="273"/>
      <c r="BB809" s="273"/>
      <c r="BC809" s="273"/>
      <c r="BD809" s="273"/>
      <c r="BE809" s="273"/>
      <c r="BF809" s="273"/>
      <c r="BG809" s="273"/>
      <c r="BH809" s="273"/>
      <c r="BI809" s="273"/>
      <c r="BJ809" s="273"/>
      <c r="BK809" s="273"/>
      <c r="BL809" s="273"/>
      <c r="BM809" s="273"/>
      <c r="BN809" s="273"/>
      <c r="BO809" s="273"/>
      <c r="BP809" s="273"/>
      <c r="BQ809" s="273"/>
      <c r="BR809" s="273"/>
      <c r="BS809" s="273"/>
      <c r="BT809" s="273"/>
      <c r="BU809" s="273"/>
      <c r="BV809" s="273"/>
      <c r="BW809" s="273"/>
      <c r="BX809" s="273"/>
      <c r="BY809" s="273"/>
      <c r="BZ809" s="273"/>
      <c r="CA809" s="273"/>
      <c r="CB809" s="273"/>
      <c r="CC809" s="273"/>
      <c r="CD809" s="273"/>
      <c r="CE809" s="273"/>
    </row>
    <row r="810" spans="1:83" ht="12.6" customHeight="1" x14ac:dyDescent="0.25">
      <c r="A810" s="207" t="str">
        <f>RIGHT($C$83,3)&amp;"*"&amp;RIGHT($C$82,4)&amp;"*"&amp;CA$55&amp;"*"&amp;"A"</f>
        <v>209*2018*8740*A</v>
      </c>
      <c r="B810" s="272"/>
      <c r="C810" s="274">
        <f>ROUND(CA60,2)</f>
        <v>0</v>
      </c>
      <c r="D810" s="272">
        <f>ROUND(CA61,0)</f>
        <v>147132</v>
      </c>
      <c r="E810" s="272">
        <f>ROUND(CA62,0)</f>
        <v>32490</v>
      </c>
      <c r="F810" s="272">
        <f>ROUND(CA63,0)</f>
        <v>0</v>
      </c>
      <c r="G810" s="272">
        <f>ROUND(CA64,0)</f>
        <v>0</v>
      </c>
      <c r="H810" s="272">
        <f>ROUND(CA65,0)</f>
        <v>0</v>
      </c>
      <c r="I810" s="272">
        <f>ROUND(CA66,0)</f>
        <v>287197</v>
      </c>
      <c r="J810" s="272">
        <f>ROUND(CA67,0)</f>
        <v>0</v>
      </c>
      <c r="K810" s="272">
        <f>ROUND(CA68,0)</f>
        <v>0</v>
      </c>
      <c r="L810" s="272">
        <f>ROUND(CA69,0)</f>
        <v>488</v>
      </c>
      <c r="M810" s="272">
        <f>ROUND(CA70,0)</f>
        <v>0</v>
      </c>
      <c r="N810" s="272"/>
      <c r="O810" s="272"/>
      <c r="P810" s="272">
        <f>IF(CA76&gt;0,ROUND(CA76,0),0)</f>
        <v>0</v>
      </c>
      <c r="Q810" s="272">
        <f>IF(CA77&gt;0,ROUND(CA77,0),0)</f>
        <v>0</v>
      </c>
      <c r="R810" s="272">
        <f>IF(CA78&gt;0,ROUND(CA78,0),0)</f>
        <v>0</v>
      </c>
      <c r="S810" s="272">
        <f>IF(CA79&gt;0,ROUND(CA79,0),0)</f>
        <v>0</v>
      </c>
      <c r="T810" s="274">
        <f>IF(CA80&gt;0,ROUND(CA80,2),0)</f>
        <v>0</v>
      </c>
      <c r="U810" s="272"/>
      <c r="V810" s="273"/>
      <c r="W810" s="272"/>
      <c r="X810" s="272"/>
      <c r="Y810" s="272"/>
      <c r="Z810" s="273"/>
      <c r="AA810" s="273"/>
      <c r="AB810" s="273"/>
      <c r="AC810" s="273"/>
      <c r="AD810" s="273"/>
      <c r="AE810" s="273"/>
      <c r="AF810" s="273"/>
      <c r="AG810" s="273"/>
      <c r="AH810" s="273"/>
      <c r="AI810" s="273"/>
      <c r="AJ810" s="273"/>
      <c r="AK810" s="273"/>
      <c r="AL810" s="273"/>
      <c r="AM810" s="273"/>
      <c r="AN810" s="273"/>
      <c r="AO810" s="273"/>
      <c r="AP810" s="273"/>
      <c r="AQ810" s="273"/>
      <c r="AR810" s="273"/>
      <c r="AS810" s="273"/>
      <c r="AT810" s="273"/>
      <c r="AU810" s="273"/>
      <c r="AV810" s="273"/>
      <c r="AW810" s="273"/>
      <c r="AX810" s="273"/>
      <c r="AY810" s="273"/>
      <c r="AZ810" s="273"/>
      <c r="BA810" s="273"/>
      <c r="BB810" s="273"/>
      <c r="BC810" s="273"/>
      <c r="BD810" s="273"/>
      <c r="BE810" s="273"/>
      <c r="BF810" s="273"/>
      <c r="BG810" s="273"/>
      <c r="BH810" s="273"/>
      <c r="BI810" s="273"/>
      <c r="BJ810" s="273"/>
      <c r="BK810" s="273"/>
      <c r="BL810" s="273"/>
      <c r="BM810" s="273"/>
      <c r="BN810" s="273"/>
      <c r="BO810" s="273"/>
      <c r="BP810" s="273"/>
      <c r="BQ810" s="273"/>
      <c r="BR810" s="273"/>
      <c r="BS810" s="273"/>
      <c r="BT810" s="273"/>
      <c r="BU810" s="273"/>
      <c r="BV810" s="273"/>
      <c r="BW810" s="273"/>
      <c r="BX810" s="273"/>
      <c r="BY810" s="273"/>
      <c r="BZ810" s="273"/>
      <c r="CA810" s="273"/>
      <c r="CB810" s="273"/>
      <c r="CC810" s="273"/>
      <c r="CD810" s="273"/>
      <c r="CE810" s="273"/>
    </row>
    <row r="811" spans="1:83" ht="12.6" customHeight="1" x14ac:dyDescent="0.25">
      <c r="A811" s="207" t="str">
        <f>RIGHT($C$83,3)&amp;"*"&amp;RIGHT($C$82,4)&amp;"*"&amp;CB$55&amp;"*"&amp;"A"</f>
        <v>209*2018*8770*A</v>
      </c>
      <c r="B811" s="272"/>
      <c r="C811" s="274">
        <f>ROUND(CB60,2)</f>
        <v>0</v>
      </c>
      <c r="D811" s="272">
        <f>ROUND(CB61,0)</f>
        <v>0</v>
      </c>
      <c r="E811" s="272">
        <f>ROUND(CB62,0)</f>
        <v>0</v>
      </c>
      <c r="F811" s="272">
        <f>ROUND(CB63,0)</f>
        <v>0</v>
      </c>
      <c r="G811" s="272">
        <f>ROUND(CB64,0)</f>
        <v>0</v>
      </c>
      <c r="H811" s="272">
        <f>ROUND(CB65,0)</f>
        <v>0</v>
      </c>
      <c r="I811" s="272">
        <f>ROUND(CB66,0)</f>
        <v>29312</v>
      </c>
      <c r="J811" s="272">
        <f>ROUND(CB67,0)</f>
        <v>0</v>
      </c>
      <c r="K811" s="272">
        <f>ROUND(CB68,0)</f>
        <v>0</v>
      </c>
      <c r="L811" s="272">
        <f>ROUND(CB69,0)</f>
        <v>0</v>
      </c>
      <c r="M811" s="272">
        <f>ROUND(CB70,0)</f>
        <v>0</v>
      </c>
      <c r="N811" s="272"/>
      <c r="O811" s="272"/>
      <c r="P811" s="272">
        <f>IF(CB76&gt;0,ROUND(CB76,0),0)</f>
        <v>0</v>
      </c>
      <c r="Q811" s="272">
        <f>IF(CB77&gt;0,ROUND(CB77,0),0)</f>
        <v>0</v>
      </c>
      <c r="R811" s="272">
        <f>IF(CB78&gt;0,ROUND(CB78,0),0)</f>
        <v>0</v>
      </c>
      <c r="S811" s="272">
        <f>IF(CB79&gt;0,ROUND(CB79,0),0)</f>
        <v>0</v>
      </c>
      <c r="T811" s="274">
        <f>IF(CB80&gt;0,ROUND(CB80,2),0)</f>
        <v>0</v>
      </c>
      <c r="U811" s="272"/>
      <c r="V811" s="273"/>
      <c r="W811" s="272"/>
      <c r="X811" s="272"/>
      <c r="Y811" s="272"/>
      <c r="Z811" s="273"/>
      <c r="AA811" s="273"/>
      <c r="AB811" s="273"/>
      <c r="AC811" s="273"/>
      <c r="AD811" s="273"/>
      <c r="AE811" s="273"/>
      <c r="AF811" s="273"/>
      <c r="AG811" s="273"/>
      <c r="AH811" s="273"/>
      <c r="AI811" s="273"/>
      <c r="AJ811" s="273"/>
      <c r="AK811" s="273"/>
      <c r="AL811" s="273"/>
      <c r="AM811" s="273"/>
      <c r="AN811" s="273"/>
      <c r="AO811" s="273"/>
      <c r="AP811" s="273"/>
      <c r="AQ811" s="273"/>
      <c r="AR811" s="273"/>
      <c r="AS811" s="273"/>
      <c r="AT811" s="273"/>
      <c r="AU811" s="273"/>
      <c r="AV811" s="273"/>
      <c r="AW811" s="273"/>
      <c r="AX811" s="273"/>
      <c r="AY811" s="273"/>
      <c r="AZ811" s="273"/>
      <c r="BA811" s="273"/>
      <c r="BB811" s="273"/>
      <c r="BC811" s="273"/>
      <c r="BD811" s="273"/>
      <c r="BE811" s="273"/>
      <c r="BF811" s="273"/>
      <c r="BG811" s="273"/>
      <c r="BH811" s="273"/>
      <c r="BI811" s="273"/>
      <c r="BJ811" s="273"/>
      <c r="BK811" s="273"/>
      <c r="BL811" s="273"/>
      <c r="BM811" s="273"/>
      <c r="BN811" s="273"/>
      <c r="BO811" s="273"/>
      <c r="BP811" s="273"/>
      <c r="BQ811" s="273"/>
      <c r="BR811" s="273"/>
      <c r="BS811" s="273"/>
      <c r="BT811" s="273"/>
      <c r="BU811" s="273"/>
      <c r="BV811" s="273"/>
      <c r="BW811" s="273"/>
      <c r="BX811" s="273"/>
      <c r="BY811" s="273"/>
      <c r="BZ811" s="273"/>
      <c r="CA811" s="273"/>
      <c r="CB811" s="273"/>
      <c r="CC811" s="273"/>
      <c r="CD811" s="273"/>
      <c r="CE811" s="273"/>
    </row>
    <row r="812" spans="1:83" ht="12.6" customHeight="1" x14ac:dyDescent="0.25">
      <c r="A812" s="207" t="str">
        <f>RIGHT($C$83,3)&amp;"*"&amp;RIGHT($C$82,4)&amp;"*"&amp;CC$55&amp;"*"&amp;"A"</f>
        <v>209*2018*8790*A</v>
      </c>
      <c r="B812" s="272"/>
      <c r="C812" s="274">
        <f>ROUND(CC60,2)</f>
        <v>0</v>
      </c>
      <c r="D812" s="272">
        <f>ROUND(CC61,0)</f>
        <v>63482</v>
      </c>
      <c r="E812" s="272">
        <f>ROUND(CC62,0)</f>
        <v>2248</v>
      </c>
      <c r="F812" s="272">
        <f>ROUND(CC63,0)</f>
        <v>0</v>
      </c>
      <c r="G812" s="272">
        <f>ROUND(CC64,0)</f>
        <v>-32105</v>
      </c>
      <c r="H812" s="272">
        <f>ROUND(CC65,0)</f>
        <v>0</v>
      </c>
      <c r="I812" s="272">
        <f>ROUND(CC66,0)</f>
        <v>8792070</v>
      </c>
      <c r="J812" s="272">
        <f>ROUND(CC67,0)</f>
        <v>0</v>
      </c>
      <c r="K812" s="272">
        <f>ROUND(CC68,0)</f>
        <v>108935</v>
      </c>
      <c r="L812" s="272">
        <f>ROUND(CC69,0)</f>
        <v>3714</v>
      </c>
      <c r="M812" s="272">
        <f>ROUND(CC70,0)</f>
        <v>0</v>
      </c>
      <c r="N812" s="272"/>
      <c r="O812" s="272"/>
      <c r="P812" s="272">
        <f>IF(CC76&gt;0,ROUND(CC76,0),0)</f>
        <v>0</v>
      </c>
      <c r="Q812" s="272">
        <f>IF(CC77&gt;0,ROUND(CC77,0),0)</f>
        <v>0</v>
      </c>
      <c r="R812" s="272">
        <f>IF(CC78&gt;0,ROUND(CC78,0),0)</f>
        <v>0</v>
      </c>
      <c r="S812" s="272">
        <f>IF(CC79&gt;0,ROUND(CC79,0),0)</f>
        <v>0</v>
      </c>
      <c r="T812" s="274">
        <f>IF(CC80&gt;0,ROUND(CC80,2),0)</f>
        <v>0</v>
      </c>
      <c r="U812" s="272"/>
      <c r="V812" s="273"/>
      <c r="W812" s="272"/>
      <c r="X812" s="272"/>
      <c r="Y812" s="272"/>
      <c r="Z812" s="273"/>
      <c r="AA812" s="273"/>
      <c r="AB812" s="273"/>
      <c r="AC812" s="273"/>
      <c r="AD812" s="273"/>
      <c r="AE812" s="273"/>
      <c r="AF812" s="273"/>
      <c r="AG812" s="273"/>
      <c r="AH812" s="273"/>
      <c r="AI812" s="273"/>
      <c r="AJ812" s="273"/>
      <c r="AK812" s="273"/>
      <c r="AL812" s="273"/>
      <c r="AM812" s="273"/>
      <c r="AN812" s="273"/>
      <c r="AO812" s="273"/>
      <c r="AP812" s="273"/>
      <c r="AQ812" s="273"/>
      <c r="AR812" s="273"/>
      <c r="AS812" s="273"/>
      <c r="AT812" s="273"/>
      <c r="AU812" s="273"/>
      <c r="AV812" s="273"/>
      <c r="AW812" s="273"/>
      <c r="AX812" s="273"/>
      <c r="AY812" s="273"/>
      <c r="AZ812" s="273"/>
      <c r="BA812" s="273"/>
      <c r="BB812" s="273"/>
      <c r="BC812" s="273"/>
      <c r="BD812" s="273"/>
      <c r="BE812" s="273"/>
      <c r="BF812" s="273"/>
      <c r="BG812" s="273"/>
      <c r="BH812" s="273"/>
      <c r="BI812" s="273"/>
      <c r="BJ812" s="273"/>
      <c r="BK812" s="273"/>
      <c r="BL812" s="273"/>
      <c r="BM812" s="273"/>
      <c r="BN812" s="273"/>
      <c r="BO812" s="273"/>
      <c r="BP812" s="273"/>
      <c r="BQ812" s="273"/>
      <c r="BR812" s="273"/>
      <c r="BS812" s="273"/>
      <c r="BT812" s="273"/>
      <c r="BU812" s="273"/>
      <c r="BV812" s="273"/>
      <c r="BW812" s="273"/>
      <c r="BX812" s="273"/>
      <c r="BY812" s="273"/>
      <c r="BZ812" s="273"/>
      <c r="CA812" s="273"/>
      <c r="CB812" s="273"/>
      <c r="CC812" s="273"/>
      <c r="CD812" s="273"/>
      <c r="CE812" s="273"/>
    </row>
    <row r="813" spans="1:83" ht="12.6" customHeight="1" x14ac:dyDescent="0.25">
      <c r="A813" s="207" t="str">
        <f>RIGHT($C$83,3)&amp;"*"&amp;RIGHT($C$82,4)&amp;"*"&amp;"9000"&amp;"*"&amp;"A"</f>
        <v>209*2018*9000*A</v>
      </c>
      <c r="B813" s="272"/>
      <c r="C813" s="275"/>
      <c r="D813" s="272"/>
      <c r="E813" s="272"/>
      <c r="F813" s="272"/>
      <c r="G813" s="272"/>
      <c r="H813" s="272"/>
      <c r="I813" s="272"/>
      <c r="J813" s="272"/>
      <c r="K813" s="272"/>
      <c r="L813" s="272"/>
      <c r="M813" s="272"/>
      <c r="N813" s="272"/>
      <c r="O813" s="272"/>
      <c r="P813" s="272"/>
      <c r="Q813" s="272"/>
      <c r="R813" s="272"/>
      <c r="S813" s="272"/>
      <c r="T813" s="275"/>
      <c r="U813" s="272">
        <f>ROUND(CD69,0)</f>
        <v>8331210</v>
      </c>
      <c r="V813" s="273">
        <f>ROUND(CD70,0)</f>
        <v>259167</v>
      </c>
      <c r="W813" s="272">
        <f>ROUND(CE72,0)</f>
        <v>0</v>
      </c>
      <c r="X813" s="272">
        <f>ROUND(C131,0)</f>
        <v>0</v>
      </c>
      <c r="Y813" s="272"/>
      <c r="Z813" s="273"/>
      <c r="AA813" s="273"/>
      <c r="AB813" s="273"/>
      <c r="AC813" s="273"/>
      <c r="AD813" s="273"/>
      <c r="AE813" s="273"/>
      <c r="AF813" s="273"/>
      <c r="AG813" s="273"/>
      <c r="AH813" s="273"/>
      <c r="AI813" s="273"/>
      <c r="AJ813" s="273"/>
      <c r="AK813" s="273"/>
      <c r="AL813" s="273"/>
      <c r="AM813" s="273"/>
      <c r="AN813" s="273"/>
      <c r="AO813" s="273"/>
      <c r="AP813" s="273"/>
      <c r="AQ813" s="273"/>
      <c r="AR813" s="273"/>
      <c r="AS813" s="273"/>
      <c r="AT813" s="273"/>
      <c r="AU813" s="273"/>
      <c r="AV813" s="273"/>
      <c r="AW813" s="273"/>
      <c r="AX813" s="273"/>
      <c r="AY813" s="273"/>
      <c r="AZ813" s="273"/>
      <c r="BA813" s="273"/>
      <c r="BB813" s="273"/>
      <c r="BC813" s="273"/>
      <c r="BD813" s="273"/>
      <c r="BE813" s="273"/>
      <c r="BF813" s="273"/>
      <c r="BG813" s="273"/>
      <c r="BH813" s="273"/>
      <c r="BI813" s="273"/>
      <c r="BJ813" s="273"/>
      <c r="BK813" s="273"/>
      <c r="BL813" s="273"/>
      <c r="BM813" s="273"/>
      <c r="BN813" s="273"/>
      <c r="BO813" s="273"/>
      <c r="BP813" s="273"/>
      <c r="BQ813" s="273"/>
      <c r="BR813" s="273"/>
      <c r="BS813" s="273"/>
      <c r="BT813" s="273"/>
      <c r="BU813" s="273"/>
      <c r="BV813" s="273"/>
      <c r="BW813" s="273"/>
      <c r="BX813" s="273"/>
      <c r="BY813" s="273"/>
      <c r="BZ813" s="273"/>
      <c r="CA813" s="273"/>
      <c r="CB813" s="273"/>
      <c r="CC813" s="273"/>
      <c r="CD813" s="273"/>
      <c r="CE813" s="273"/>
    </row>
    <row r="814" spans="1:83" ht="12.6" customHeight="1" x14ac:dyDescent="0.25">
      <c r="B814" s="273"/>
      <c r="C814" s="273"/>
      <c r="D814" s="273"/>
      <c r="E814" s="273"/>
      <c r="F814" s="273"/>
      <c r="G814" s="273"/>
      <c r="H814" s="273"/>
      <c r="I814" s="273"/>
      <c r="J814" s="273"/>
      <c r="K814" s="273"/>
      <c r="L814" s="273"/>
      <c r="M814" s="273"/>
      <c r="N814" s="273"/>
      <c r="O814" s="273"/>
      <c r="P814" s="273"/>
      <c r="Q814" s="273"/>
      <c r="R814" s="273"/>
      <c r="S814" s="273"/>
      <c r="T814" s="273"/>
      <c r="U814" s="273"/>
      <c r="V814" s="273"/>
      <c r="W814" s="273"/>
      <c r="X814" s="273"/>
      <c r="Y814" s="273"/>
      <c r="Z814" s="273"/>
      <c r="AA814" s="273"/>
      <c r="AB814" s="273"/>
      <c r="AC814" s="273"/>
      <c r="AD814" s="273"/>
      <c r="AE814" s="273"/>
      <c r="AF814" s="273"/>
      <c r="AG814" s="273"/>
      <c r="AH814" s="273"/>
      <c r="AI814" s="273"/>
      <c r="AJ814" s="273"/>
      <c r="AK814" s="273"/>
      <c r="AL814" s="273"/>
      <c r="AM814" s="273"/>
      <c r="AN814" s="273"/>
      <c r="AO814" s="273"/>
      <c r="AP814" s="273"/>
      <c r="AQ814" s="273"/>
      <c r="AR814" s="273"/>
      <c r="AS814" s="273"/>
      <c r="AT814" s="273"/>
      <c r="AU814" s="273"/>
      <c r="AV814" s="273"/>
      <c r="AW814" s="273"/>
      <c r="AX814" s="273"/>
      <c r="AY814" s="273"/>
      <c r="AZ814" s="273"/>
      <c r="BA814" s="273"/>
      <c r="BB814" s="273"/>
      <c r="BC814" s="273"/>
      <c r="BD814" s="273"/>
      <c r="BE814" s="273"/>
      <c r="BF814" s="273"/>
      <c r="BG814" s="273"/>
      <c r="BH814" s="273"/>
      <c r="BI814" s="273"/>
      <c r="BJ814" s="273"/>
      <c r="BK814" s="273"/>
      <c r="BL814" s="273"/>
      <c r="BM814" s="273"/>
      <c r="BN814" s="273"/>
      <c r="BO814" s="273"/>
      <c r="BP814" s="273"/>
      <c r="BQ814" s="273"/>
      <c r="BR814" s="273"/>
      <c r="BS814" s="273"/>
      <c r="BT814" s="273"/>
      <c r="BU814" s="273"/>
      <c r="BV814" s="273"/>
      <c r="BW814" s="273"/>
      <c r="BX814" s="273"/>
      <c r="BY814" s="273"/>
      <c r="BZ814" s="273"/>
      <c r="CA814" s="273"/>
      <c r="CB814" s="273"/>
      <c r="CC814" s="273"/>
      <c r="CD814" s="273"/>
      <c r="CE814" s="273"/>
    </row>
    <row r="815" spans="1:83" ht="12.6" customHeight="1" x14ac:dyDescent="0.25">
      <c r="B815" s="276" t="s">
        <v>1004</v>
      </c>
      <c r="C815" s="277">
        <f t="shared" ref="C815:K815" si="22">SUM(C734:C813)</f>
        <v>506.06999999999982</v>
      </c>
      <c r="D815" s="273">
        <f t="shared" si="22"/>
        <v>41172953</v>
      </c>
      <c r="E815" s="273">
        <f t="shared" si="22"/>
        <v>10054048</v>
      </c>
      <c r="F815" s="273">
        <f t="shared" si="22"/>
        <v>4968301</v>
      </c>
      <c r="G815" s="273">
        <f t="shared" si="22"/>
        <v>23492855</v>
      </c>
      <c r="H815" s="273">
        <f t="shared" si="22"/>
        <v>1172903</v>
      </c>
      <c r="I815" s="273">
        <f t="shared" si="22"/>
        <v>31539416</v>
      </c>
      <c r="J815" s="273">
        <f t="shared" si="22"/>
        <v>10263583</v>
      </c>
      <c r="K815" s="273">
        <f t="shared" si="22"/>
        <v>1328729</v>
      </c>
      <c r="L815" s="273">
        <f>SUM(L734:L813)+SUM(U734:U813)</f>
        <v>12562221</v>
      </c>
      <c r="M815" s="273">
        <f>SUM(M734:M813)+SUM(V734:V813)</f>
        <v>6938218</v>
      </c>
      <c r="N815" s="273">
        <f t="shared" ref="N815:Y815" si="23">SUM(N734:N813)</f>
        <v>751598148</v>
      </c>
      <c r="O815" s="273">
        <f t="shared" si="23"/>
        <v>364609253</v>
      </c>
      <c r="P815" s="273">
        <f t="shared" si="23"/>
        <v>285856</v>
      </c>
      <c r="Q815" s="273">
        <f t="shared" si="23"/>
        <v>124575</v>
      </c>
      <c r="R815" s="273">
        <f t="shared" si="23"/>
        <v>50813</v>
      </c>
      <c r="S815" s="273">
        <f t="shared" si="23"/>
        <v>753494</v>
      </c>
      <c r="T815" s="277">
        <f t="shared" si="23"/>
        <v>176.59</v>
      </c>
      <c r="U815" s="273">
        <f t="shared" si="23"/>
        <v>8331210</v>
      </c>
      <c r="V815" s="273">
        <f t="shared" si="23"/>
        <v>259167</v>
      </c>
      <c r="W815" s="273">
        <f t="shared" si="23"/>
        <v>0</v>
      </c>
      <c r="X815" s="273">
        <f t="shared" si="23"/>
        <v>0</v>
      </c>
      <c r="Y815" s="273">
        <f t="shared" si="23"/>
        <v>44034822</v>
      </c>
      <c r="Z815" s="273"/>
      <c r="AA815" s="273"/>
      <c r="AB815" s="273"/>
      <c r="AC815" s="273"/>
      <c r="AD815" s="273"/>
      <c r="AE815" s="273"/>
      <c r="AF815" s="273"/>
      <c r="AG815" s="273"/>
      <c r="AH815" s="273"/>
      <c r="AI815" s="273"/>
      <c r="AJ815" s="273"/>
      <c r="AK815" s="273"/>
      <c r="AL815" s="273"/>
      <c r="AM815" s="273"/>
      <c r="AN815" s="273"/>
      <c r="AO815" s="273"/>
      <c r="AP815" s="273"/>
      <c r="AQ815" s="273"/>
      <c r="AR815" s="273"/>
      <c r="AS815" s="273"/>
      <c r="AT815" s="273"/>
      <c r="AU815" s="273"/>
      <c r="AV815" s="273"/>
      <c r="AW815" s="273"/>
      <c r="AX815" s="273"/>
      <c r="AY815" s="273"/>
      <c r="AZ815" s="273"/>
      <c r="BA815" s="273"/>
      <c r="BB815" s="273"/>
      <c r="BC815" s="273"/>
      <c r="BD815" s="273"/>
      <c r="BE815" s="273"/>
      <c r="BF815" s="273"/>
      <c r="BG815" s="273"/>
      <c r="BH815" s="273"/>
      <c r="BI815" s="273"/>
      <c r="BJ815" s="273"/>
      <c r="BK815" s="273"/>
      <c r="BL815" s="273"/>
      <c r="BM815" s="273"/>
      <c r="BN815" s="273"/>
      <c r="BO815" s="273"/>
      <c r="BP815" s="273"/>
      <c r="BQ815" s="273"/>
      <c r="BR815" s="273"/>
      <c r="BS815" s="273"/>
      <c r="BT815" s="273"/>
      <c r="BU815" s="273"/>
      <c r="BV815" s="273"/>
      <c r="BW815" s="273"/>
      <c r="BX815" s="273"/>
      <c r="BY815" s="273"/>
      <c r="BZ815" s="273"/>
      <c r="CA815" s="273"/>
      <c r="CB815" s="273"/>
      <c r="CC815" s="273"/>
      <c r="CD815" s="273"/>
      <c r="CE815" s="273"/>
    </row>
    <row r="816" spans="1:83" ht="12.6" customHeight="1" x14ac:dyDescent="0.25">
      <c r="B816" s="273" t="s">
        <v>1005</v>
      </c>
      <c r="C816" s="277">
        <f>CE60</f>
        <v>506.05747596153844</v>
      </c>
      <c r="D816" s="273">
        <f>CE61</f>
        <v>41172952.239999995</v>
      </c>
      <c r="E816" s="273">
        <f>CE62</f>
        <v>10054048</v>
      </c>
      <c r="F816" s="273">
        <f>CE63</f>
        <v>4968300.96</v>
      </c>
      <c r="G816" s="273">
        <f>CE64</f>
        <v>23492856.810000002</v>
      </c>
      <c r="H816" s="276">
        <f>CE65</f>
        <v>1172902.7400000002</v>
      </c>
      <c r="I816" s="276">
        <f>CE66</f>
        <v>31539414.306274876</v>
      </c>
      <c r="J816" s="276">
        <f>CE67</f>
        <v>10263583</v>
      </c>
      <c r="K816" s="276">
        <f>CE68</f>
        <v>1328727.0199999998</v>
      </c>
      <c r="L816" s="276">
        <f>CE69</f>
        <v>12562221.85</v>
      </c>
      <c r="M816" s="276">
        <f>CE70</f>
        <v>6938216.7499999981</v>
      </c>
      <c r="N816" s="273">
        <f>CE75</f>
        <v>751598146.78999984</v>
      </c>
      <c r="O816" s="273">
        <f>CE73</f>
        <v>364609253.81999993</v>
      </c>
      <c r="P816" s="273">
        <f>CE76</f>
        <v>285855.33891847613</v>
      </c>
      <c r="Q816" s="273">
        <f>CE77</f>
        <v>124575</v>
      </c>
      <c r="R816" s="273">
        <f>CE78</f>
        <v>50811.02</v>
      </c>
      <c r="S816" s="273">
        <f>CE79</f>
        <v>753494</v>
      </c>
      <c r="T816" s="277">
        <f>CE80</f>
        <v>176.59227884615379</v>
      </c>
      <c r="U816" s="273" t="s">
        <v>1006</v>
      </c>
      <c r="V816" s="273" t="s">
        <v>1006</v>
      </c>
      <c r="W816" s="273" t="s">
        <v>1006</v>
      </c>
      <c r="X816" s="273" t="s">
        <v>1006</v>
      </c>
      <c r="Y816" s="273">
        <f>M716</f>
        <v>44034822.927640088</v>
      </c>
      <c r="Z816" s="273"/>
      <c r="AA816" s="273"/>
      <c r="AB816" s="273"/>
      <c r="AC816" s="273"/>
      <c r="AD816" s="273"/>
      <c r="AE816" s="273"/>
      <c r="AF816" s="273"/>
      <c r="AG816" s="273"/>
      <c r="AH816" s="273"/>
      <c r="AI816" s="273"/>
      <c r="AJ816" s="273"/>
      <c r="AK816" s="273"/>
      <c r="AL816" s="273"/>
      <c r="AM816" s="273"/>
      <c r="AN816" s="273"/>
      <c r="AO816" s="273"/>
      <c r="AP816" s="273"/>
      <c r="AQ816" s="273"/>
      <c r="AR816" s="273"/>
      <c r="AS816" s="273"/>
      <c r="AT816" s="273"/>
      <c r="AU816" s="273"/>
      <c r="AV816" s="273"/>
      <c r="AW816" s="273"/>
      <c r="AX816" s="273"/>
      <c r="AY816" s="273"/>
      <c r="AZ816" s="273"/>
      <c r="BA816" s="273"/>
      <c r="BB816" s="273"/>
      <c r="BC816" s="273"/>
      <c r="BD816" s="273"/>
      <c r="BE816" s="273"/>
      <c r="BF816" s="273"/>
      <c r="BG816" s="273"/>
      <c r="BH816" s="273"/>
      <c r="BI816" s="273"/>
      <c r="BJ816" s="273"/>
      <c r="BK816" s="273"/>
      <c r="BL816" s="273"/>
      <c r="BM816" s="273"/>
      <c r="BN816" s="273"/>
      <c r="BO816" s="273"/>
      <c r="BP816" s="273"/>
      <c r="BQ816" s="273"/>
      <c r="BR816" s="273"/>
      <c r="BS816" s="273"/>
      <c r="BT816" s="273"/>
      <c r="BU816" s="273"/>
      <c r="BV816" s="273"/>
      <c r="BW816" s="273"/>
      <c r="BX816" s="273"/>
      <c r="BY816" s="273"/>
      <c r="BZ816" s="273"/>
      <c r="CA816" s="273"/>
      <c r="CB816" s="273"/>
      <c r="CC816" s="273"/>
      <c r="CD816" s="273"/>
      <c r="CE816" s="273"/>
    </row>
    <row r="817" spans="2:15" ht="12.6" customHeight="1" x14ac:dyDescent="0.25">
      <c r="B817" s="180" t="s">
        <v>471</v>
      </c>
      <c r="C817" s="197" t="s">
        <v>1007</v>
      </c>
      <c r="D817" s="180">
        <f>C378</f>
        <v>41172952.240000002</v>
      </c>
      <c r="E817" s="180">
        <f>C379</f>
        <v>10054047.83</v>
      </c>
      <c r="F817" s="180">
        <f>C380</f>
        <v>4968300.96</v>
      </c>
      <c r="G817" s="236">
        <f>C381</f>
        <v>23492856.809999999</v>
      </c>
      <c r="H817" s="236">
        <f>C382</f>
        <v>1172902.74</v>
      </c>
      <c r="I817" s="236">
        <f>C383</f>
        <v>31539414.300000001</v>
      </c>
      <c r="J817" s="236">
        <f>C384</f>
        <v>10263582.82</v>
      </c>
      <c r="K817" s="236">
        <f>C385</f>
        <v>1328727.02</v>
      </c>
      <c r="L817" s="236">
        <f>C386+C387+C388+C389</f>
        <v>12562221.850000001</v>
      </c>
      <c r="M817" s="236">
        <f>C370</f>
        <v>6938216.75</v>
      </c>
      <c r="N817" s="180">
        <f>D361</f>
        <v>751598146.78999996</v>
      </c>
      <c r="O817" s="180">
        <f>C359</f>
        <v>364609253.81999999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data</vt:lpstr>
      <vt:lpstr>SA Data</vt:lpstr>
      <vt:lpstr>orig 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St. Anthony Hospital Year End Report</dc:title>
  <dc:subject>2019 St. Anthony Hospital Year End Report</dc:subject>
  <dc:creator>Washington State Dept of Health - HSQA - Community Health Systems</dc:creator>
  <cp:keywords>hospital financial reports</cp:keywords>
  <cp:lastModifiedBy>Huyck, Randall  (DOH)</cp:lastModifiedBy>
  <cp:lastPrinted>2019-10-30T21:20:09Z</cp:lastPrinted>
  <dcterms:created xsi:type="dcterms:W3CDTF">1999-06-02T22:01:56Z</dcterms:created>
  <dcterms:modified xsi:type="dcterms:W3CDTF">2019-10-31T18:35:23Z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