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O817" i="10"/>
  <c r="J817" i="10"/>
  <c r="W815" i="10"/>
  <c r="V815" i="10"/>
  <c r="X813" i="10"/>
  <c r="X815" i="10" s="1"/>
  <c r="W813" i="10"/>
  <c r="V813" i="10"/>
  <c r="A813" i="10"/>
  <c r="T812" i="10"/>
  <c r="S812" i="10"/>
  <c r="R812" i="10"/>
  <c r="Q812" i="10"/>
  <c r="P812" i="10"/>
  <c r="M812" i="10"/>
  <c r="K812" i="10"/>
  <c r="H812" i="10"/>
  <c r="F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K810" i="10"/>
  <c r="I810" i="10"/>
  <c r="H810" i="10"/>
  <c r="F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K808" i="10"/>
  <c r="I808" i="10"/>
  <c r="H808" i="10"/>
  <c r="F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F807" i="10"/>
  <c r="C807" i="10"/>
  <c r="A807" i="10"/>
  <c r="T806" i="10"/>
  <c r="S806" i="10"/>
  <c r="R806" i="10"/>
  <c r="Q806" i="10"/>
  <c r="P806" i="10"/>
  <c r="M806" i="10"/>
  <c r="K806" i="10"/>
  <c r="H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F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K801" i="10"/>
  <c r="I801" i="10"/>
  <c r="H801" i="10"/>
  <c r="F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K799" i="10"/>
  <c r="I799" i="10"/>
  <c r="H799" i="10"/>
  <c r="F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I797" i="10"/>
  <c r="H797" i="10"/>
  <c r="F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F795" i="10"/>
  <c r="A795" i="10"/>
  <c r="T794" i="10"/>
  <c r="S794" i="10"/>
  <c r="R794" i="10"/>
  <c r="Q794" i="10"/>
  <c r="P794" i="10"/>
  <c r="M794" i="10"/>
  <c r="K794" i="10"/>
  <c r="I794" i="10"/>
  <c r="H794" i="10"/>
  <c r="F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F793" i="10"/>
  <c r="C793" i="10"/>
  <c r="A793" i="10"/>
  <c r="T792" i="10"/>
  <c r="S792" i="10"/>
  <c r="R792" i="10"/>
  <c r="Q792" i="10"/>
  <c r="P792" i="10"/>
  <c r="M792" i="10"/>
  <c r="K792" i="10"/>
  <c r="I792" i="10"/>
  <c r="H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K788" i="10"/>
  <c r="I788" i="10"/>
  <c r="H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K785" i="10"/>
  <c r="H785" i="10"/>
  <c r="F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K782" i="10"/>
  <c r="I782" i="10"/>
  <c r="H782" i="10"/>
  <c r="F782" i="10"/>
  <c r="C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K779" i="10"/>
  <c r="I779" i="10"/>
  <c r="H779" i="10"/>
  <c r="G779" i="10"/>
  <c r="F779" i="10"/>
  <c r="A779" i="10"/>
  <c r="T778" i="10"/>
  <c r="S778" i="10"/>
  <c r="R778" i="10"/>
  <c r="Q778" i="10"/>
  <c r="P778" i="10"/>
  <c r="O778" i="10"/>
  <c r="M778" i="10"/>
  <c r="K778" i="10"/>
  <c r="I778" i="10"/>
  <c r="F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K759" i="10"/>
  <c r="I759" i="10"/>
  <c r="H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P739" i="10"/>
  <c r="M739" i="10"/>
  <c r="K739" i="10"/>
  <c r="H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M815" i="10" s="1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B730" i="10"/>
  <c r="CA730" i="10"/>
  <c r="BY730" i="10"/>
  <c r="BW730" i="10"/>
  <c r="BP730" i="10"/>
  <c r="BM730" i="10"/>
  <c r="BK730" i="10"/>
  <c r="BJ730" i="10"/>
  <c r="BF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K730" i="10"/>
  <c r="AG730" i="10"/>
  <c r="AF730" i="10"/>
  <c r="AE730" i="10"/>
  <c r="AD730" i="10"/>
  <c r="AC730" i="10"/>
  <c r="AB730" i="10"/>
  <c r="Z730" i="10"/>
  <c r="Y730" i="10"/>
  <c r="X730" i="10"/>
  <c r="W730" i="10"/>
  <c r="V730" i="10"/>
  <c r="U730" i="10"/>
  <c r="T730" i="10"/>
  <c r="S730" i="10"/>
  <c r="R730" i="10"/>
  <c r="P730" i="10"/>
  <c r="O730" i="10"/>
  <c r="N730" i="10"/>
  <c r="M730" i="10"/>
  <c r="L730" i="10"/>
  <c r="K730" i="10"/>
  <c r="I730" i="10"/>
  <c r="H730" i="10"/>
  <c r="G730" i="10"/>
  <c r="C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E726" i="10"/>
  <c r="D726" i="10"/>
  <c r="C726" i="10"/>
  <c r="A726" i="10"/>
  <c r="CC722" i="10"/>
  <c r="CB722" i="10"/>
  <c r="CA722" i="10"/>
  <c r="BZ722" i="10"/>
  <c r="BX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P722" i="10"/>
  <c r="AO722" i="10"/>
  <c r="AN722" i="10"/>
  <c r="AM722" i="10"/>
  <c r="AL722" i="10"/>
  <c r="AK722" i="10"/>
  <c r="AJ722" i="10"/>
  <c r="AI722" i="10"/>
  <c r="AG722" i="10"/>
  <c r="AF722" i="10"/>
  <c r="AE722" i="10"/>
  <c r="AD722" i="10"/>
  <c r="AC722" i="10"/>
  <c r="AB722" i="10"/>
  <c r="AA722" i="10"/>
  <c r="Z722" i="10"/>
  <c r="X722" i="10"/>
  <c r="W722" i="10"/>
  <c r="V722" i="10"/>
  <c r="U722" i="10"/>
  <c r="T722" i="10"/>
  <c r="S722" i="10"/>
  <c r="R722" i="10"/>
  <c r="Q722" i="10"/>
  <c r="P722" i="10"/>
  <c r="O722" i="10"/>
  <c r="G722" i="10"/>
  <c r="A722" i="10"/>
  <c r="E550" i="10"/>
  <c r="E546" i="10"/>
  <c r="F546" i="10"/>
  <c r="E545" i="10"/>
  <c r="F544" i="10"/>
  <c r="E540" i="10"/>
  <c r="F540" i="10"/>
  <c r="H539" i="10"/>
  <c r="F539" i="10"/>
  <c r="E539" i="10"/>
  <c r="E538" i="10"/>
  <c r="H537" i="10"/>
  <c r="F537" i="10"/>
  <c r="E537" i="10"/>
  <c r="H536" i="10"/>
  <c r="E536" i="10"/>
  <c r="F536" i="10"/>
  <c r="E535" i="10"/>
  <c r="H535" i="10"/>
  <c r="H534" i="10"/>
  <c r="F534" i="10"/>
  <c r="E534" i="10"/>
  <c r="H533" i="10"/>
  <c r="E533" i="10"/>
  <c r="F533" i="10"/>
  <c r="E532" i="10"/>
  <c r="F532" i="10"/>
  <c r="H531" i="10"/>
  <c r="F531" i="10"/>
  <c r="E531" i="10"/>
  <c r="E530" i="10"/>
  <c r="H529" i="10"/>
  <c r="F529" i="10"/>
  <c r="E529" i="10"/>
  <c r="H528" i="10"/>
  <c r="E528" i="10"/>
  <c r="F528" i="10"/>
  <c r="E527" i="10"/>
  <c r="H527" i="10"/>
  <c r="F526" i="10"/>
  <c r="E526" i="10"/>
  <c r="H525" i="10"/>
  <c r="E525" i="10"/>
  <c r="F525" i="10"/>
  <c r="F524" i="10"/>
  <c r="E524" i="10"/>
  <c r="H524" i="10"/>
  <c r="H523" i="10"/>
  <c r="F523" i="10"/>
  <c r="E523" i="10"/>
  <c r="E522" i="10"/>
  <c r="F521" i="10"/>
  <c r="H520" i="10"/>
  <c r="F520" i="10"/>
  <c r="E520" i="10"/>
  <c r="H519" i="10"/>
  <c r="E519" i="10"/>
  <c r="F519" i="10"/>
  <c r="E518" i="10"/>
  <c r="F518" i="10"/>
  <c r="H517" i="10"/>
  <c r="F517" i="10"/>
  <c r="E517" i="10"/>
  <c r="E516" i="10"/>
  <c r="E515" i="10"/>
  <c r="F515" i="10"/>
  <c r="E514" i="10"/>
  <c r="F514" i="10"/>
  <c r="H513" i="10"/>
  <c r="H511" i="10"/>
  <c r="F511" i="10"/>
  <c r="E511" i="10"/>
  <c r="H510" i="10"/>
  <c r="E510" i="10"/>
  <c r="F510" i="10"/>
  <c r="E509" i="10"/>
  <c r="H509" i="10"/>
  <c r="H508" i="10"/>
  <c r="F508" i="10"/>
  <c r="E508" i="10"/>
  <c r="H507" i="10"/>
  <c r="E507" i="10"/>
  <c r="F507" i="10"/>
  <c r="F506" i="10"/>
  <c r="E506" i="10"/>
  <c r="H506" i="10"/>
  <c r="H505" i="10"/>
  <c r="F505" i="10"/>
  <c r="E505" i="10"/>
  <c r="E504" i="10"/>
  <c r="H503" i="10"/>
  <c r="F503" i="10"/>
  <c r="E503" i="10"/>
  <c r="H502" i="10"/>
  <c r="E502" i="10"/>
  <c r="F502" i="10"/>
  <c r="E501" i="10"/>
  <c r="H500" i="10"/>
  <c r="F500" i="10"/>
  <c r="E500" i="10"/>
  <c r="H499" i="10"/>
  <c r="E499" i="10"/>
  <c r="F499" i="10"/>
  <c r="F498" i="10"/>
  <c r="E498" i="10"/>
  <c r="H498" i="10"/>
  <c r="H497" i="10"/>
  <c r="F497" i="10"/>
  <c r="E497" i="10"/>
  <c r="E496" i="10"/>
  <c r="G493" i="10"/>
  <c r="E493" i="10"/>
  <c r="C493" i="10"/>
  <c r="A493" i="10"/>
  <c r="B478" i="10"/>
  <c r="B475" i="10"/>
  <c r="C474" i="10"/>
  <c r="B474" i="10"/>
  <c r="B473" i="10"/>
  <c r="B472" i="10"/>
  <c r="B471" i="10"/>
  <c r="B469" i="10"/>
  <c r="B468" i="10"/>
  <c r="B465" i="10"/>
  <c r="B464" i="10"/>
  <c r="B463" i="10"/>
  <c r="C459" i="10"/>
  <c r="B459" i="10"/>
  <c r="B455" i="10"/>
  <c r="B454" i="10"/>
  <c r="B453" i="10"/>
  <c r="C447" i="10"/>
  <c r="C446" i="10"/>
  <c r="C444" i="10"/>
  <c r="B439" i="10"/>
  <c r="B438" i="10"/>
  <c r="B437" i="10"/>
  <c r="B435" i="10"/>
  <c r="B433" i="10"/>
  <c r="D424" i="10"/>
  <c r="B424" i="10"/>
  <c r="B423" i="10"/>
  <c r="D421" i="10"/>
  <c r="C421" i="10"/>
  <c r="B421" i="10"/>
  <c r="B420" i="10"/>
  <c r="D418" i="10"/>
  <c r="B418" i="10"/>
  <c r="B417" i="10"/>
  <c r="D415" i="10"/>
  <c r="A412" i="10"/>
  <c r="C389" i="10"/>
  <c r="CC730" i="10" s="1"/>
  <c r="C387" i="10"/>
  <c r="B436" i="10" s="1"/>
  <c r="C385" i="10"/>
  <c r="B434" i="10" s="1"/>
  <c r="C383" i="10"/>
  <c r="B432" i="10" s="1"/>
  <c r="C382" i="10"/>
  <c r="C381" i="10"/>
  <c r="C380" i="10"/>
  <c r="C379" i="10"/>
  <c r="C378" i="10"/>
  <c r="C370" i="10"/>
  <c r="C366" i="10"/>
  <c r="BN730" i="10" s="1"/>
  <c r="C364" i="10"/>
  <c r="BL730" i="10" s="1"/>
  <c r="D361" i="10"/>
  <c r="N817" i="10" s="1"/>
  <c r="C337" i="10"/>
  <c r="BE730" i="10" s="1"/>
  <c r="D329" i="10"/>
  <c r="C327" i="10"/>
  <c r="D319" i="10"/>
  <c r="C307" i="10"/>
  <c r="AJ730" i="10" s="1"/>
  <c r="C306" i="10"/>
  <c r="AI730" i="10" s="1"/>
  <c r="C305" i="10"/>
  <c r="D290" i="10"/>
  <c r="D283" i="10"/>
  <c r="C281" i="10"/>
  <c r="AA730" i="10" s="1"/>
  <c r="C269" i="10"/>
  <c r="Q730" i="10" s="1"/>
  <c r="D265" i="10"/>
  <c r="C258" i="10"/>
  <c r="J730" i="10" s="1"/>
  <c r="C254" i="10"/>
  <c r="C253" i="10"/>
  <c r="E730" i="10" s="1"/>
  <c r="C252" i="10"/>
  <c r="D730" i="10" s="1"/>
  <c r="C250" i="10"/>
  <c r="B730" i="10" s="1"/>
  <c r="D240" i="10"/>
  <c r="B447" i="10" s="1"/>
  <c r="D236" i="10"/>
  <c r="B446" i="10" s="1"/>
  <c r="C228" i="10"/>
  <c r="BY722" i="10" s="1"/>
  <c r="C226" i="10"/>
  <c r="BW722" i="10" s="1"/>
  <c r="C225" i="10"/>
  <c r="BV722" i="10" s="1"/>
  <c r="C224" i="10"/>
  <c r="BU722" i="10" s="1"/>
  <c r="C223" i="10"/>
  <c r="BT722" i="10" s="1"/>
  <c r="D221" i="10"/>
  <c r="D217" i="10"/>
  <c r="C217" i="10"/>
  <c r="D433" i="10" s="1"/>
  <c r="B217" i="10"/>
  <c r="E216" i="10"/>
  <c r="E215" i="10"/>
  <c r="E214" i="10"/>
  <c r="E213" i="10"/>
  <c r="E212" i="10"/>
  <c r="E211" i="10"/>
  <c r="E210" i="10"/>
  <c r="E217" i="10" s="1"/>
  <c r="C478" i="10" s="1"/>
  <c r="E209" i="10"/>
  <c r="D204" i="10"/>
  <c r="B204" i="10"/>
  <c r="D203" i="10"/>
  <c r="AR722" i="10" s="1"/>
  <c r="C203" i="10"/>
  <c r="E202" i="10"/>
  <c r="E201" i="10"/>
  <c r="C200" i="10"/>
  <c r="AH722" i="10" s="1"/>
  <c r="E199" i="10"/>
  <c r="C472" i="10" s="1"/>
  <c r="E198" i="10"/>
  <c r="C471" i="10" s="1"/>
  <c r="C197" i="10"/>
  <c r="E196" i="10"/>
  <c r="C469" i="10" s="1"/>
  <c r="E195" i="10"/>
  <c r="D190" i="10"/>
  <c r="D437" i="10" s="1"/>
  <c r="C184" i="10"/>
  <c r="C183" i="10"/>
  <c r="M722" i="10" s="1"/>
  <c r="C180" i="10"/>
  <c r="L722" i="10" s="1"/>
  <c r="C179" i="10"/>
  <c r="K722" i="10" s="1"/>
  <c r="C176" i="10"/>
  <c r="J722" i="10" s="1"/>
  <c r="C175" i="10"/>
  <c r="C171" i="10"/>
  <c r="H722" i="10" s="1"/>
  <c r="C169" i="10"/>
  <c r="F722" i="10" s="1"/>
  <c r="C168" i="10"/>
  <c r="E722" i="10" s="1"/>
  <c r="C167" i="10"/>
  <c r="D722" i="10" s="1"/>
  <c r="C166" i="10"/>
  <c r="C722" i="10" s="1"/>
  <c r="C165" i="10"/>
  <c r="B722" i="10" s="1"/>
  <c r="E154" i="10"/>
  <c r="E153" i="10"/>
  <c r="E152" i="10"/>
  <c r="E151" i="10"/>
  <c r="E150" i="10"/>
  <c r="C420" i="10" s="1"/>
  <c r="E148" i="10"/>
  <c r="E147" i="10"/>
  <c r="E146" i="10"/>
  <c r="E145" i="10"/>
  <c r="C418" i="10" s="1"/>
  <c r="E144" i="10"/>
  <c r="C417" i="10" s="1"/>
  <c r="E142" i="10"/>
  <c r="D464" i="10" s="1"/>
  <c r="D142" i="10"/>
  <c r="AL726" i="10" s="1"/>
  <c r="E141" i="10"/>
  <c r="D463" i="10" s="1"/>
  <c r="D141" i="10"/>
  <c r="AK726" i="10" s="1"/>
  <c r="D140" i="10"/>
  <c r="AJ726" i="10" s="1"/>
  <c r="E139" i="10"/>
  <c r="C415" i="10" s="1"/>
  <c r="D139" i="10"/>
  <c r="AI726" i="10" s="1"/>
  <c r="E138" i="10"/>
  <c r="C414" i="10" s="1"/>
  <c r="D138" i="10"/>
  <c r="AH726" i="10" s="1"/>
  <c r="E127" i="10"/>
  <c r="D111" i="10"/>
  <c r="C111" i="10"/>
  <c r="B726" i="10" s="1"/>
  <c r="CE80" i="10"/>
  <c r="T816" i="10" s="1"/>
  <c r="CF79" i="10"/>
  <c r="CE79" i="10"/>
  <c r="H79" i="10"/>
  <c r="S739" i="10" s="1"/>
  <c r="H78" i="10"/>
  <c r="H77" i="10"/>
  <c r="Q739" i="10" s="1"/>
  <c r="CF76" i="10"/>
  <c r="BX52" i="10" s="1"/>
  <c r="BX67" i="10" s="1"/>
  <c r="J807" i="10" s="1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G75" i="10"/>
  <c r="N738" i="10" s="1"/>
  <c r="F75" i="10"/>
  <c r="N737" i="10" s="1"/>
  <c r="E75" i="10"/>
  <c r="N736" i="10" s="1"/>
  <c r="D75" i="10"/>
  <c r="C75" i="10"/>
  <c r="N734" i="10" s="1"/>
  <c r="CE74" i="10"/>
  <c r="C464" i="10" s="1"/>
  <c r="AU74" i="10"/>
  <c r="H74" i="10"/>
  <c r="CE73" i="10"/>
  <c r="H73" i="10"/>
  <c r="CE70" i="10"/>
  <c r="CD69" i="10"/>
  <c r="CC69" i="10"/>
  <c r="L812" i="10" s="1"/>
  <c r="CA69" i="10"/>
  <c r="L810" i="10" s="1"/>
  <c r="BY69" i="10"/>
  <c r="L808" i="10" s="1"/>
  <c r="BW69" i="10"/>
  <c r="L806" i="10" s="1"/>
  <c r="BR69" i="10"/>
  <c r="L801" i="10" s="1"/>
  <c r="BP69" i="10"/>
  <c r="L799" i="10" s="1"/>
  <c r="BN69" i="10"/>
  <c r="L797" i="10" s="1"/>
  <c r="BK69" i="10"/>
  <c r="L794" i="10" s="1"/>
  <c r="BI69" i="10"/>
  <c r="L792" i="10" s="1"/>
  <c r="BE69" i="10"/>
  <c r="L788" i="10" s="1"/>
  <c r="BC69" i="10"/>
  <c r="L786" i="10" s="1"/>
  <c r="BB69" i="10"/>
  <c r="L785" i="10" s="1"/>
  <c r="AY69" i="10"/>
  <c r="L782" i="10" s="1"/>
  <c r="AV69" i="10"/>
  <c r="L779" i="10" s="1"/>
  <c r="AU69" i="10"/>
  <c r="L778" i="10" s="1"/>
  <c r="AB69" i="10"/>
  <c r="H69" i="10"/>
  <c r="CE68" i="10"/>
  <c r="K816" i="10" s="1"/>
  <c r="BN68" i="10"/>
  <c r="K797" i="10" s="1"/>
  <c r="BV67" i="10"/>
  <c r="J805" i="10" s="1"/>
  <c r="BN67" i="10"/>
  <c r="J797" i="10" s="1"/>
  <c r="BF67" i="10"/>
  <c r="J789" i="10" s="1"/>
  <c r="AX67" i="10"/>
  <c r="J781" i="10" s="1"/>
  <c r="AP67" i="10"/>
  <c r="J773" i="10" s="1"/>
  <c r="AH67" i="10"/>
  <c r="J765" i="10" s="1"/>
  <c r="Z67" i="10"/>
  <c r="J757" i="10" s="1"/>
  <c r="CC66" i="10"/>
  <c r="I812" i="10" s="1"/>
  <c r="BW66" i="10"/>
  <c r="I806" i="10" s="1"/>
  <c r="BB66" i="10"/>
  <c r="I785" i="10" s="1"/>
  <c r="V66" i="10"/>
  <c r="H66" i="10"/>
  <c r="I739" i="10" s="1"/>
  <c r="CE65" i="10"/>
  <c r="AU65" i="10"/>
  <c r="H778" i="10" s="1"/>
  <c r="CC64" i="10"/>
  <c r="G812" i="10" s="1"/>
  <c r="CA64" i="10"/>
  <c r="G810" i="10" s="1"/>
  <c r="BY64" i="10"/>
  <c r="G808" i="10" s="1"/>
  <c r="BX64" i="10"/>
  <c r="G807" i="10" s="1"/>
  <c r="BW64" i="10"/>
  <c r="G806" i="10" s="1"/>
  <c r="BV64" i="10"/>
  <c r="G805" i="10" s="1"/>
  <c r="BR64" i="10"/>
  <c r="G801" i="10" s="1"/>
  <c r="BP64" i="10"/>
  <c r="G799" i="10" s="1"/>
  <c r="BN64" i="10"/>
  <c r="G797" i="10" s="1"/>
  <c r="BL64" i="10"/>
  <c r="G795" i="10" s="1"/>
  <c r="BK64" i="10"/>
  <c r="G794" i="10" s="1"/>
  <c r="BJ64" i="10"/>
  <c r="G793" i="10" s="1"/>
  <c r="BI64" i="10"/>
  <c r="G792" i="10" s="1"/>
  <c r="BE64" i="10"/>
  <c r="G788" i="10" s="1"/>
  <c r="BB64" i="10"/>
  <c r="G785" i="10" s="1"/>
  <c r="AY64" i="10"/>
  <c r="G782" i="10" s="1"/>
  <c r="AU64" i="10"/>
  <c r="G778" i="10" s="1"/>
  <c r="AB64" i="10"/>
  <c r="G759" i="10" s="1"/>
  <c r="H64" i="10"/>
  <c r="G739" i="10" s="1"/>
  <c r="CE63" i="10"/>
  <c r="BW63" i="10"/>
  <c r="F806" i="10" s="1"/>
  <c r="H63" i="10"/>
  <c r="F739" i="10" s="1"/>
  <c r="CC61" i="10"/>
  <c r="D812" i="10" s="1"/>
  <c r="CA61" i="10"/>
  <c r="D810" i="10" s="1"/>
  <c r="BY61" i="10"/>
  <c r="D808" i="10" s="1"/>
  <c r="BX61" i="10"/>
  <c r="D807" i="10" s="1"/>
  <c r="BV61" i="10"/>
  <c r="BR61" i="10"/>
  <c r="BP61" i="10"/>
  <c r="D799" i="10" s="1"/>
  <c r="BN61" i="10"/>
  <c r="D797" i="10" s="1"/>
  <c r="BL61" i="10"/>
  <c r="D795" i="10" s="1"/>
  <c r="BK61" i="10"/>
  <c r="D794" i="10" s="1"/>
  <c r="BJ61" i="10"/>
  <c r="BB61" i="10"/>
  <c r="AY61" i="10"/>
  <c r="AV61" i="10"/>
  <c r="D779" i="10" s="1"/>
  <c r="AU61" i="10"/>
  <c r="D778" i="10" s="1"/>
  <c r="H61" i="10"/>
  <c r="D739" i="10" s="1"/>
  <c r="CC60" i="10"/>
  <c r="C812" i="10" s="1"/>
  <c r="BL60" i="10"/>
  <c r="C795" i="10" s="1"/>
  <c r="BB60" i="10"/>
  <c r="C785" i="10" s="1"/>
  <c r="AV60" i="10"/>
  <c r="C779" i="10" s="1"/>
  <c r="AU60" i="10"/>
  <c r="C778" i="10" s="1"/>
  <c r="H60" i="10"/>
  <c r="C739" i="10" s="1"/>
  <c r="AY59" i="10"/>
  <c r="B53" i="10"/>
  <c r="CB52" i="10"/>
  <c r="CB67" i="10" s="1"/>
  <c r="J811" i="10" s="1"/>
  <c r="CA52" i="10"/>
  <c r="CA67" i="10" s="1"/>
  <c r="J810" i="10" s="1"/>
  <c r="BY52" i="10"/>
  <c r="BY67" i="10" s="1"/>
  <c r="J808" i="10" s="1"/>
  <c r="BW52" i="10"/>
  <c r="BW67" i="10" s="1"/>
  <c r="J806" i="10" s="1"/>
  <c r="BV52" i="10"/>
  <c r="BT52" i="10"/>
  <c r="BT67" i="10" s="1"/>
  <c r="J803" i="10" s="1"/>
  <c r="BS52" i="10"/>
  <c r="BS67" i="10" s="1"/>
  <c r="J802" i="10" s="1"/>
  <c r="BQ52" i="10"/>
  <c r="BQ67" i="10" s="1"/>
  <c r="J800" i="10" s="1"/>
  <c r="BO52" i="10"/>
  <c r="BO67" i="10" s="1"/>
  <c r="J798" i="10" s="1"/>
  <c r="BN52" i="10"/>
  <c r="BL52" i="10"/>
  <c r="BL67" i="10" s="1"/>
  <c r="J795" i="10" s="1"/>
  <c r="BK52" i="10"/>
  <c r="BK67" i="10" s="1"/>
  <c r="J794" i="10" s="1"/>
  <c r="BI52" i="10"/>
  <c r="BI67" i="10" s="1"/>
  <c r="J792" i="10" s="1"/>
  <c r="BG52" i="10"/>
  <c r="BG67" i="10" s="1"/>
  <c r="J790" i="10" s="1"/>
  <c r="BF52" i="10"/>
  <c r="BD52" i="10"/>
  <c r="BD67" i="10" s="1"/>
  <c r="J787" i="10" s="1"/>
  <c r="BC52" i="10"/>
  <c r="BC67" i="10" s="1"/>
  <c r="J786" i="10" s="1"/>
  <c r="BA52" i="10"/>
  <c r="BA67" i="10" s="1"/>
  <c r="J784" i="10" s="1"/>
  <c r="AY52" i="10"/>
  <c r="AY67" i="10" s="1"/>
  <c r="J782" i="10" s="1"/>
  <c r="AX52" i="10"/>
  <c r="AV52" i="10"/>
  <c r="AV67" i="10" s="1"/>
  <c r="J779" i="10" s="1"/>
  <c r="AU52" i="10"/>
  <c r="AU67" i="10" s="1"/>
  <c r="J778" i="10" s="1"/>
  <c r="AS52" i="10"/>
  <c r="AS67" i="10" s="1"/>
  <c r="J776" i="10" s="1"/>
  <c r="AQ52" i="10"/>
  <c r="AQ67" i="10" s="1"/>
  <c r="J774" i="10" s="1"/>
  <c r="AP52" i="10"/>
  <c r="AN52" i="10"/>
  <c r="AN67" i="10" s="1"/>
  <c r="J771" i="10" s="1"/>
  <c r="AM52" i="10"/>
  <c r="AM67" i="10" s="1"/>
  <c r="J770" i="10" s="1"/>
  <c r="AK52" i="10"/>
  <c r="AK67" i="10" s="1"/>
  <c r="J768" i="10" s="1"/>
  <c r="AI52" i="10"/>
  <c r="AI67" i="10" s="1"/>
  <c r="J766" i="10" s="1"/>
  <c r="AH52" i="10"/>
  <c r="AF52" i="10"/>
  <c r="AF67" i="10" s="1"/>
  <c r="J763" i="10" s="1"/>
  <c r="AE52" i="10"/>
  <c r="AE67" i="10" s="1"/>
  <c r="J762" i="10" s="1"/>
  <c r="AC52" i="10"/>
  <c r="AC67" i="10" s="1"/>
  <c r="J760" i="10" s="1"/>
  <c r="AA52" i="10"/>
  <c r="AA67" i="10" s="1"/>
  <c r="J758" i="10" s="1"/>
  <c r="Z52" i="10"/>
  <c r="X52" i="10"/>
  <c r="X67" i="10" s="1"/>
  <c r="J755" i="10" s="1"/>
  <c r="W52" i="10"/>
  <c r="W67" i="10" s="1"/>
  <c r="J754" i="10" s="1"/>
  <c r="U52" i="10"/>
  <c r="U67" i="10" s="1"/>
  <c r="J752" i="10" s="1"/>
  <c r="S52" i="10"/>
  <c r="S67" i="10" s="1"/>
  <c r="J750" i="10" s="1"/>
  <c r="R52" i="10"/>
  <c r="R67" i="10" s="1"/>
  <c r="J749" i="10" s="1"/>
  <c r="P52" i="10"/>
  <c r="P67" i="10" s="1"/>
  <c r="J747" i="10" s="1"/>
  <c r="O52" i="10"/>
  <c r="O67" i="10" s="1"/>
  <c r="J746" i="10" s="1"/>
  <c r="M52" i="10"/>
  <c r="M67" i="10" s="1"/>
  <c r="J744" i="10" s="1"/>
  <c r="K52" i="10"/>
  <c r="K67" i="10" s="1"/>
  <c r="J742" i="10" s="1"/>
  <c r="J52" i="10"/>
  <c r="J67" i="10" s="1"/>
  <c r="J741" i="10" s="1"/>
  <c r="H52" i="10"/>
  <c r="H67" i="10" s="1"/>
  <c r="J739" i="10" s="1"/>
  <c r="G52" i="10"/>
  <c r="G67" i="10" s="1"/>
  <c r="J738" i="10" s="1"/>
  <c r="E52" i="10"/>
  <c r="E67" i="10" s="1"/>
  <c r="J736" i="10" s="1"/>
  <c r="C52" i="10"/>
  <c r="C67" i="10" s="1"/>
  <c r="CE51" i="10"/>
  <c r="B48" i="10"/>
  <c r="CE47" i="10"/>
  <c r="N722" i="10" l="1"/>
  <c r="D186" i="10"/>
  <c r="D436" i="10" s="1"/>
  <c r="F550" i="10"/>
  <c r="CA48" i="10"/>
  <c r="CA62" i="10" s="1"/>
  <c r="E810" i="10" s="1"/>
  <c r="D782" i="10"/>
  <c r="D815" i="10" s="1"/>
  <c r="D805" i="10"/>
  <c r="I753" i="10"/>
  <c r="I815" i="10" s="1"/>
  <c r="CE66" i="10"/>
  <c r="L759" i="10"/>
  <c r="CE69" i="10"/>
  <c r="U813" i="10"/>
  <c r="U815" i="10" s="1"/>
  <c r="C438" i="10"/>
  <c r="C615" i="10"/>
  <c r="CD71" i="10"/>
  <c r="C575" i="10" s="1"/>
  <c r="N735" i="10"/>
  <c r="N815" i="10" s="1"/>
  <c r="F816" i="10"/>
  <c r="C429" i="10"/>
  <c r="J734" i="10"/>
  <c r="BC48" i="10"/>
  <c r="BC62" i="10" s="1"/>
  <c r="H816" i="10"/>
  <c r="C431" i="10"/>
  <c r="H48" i="10"/>
  <c r="H62" i="10" s="1"/>
  <c r="E739" i="10" s="1"/>
  <c r="P48" i="10"/>
  <c r="P62" i="10" s="1"/>
  <c r="AN48" i="10"/>
  <c r="AN62" i="10" s="1"/>
  <c r="BL48" i="10"/>
  <c r="BL62" i="10" s="1"/>
  <c r="BT48" i="10"/>
  <c r="BT62" i="10" s="1"/>
  <c r="CB48" i="10"/>
  <c r="CB62" i="10" s="1"/>
  <c r="F52" i="10"/>
  <c r="F67" i="10" s="1"/>
  <c r="J737" i="10" s="1"/>
  <c r="N52" i="10"/>
  <c r="N67" i="10" s="1"/>
  <c r="J745" i="10" s="1"/>
  <c r="V52" i="10"/>
  <c r="V67" i="10" s="1"/>
  <c r="J753" i="10" s="1"/>
  <c r="AD52" i="10"/>
  <c r="AD67" i="10" s="1"/>
  <c r="J761" i="10" s="1"/>
  <c r="AL52" i="10"/>
  <c r="AL67" i="10" s="1"/>
  <c r="J769" i="10" s="1"/>
  <c r="AT52" i="10"/>
  <c r="AT67" i="10" s="1"/>
  <c r="J777" i="10" s="1"/>
  <c r="BB52" i="10"/>
  <c r="BB67" i="10" s="1"/>
  <c r="J785" i="10" s="1"/>
  <c r="BJ52" i="10"/>
  <c r="BJ67" i="10" s="1"/>
  <c r="J793" i="10" s="1"/>
  <c r="BR52" i="10"/>
  <c r="BR67" i="10" s="1"/>
  <c r="J801" i="10" s="1"/>
  <c r="BZ52" i="10"/>
  <c r="BZ67" i="10" s="1"/>
  <c r="J809" i="10" s="1"/>
  <c r="D801" i="10"/>
  <c r="L739" i="10"/>
  <c r="L815" i="10" s="1"/>
  <c r="C439" i="10"/>
  <c r="F726" i="10"/>
  <c r="B415" i="10"/>
  <c r="D465" i="10"/>
  <c r="AL730" i="10"/>
  <c r="D328" i="10"/>
  <c r="D330" i="10" s="1"/>
  <c r="C434" i="10"/>
  <c r="H504" i="10"/>
  <c r="F504" i="10"/>
  <c r="F545" i="10"/>
  <c r="R48" i="10"/>
  <c r="R62" i="10" s="1"/>
  <c r="AX48" i="10"/>
  <c r="AX62" i="10" s="1"/>
  <c r="BR730" i="10"/>
  <c r="E817" i="10"/>
  <c r="B428" i="10"/>
  <c r="Z48" i="10"/>
  <c r="Z62" i="10" s="1"/>
  <c r="R739" i="10"/>
  <c r="CE78" i="10"/>
  <c r="CD722" i="10"/>
  <c r="D242" i="10"/>
  <c r="B448" i="10" s="1"/>
  <c r="B444" i="10"/>
  <c r="D390" i="10"/>
  <c r="B441" i="10" s="1"/>
  <c r="K48" i="10"/>
  <c r="K62" i="10" s="1"/>
  <c r="AI48" i="10"/>
  <c r="AI62" i="10" s="1"/>
  <c r="AQ48" i="10"/>
  <c r="AQ62" i="10" s="1"/>
  <c r="AY48" i="10"/>
  <c r="AY62" i="10" s="1"/>
  <c r="E782" i="10" s="1"/>
  <c r="BW48" i="10"/>
  <c r="BW62" i="10" s="1"/>
  <c r="B49" i="10"/>
  <c r="I52" i="10"/>
  <c r="I67" i="10" s="1"/>
  <c r="J740" i="10" s="1"/>
  <c r="Q52" i="10"/>
  <c r="Q67" i="10" s="1"/>
  <c r="J748" i="10" s="1"/>
  <c r="Y52" i="10"/>
  <c r="Y67" i="10" s="1"/>
  <c r="J756" i="10" s="1"/>
  <c r="AG52" i="10"/>
  <c r="AG67" i="10" s="1"/>
  <c r="J764" i="10" s="1"/>
  <c r="AO52" i="10"/>
  <c r="AO67" i="10" s="1"/>
  <c r="J772" i="10" s="1"/>
  <c r="AW52" i="10"/>
  <c r="AW67" i="10" s="1"/>
  <c r="J780" i="10" s="1"/>
  <c r="BE52" i="10"/>
  <c r="BE67" i="10" s="1"/>
  <c r="J788" i="10" s="1"/>
  <c r="BM52" i="10"/>
  <c r="BM67" i="10" s="1"/>
  <c r="J796" i="10" s="1"/>
  <c r="BU52" i="10"/>
  <c r="BU67" i="10" s="1"/>
  <c r="J804" i="10" s="1"/>
  <c r="CC52" i="10"/>
  <c r="CC67" i="10" s="1"/>
  <c r="J812" i="10" s="1"/>
  <c r="D793" i="10"/>
  <c r="BJ71" i="10"/>
  <c r="M816" i="10"/>
  <c r="C458" i="10"/>
  <c r="O739" i="10"/>
  <c r="H75" i="10"/>
  <c r="N739" i="10" s="1"/>
  <c r="D173" i="10"/>
  <c r="D428" i="10" s="1"/>
  <c r="AQ722" i="10"/>
  <c r="E203" i="10"/>
  <c r="C475" i="10" s="1"/>
  <c r="H512" i="10"/>
  <c r="F512" i="10"/>
  <c r="H522" i="10"/>
  <c r="F522" i="10"/>
  <c r="BF48" i="10"/>
  <c r="BF62" i="10" s="1"/>
  <c r="T48" i="10"/>
  <c r="T62" i="10" s="1"/>
  <c r="AR48" i="10"/>
  <c r="AR62" i="10" s="1"/>
  <c r="AZ48" i="10"/>
  <c r="AZ62" i="10" s="1"/>
  <c r="BH48" i="10"/>
  <c r="BH62" i="10" s="1"/>
  <c r="O816" i="10"/>
  <c r="C463" i="10"/>
  <c r="S816" i="10"/>
  <c r="J612" i="10"/>
  <c r="D177" i="10"/>
  <c r="D434" i="10" s="1"/>
  <c r="I722" i="10"/>
  <c r="AH730" i="10"/>
  <c r="D314" i="10"/>
  <c r="B440" i="10"/>
  <c r="AH48" i="10"/>
  <c r="AH62" i="10" s="1"/>
  <c r="BV48" i="10"/>
  <c r="BV62" i="10" s="1"/>
  <c r="E805" i="10" s="1"/>
  <c r="D785" i="10"/>
  <c r="AK48" i="10"/>
  <c r="AK62" i="10" s="1"/>
  <c r="Y722" i="10"/>
  <c r="C204" i="10"/>
  <c r="E197" i="10"/>
  <c r="C470" i="10" s="1"/>
  <c r="F730" i="10"/>
  <c r="D260" i="10"/>
  <c r="C445" i="10"/>
  <c r="D367" i="10"/>
  <c r="H817" i="10"/>
  <c r="BU730" i="10"/>
  <c r="B431" i="10"/>
  <c r="H496" i="10"/>
  <c r="F496" i="10"/>
  <c r="H516" i="10"/>
  <c r="F516" i="10"/>
  <c r="H530" i="10"/>
  <c r="F530" i="10"/>
  <c r="AP48" i="10"/>
  <c r="AP62" i="10" s="1"/>
  <c r="E48" i="10"/>
  <c r="E62" i="10" s="1"/>
  <c r="U48" i="10"/>
  <c r="U62" i="10" s="1"/>
  <c r="BA48" i="10"/>
  <c r="BA62" i="10" s="1"/>
  <c r="CE60" i="10"/>
  <c r="CE64" i="10"/>
  <c r="F48" i="10"/>
  <c r="F62" i="10" s="1"/>
  <c r="AD48" i="10"/>
  <c r="AD62" i="10" s="1"/>
  <c r="BB48" i="10"/>
  <c r="BB62" i="10" s="1"/>
  <c r="E785" i="10" s="1"/>
  <c r="BJ48" i="10"/>
  <c r="BJ62" i="10" s="1"/>
  <c r="E793" i="10" s="1"/>
  <c r="BR48" i="10"/>
  <c r="BR62" i="10" s="1"/>
  <c r="E801" i="10" s="1"/>
  <c r="D52" i="10"/>
  <c r="D67" i="10" s="1"/>
  <c r="J735" i="10" s="1"/>
  <c r="L52" i="10"/>
  <c r="L67" i="10" s="1"/>
  <c r="J743" i="10" s="1"/>
  <c r="T52" i="10"/>
  <c r="T67" i="10" s="1"/>
  <c r="J751" i="10" s="1"/>
  <c r="AB52" i="10"/>
  <c r="AB67" i="10" s="1"/>
  <c r="J759" i="10" s="1"/>
  <c r="AJ52" i="10"/>
  <c r="AJ67" i="10" s="1"/>
  <c r="J767" i="10" s="1"/>
  <c r="AR52" i="10"/>
  <c r="AR67" i="10" s="1"/>
  <c r="J775" i="10" s="1"/>
  <c r="AZ52" i="10"/>
  <c r="AZ67" i="10" s="1"/>
  <c r="J783" i="10" s="1"/>
  <c r="BH52" i="10"/>
  <c r="BH67" i="10" s="1"/>
  <c r="J791" i="10" s="1"/>
  <c r="BP52" i="10"/>
  <c r="BP67" i="10" s="1"/>
  <c r="J799" i="10" s="1"/>
  <c r="B782" i="10"/>
  <c r="E544" i="10"/>
  <c r="CE61" i="10"/>
  <c r="AJ48" i="10" s="1"/>
  <c r="AJ62" i="10" s="1"/>
  <c r="CA71" i="10"/>
  <c r="P816" i="10"/>
  <c r="D612" i="10"/>
  <c r="J48" i="10"/>
  <c r="J62" i="10" s="1"/>
  <c r="G48" i="10"/>
  <c r="G62" i="10" s="1"/>
  <c r="W48" i="10"/>
  <c r="W62" i="10" s="1"/>
  <c r="AM48" i="10"/>
  <c r="AM62" i="10" s="1"/>
  <c r="AU48" i="10"/>
  <c r="AU62" i="10" s="1"/>
  <c r="H538" i="10"/>
  <c r="F538" i="10"/>
  <c r="BQ730" i="10"/>
  <c r="D817" i="10"/>
  <c r="B427" i="10"/>
  <c r="B470" i="10"/>
  <c r="F501" i="10"/>
  <c r="F509" i="10"/>
  <c r="F513" i="10"/>
  <c r="F527" i="10"/>
  <c r="F535" i="10"/>
  <c r="L612" i="10"/>
  <c r="D181" i="10"/>
  <c r="D229" i="10"/>
  <c r="B445" i="10" s="1"/>
  <c r="F817" i="10"/>
  <c r="BS730" i="10"/>
  <c r="G817" i="10"/>
  <c r="BT730" i="10"/>
  <c r="R815" i="10"/>
  <c r="K815" i="10"/>
  <c r="M817" i="10"/>
  <c r="BO730" i="10"/>
  <c r="BV730" i="10"/>
  <c r="I817" i="10"/>
  <c r="B429" i="10"/>
  <c r="C468" i="10"/>
  <c r="E200" i="10"/>
  <c r="C473" i="10" s="1"/>
  <c r="D275" i="10"/>
  <c r="D372" i="10"/>
  <c r="BX730" i="10"/>
  <c r="K817" i="10"/>
  <c r="B414" i="10"/>
  <c r="CE77" i="10"/>
  <c r="E140" i="10"/>
  <c r="BZ730" i="10"/>
  <c r="L817" i="10"/>
  <c r="B430" i="10"/>
  <c r="B458" i="10"/>
  <c r="O815" i="10"/>
  <c r="S815" i="10"/>
  <c r="G815" i="10"/>
  <c r="Q815" i="10"/>
  <c r="C815" i="10"/>
  <c r="H815" i="10"/>
  <c r="F815" i="10"/>
  <c r="P815" i="10"/>
  <c r="T815" i="10"/>
  <c r="E767" i="10" l="1"/>
  <c r="AJ71" i="10"/>
  <c r="E789" i="10"/>
  <c r="BF71" i="10"/>
  <c r="E747" i="10"/>
  <c r="P71" i="10"/>
  <c r="E774" i="10"/>
  <c r="AQ71" i="10"/>
  <c r="E803" i="10"/>
  <c r="BT71" i="10"/>
  <c r="E784" i="10"/>
  <c r="BA71" i="10"/>
  <c r="E751" i="10"/>
  <c r="T71" i="10"/>
  <c r="E806" i="10"/>
  <c r="BW71" i="10"/>
  <c r="E771" i="10"/>
  <c r="AN71" i="10"/>
  <c r="V48" i="10"/>
  <c r="V62" i="10" s="1"/>
  <c r="AS48" i="10"/>
  <c r="AS62" i="10" s="1"/>
  <c r="M48" i="10"/>
  <c r="M62" i="10" s="1"/>
  <c r="BX48" i="10"/>
  <c r="BX62" i="10" s="1"/>
  <c r="L48" i="10"/>
  <c r="L62" i="10" s="1"/>
  <c r="BO48" i="10"/>
  <c r="BO62" i="10" s="1"/>
  <c r="C48" i="10"/>
  <c r="AF48" i="10"/>
  <c r="AF62" i="10" s="1"/>
  <c r="AE48" i="10"/>
  <c r="AE62" i="10" s="1"/>
  <c r="BV71" i="10"/>
  <c r="BK48" i="10"/>
  <c r="BK62" i="10" s="1"/>
  <c r="BZ48" i="10"/>
  <c r="BZ62" i="10" s="1"/>
  <c r="N48" i="10"/>
  <c r="N62" i="10" s="1"/>
  <c r="AC48" i="10"/>
  <c r="AC62" i="10" s="1"/>
  <c r="BB71" i="10"/>
  <c r="BP48" i="10"/>
  <c r="BP62" i="10" s="1"/>
  <c r="D48" i="10"/>
  <c r="D62" i="10" s="1"/>
  <c r="BG48" i="10"/>
  <c r="BG62" i="10" s="1"/>
  <c r="X48" i="10"/>
  <c r="X62" i="10" s="1"/>
  <c r="O48" i="10"/>
  <c r="O62" i="10" s="1"/>
  <c r="E737" i="10"/>
  <c r="F71" i="10"/>
  <c r="E791" i="10"/>
  <c r="BH71" i="10"/>
  <c r="E204" i="10"/>
  <c r="C476" i="10" s="1"/>
  <c r="CE67" i="10"/>
  <c r="E736" i="10"/>
  <c r="E71" i="10"/>
  <c r="C617" i="10"/>
  <c r="C555" i="10"/>
  <c r="AY71" i="10"/>
  <c r="E783" i="10"/>
  <c r="AZ71" i="10"/>
  <c r="C572" i="10"/>
  <c r="C647" i="10"/>
  <c r="BI730" i="10"/>
  <c r="C816" i="10"/>
  <c r="H612" i="10"/>
  <c r="E775" i="10"/>
  <c r="AR71" i="10"/>
  <c r="E795" i="10"/>
  <c r="BL71" i="10"/>
  <c r="BY48" i="10"/>
  <c r="BY62" i="10" s="1"/>
  <c r="E778" i="10"/>
  <c r="AU71" i="10"/>
  <c r="E752" i="10"/>
  <c r="U71" i="10"/>
  <c r="E811" i="10"/>
  <c r="CB71" i="10"/>
  <c r="E770" i="10"/>
  <c r="AM71" i="10"/>
  <c r="G816" i="10"/>
  <c r="F612" i="10"/>
  <c r="C430" i="10"/>
  <c r="H71" i="10"/>
  <c r="J815" i="10"/>
  <c r="Q816" i="10"/>
  <c r="G612" i="10"/>
  <c r="CF77" i="10"/>
  <c r="E754" i="10"/>
  <c r="W71" i="10"/>
  <c r="E773" i="10"/>
  <c r="AP71" i="10"/>
  <c r="E765" i="10"/>
  <c r="AH71" i="10"/>
  <c r="E766" i="10"/>
  <c r="AI71" i="10"/>
  <c r="E749" i="10"/>
  <c r="R71" i="10"/>
  <c r="L816" i="10"/>
  <c r="C440" i="10"/>
  <c r="E738" i="10"/>
  <c r="G71" i="10"/>
  <c r="D816" i="10"/>
  <c r="C427" i="10"/>
  <c r="AG48" i="10"/>
  <c r="AG62" i="10" s="1"/>
  <c r="Y48" i="10"/>
  <c r="Y62" i="10" s="1"/>
  <c r="CC48" i="10"/>
  <c r="CC62" i="10" s="1"/>
  <c r="BU48" i="10"/>
  <c r="BU62" i="10" s="1"/>
  <c r="Q48" i="10"/>
  <c r="Q62" i="10" s="1"/>
  <c r="BE48" i="10"/>
  <c r="BE62" i="10" s="1"/>
  <c r="I48" i="10"/>
  <c r="I62" i="10" s="1"/>
  <c r="BM48" i="10"/>
  <c r="BM62" i="10" s="1"/>
  <c r="AW48" i="10"/>
  <c r="AW62" i="10" s="1"/>
  <c r="AO48" i="10"/>
  <c r="AO62" i="10" s="1"/>
  <c r="AT48" i="10"/>
  <c r="AT62" i="10" s="1"/>
  <c r="AA48" i="10"/>
  <c r="AA62" i="10" s="1"/>
  <c r="R816" i="10"/>
  <c r="I612" i="10"/>
  <c r="BD48" i="10"/>
  <c r="BD62" i="10" s="1"/>
  <c r="BN48" i="10"/>
  <c r="BN62" i="10" s="1"/>
  <c r="AL48" i="10"/>
  <c r="AL62" i="10" s="1"/>
  <c r="BQ48" i="10"/>
  <c r="BQ62" i="10" s="1"/>
  <c r="C448" i="10"/>
  <c r="D368" i="10"/>
  <c r="D373" i="10" s="1"/>
  <c r="D391" i="10" s="1"/>
  <c r="D393" i="10" s="1"/>
  <c r="D396" i="10" s="1"/>
  <c r="BI48" i="10"/>
  <c r="BI62" i="10" s="1"/>
  <c r="D339" i="10"/>
  <c r="C482" i="10" s="1"/>
  <c r="AB48" i="10"/>
  <c r="AB62" i="10" s="1"/>
  <c r="S48" i="10"/>
  <c r="S62" i="10" s="1"/>
  <c r="BR71" i="10"/>
  <c r="AV48" i="10"/>
  <c r="AV62" i="10" s="1"/>
  <c r="BS48" i="10"/>
  <c r="BS62" i="10" s="1"/>
  <c r="CE75" i="10"/>
  <c r="I816" i="10"/>
  <c r="C432" i="10"/>
  <c r="D277" i="10"/>
  <c r="B476" i="10"/>
  <c r="D438" i="10"/>
  <c r="D435" i="10"/>
  <c r="E781" i="10"/>
  <c r="AX71" i="10"/>
  <c r="E741" i="10"/>
  <c r="J71" i="10"/>
  <c r="E761" i="10"/>
  <c r="AD71" i="10"/>
  <c r="E768" i="10"/>
  <c r="AK71" i="10"/>
  <c r="CE52" i="10"/>
  <c r="E742" i="10"/>
  <c r="K71" i="10"/>
  <c r="E786" i="10"/>
  <c r="BC71" i="10"/>
  <c r="E757" i="10"/>
  <c r="Z71" i="10"/>
  <c r="D292" i="10"/>
  <c r="D341" i="10" s="1"/>
  <c r="C481" i="10" s="1"/>
  <c r="C683" i="10" l="1"/>
  <c r="C511" i="10"/>
  <c r="G511" i="10" s="1"/>
  <c r="C702" i="10"/>
  <c r="C530" i="10"/>
  <c r="G530" i="10" s="1"/>
  <c r="E779" i="10"/>
  <c r="AV71" i="10"/>
  <c r="E800" i="10"/>
  <c r="BQ71" i="10"/>
  <c r="E772" i="10"/>
  <c r="AO71" i="10"/>
  <c r="E756" i="10"/>
  <c r="Y71" i="10"/>
  <c r="C499" i="10"/>
  <c r="G499" i="10" s="1"/>
  <c r="C671" i="10"/>
  <c r="E760" i="10"/>
  <c r="AC71" i="10"/>
  <c r="E798" i="10"/>
  <c r="BO71" i="10"/>
  <c r="C643" i="10"/>
  <c r="C568" i="10"/>
  <c r="C708" i="10"/>
  <c r="C536" i="10"/>
  <c r="G536" i="10" s="1"/>
  <c r="C519" i="10"/>
  <c r="G519" i="10" s="1"/>
  <c r="C691" i="10"/>
  <c r="C688" i="10"/>
  <c r="C516" i="10"/>
  <c r="G516" i="10" s="1"/>
  <c r="C695" i="10"/>
  <c r="C523" i="10"/>
  <c r="G523" i="10" s="1"/>
  <c r="E750" i="10"/>
  <c r="S71" i="10"/>
  <c r="E797" i="10"/>
  <c r="BN71" i="10"/>
  <c r="E796" i="10"/>
  <c r="BM71" i="10"/>
  <c r="C670" i="10"/>
  <c r="C498" i="10"/>
  <c r="G498" i="10" s="1"/>
  <c r="E746" i="10"/>
  <c r="O71" i="10"/>
  <c r="E809" i="10"/>
  <c r="BZ71" i="10"/>
  <c r="E807" i="10"/>
  <c r="BX71" i="10"/>
  <c r="C685" i="10"/>
  <c r="C513" i="10"/>
  <c r="G513" i="10" s="1"/>
  <c r="C509" i="10"/>
  <c r="G509" i="10" s="1"/>
  <c r="C681" i="10"/>
  <c r="E759" i="10"/>
  <c r="AB71" i="10"/>
  <c r="E787" i="10"/>
  <c r="BD71" i="10"/>
  <c r="E740" i="10"/>
  <c r="I71" i="10"/>
  <c r="C700" i="10"/>
  <c r="C528" i="10"/>
  <c r="G528" i="10" s="1"/>
  <c r="C704" i="10"/>
  <c r="C532" i="10"/>
  <c r="E808" i="10"/>
  <c r="BY71" i="10"/>
  <c r="E755" i="10"/>
  <c r="X71" i="10"/>
  <c r="E794" i="10"/>
  <c r="BK71" i="10"/>
  <c r="E744" i="10"/>
  <c r="M71" i="10"/>
  <c r="E764" i="10"/>
  <c r="AG71" i="10"/>
  <c r="E788" i="10"/>
  <c r="BE71" i="10"/>
  <c r="C637" i="10"/>
  <c r="C557" i="10"/>
  <c r="J816" i="10"/>
  <c r="C433" i="10"/>
  <c r="E790" i="10"/>
  <c r="BG71" i="10"/>
  <c r="C642" i="10"/>
  <c r="C567" i="10"/>
  <c r="E776" i="10"/>
  <c r="AS71" i="10"/>
  <c r="C630" i="10"/>
  <c r="C546" i="10"/>
  <c r="C629" i="10"/>
  <c r="C551" i="10"/>
  <c r="E780" i="10"/>
  <c r="AW71" i="10"/>
  <c r="E743" i="10"/>
  <c r="L71" i="10"/>
  <c r="C675" i="10"/>
  <c r="C503" i="10"/>
  <c r="G503" i="10" s="1"/>
  <c r="E792" i="10"/>
  <c r="BI71" i="10"/>
  <c r="E748" i="10"/>
  <c r="Q71" i="10"/>
  <c r="C672" i="10"/>
  <c r="C500" i="10"/>
  <c r="G500" i="10" s="1"/>
  <c r="C699" i="10"/>
  <c r="C527" i="10"/>
  <c r="G527" i="10" s="1"/>
  <c r="C573" i="10"/>
  <c r="C622" i="10"/>
  <c r="C545" i="10"/>
  <c r="C628" i="10"/>
  <c r="E735" i="10"/>
  <c r="D71" i="10"/>
  <c r="E762" i="10"/>
  <c r="AE71" i="10"/>
  <c r="E753" i="10"/>
  <c r="V71" i="10"/>
  <c r="C626" i="10"/>
  <c r="C563" i="10"/>
  <c r="C712" i="10"/>
  <c r="C540" i="10"/>
  <c r="C548" i="10"/>
  <c r="C633" i="10"/>
  <c r="C616" i="10"/>
  <c r="C543" i="10"/>
  <c r="N816" i="10"/>
  <c r="K612" i="10"/>
  <c r="C465" i="10"/>
  <c r="E758" i="10"/>
  <c r="AA71" i="10"/>
  <c r="E804" i="10"/>
  <c r="BU71" i="10"/>
  <c r="C709" i="10"/>
  <c r="C537" i="10"/>
  <c r="G537" i="10" s="1"/>
  <c r="C636" i="10"/>
  <c r="C553" i="10"/>
  <c r="E799" i="10"/>
  <c r="BP71" i="10"/>
  <c r="E763" i="10"/>
  <c r="AF71" i="10"/>
  <c r="C705" i="10"/>
  <c r="C533" i="10"/>
  <c r="G533" i="10" s="1"/>
  <c r="C640" i="10"/>
  <c r="C565" i="10"/>
  <c r="C529" i="10"/>
  <c r="G529" i="10" s="1"/>
  <c r="C701" i="10"/>
  <c r="E769" i="10"/>
  <c r="AL71" i="10"/>
  <c r="E745" i="10"/>
  <c r="N71" i="10"/>
  <c r="C504" i="10"/>
  <c r="G504" i="10" s="1"/>
  <c r="C676" i="10"/>
  <c r="E802" i="10"/>
  <c r="BS71" i="10"/>
  <c r="E777" i="10"/>
  <c r="AT71" i="10"/>
  <c r="E812" i="10"/>
  <c r="CC71" i="10"/>
  <c r="C707" i="10"/>
  <c r="C535" i="10"/>
  <c r="G535" i="10" s="1"/>
  <c r="C673" i="10"/>
  <c r="C501" i="10"/>
  <c r="C686" i="10"/>
  <c r="C514" i="10"/>
  <c r="C625" i="10"/>
  <c r="C544" i="10"/>
  <c r="C547" i="10"/>
  <c r="C632" i="10"/>
  <c r="C62" i="10"/>
  <c r="CE48" i="10"/>
  <c r="G501" i="10" l="1"/>
  <c r="H501" i="10"/>
  <c r="C696" i="10"/>
  <c r="C524" i="10"/>
  <c r="G524" i="10" s="1"/>
  <c r="H546" i="10"/>
  <c r="G546" i="10"/>
  <c r="C678" i="10"/>
  <c r="C506" i="10"/>
  <c r="G506" i="10" s="1"/>
  <c r="G532" i="10"/>
  <c r="H532" i="10"/>
  <c r="C693" i="10"/>
  <c r="C521" i="10"/>
  <c r="C646" i="10"/>
  <c r="C571" i="10"/>
  <c r="C619" i="10"/>
  <c r="C559" i="10"/>
  <c r="C694" i="10"/>
  <c r="C522" i="10"/>
  <c r="G522" i="10" s="1"/>
  <c r="C623" i="10"/>
  <c r="C562" i="10"/>
  <c r="E734" i="10"/>
  <c r="E815" i="10" s="1"/>
  <c r="CE62" i="10"/>
  <c r="C71" i="10"/>
  <c r="C520" i="10"/>
  <c r="G520" i="10" s="1"/>
  <c r="C692" i="10"/>
  <c r="C621" i="10"/>
  <c r="C561" i="10"/>
  <c r="G540" i="10"/>
  <c r="H540" i="10" s="1"/>
  <c r="C669" i="10"/>
  <c r="C497" i="10"/>
  <c r="G497" i="10" s="1"/>
  <c r="C677" i="10"/>
  <c r="C505" i="10"/>
  <c r="G505" i="10" s="1"/>
  <c r="C710" i="10"/>
  <c r="C538" i="10"/>
  <c r="G538" i="10" s="1"/>
  <c r="C556" i="10"/>
  <c r="C635" i="10"/>
  <c r="C680" i="10"/>
  <c r="C508" i="10"/>
  <c r="G508" i="10" s="1"/>
  <c r="C684" i="10"/>
  <c r="C512" i="10"/>
  <c r="G512" i="10" s="1"/>
  <c r="C713" i="10"/>
  <c r="C541" i="10"/>
  <c r="C682" i="10"/>
  <c r="C510" i="10"/>
  <c r="G510" i="10" s="1"/>
  <c r="C631" i="10"/>
  <c r="C542" i="10"/>
  <c r="C614" i="10"/>
  <c r="C550" i="10"/>
  <c r="C689" i="10"/>
  <c r="C517" i="10"/>
  <c r="G517" i="10" s="1"/>
  <c r="C674" i="10"/>
  <c r="C502" i="10"/>
  <c r="G502" i="10" s="1"/>
  <c r="C690" i="10"/>
  <c r="C518" i="10"/>
  <c r="C639" i="10"/>
  <c r="C564" i="10"/>
  <c r="G544" i="10"/>
  <c r="H544" i="10"/>
  <c r="C620" i="10"/>
  <c r="C574" i="10"/>
  <c r="C679" i="10"/>
  <c r="C507" i="10"/>
  <c r="G507" i="10" s="1"/>
  <c r="G545" i="10"/>
  <c r="H545" i="10"/>
  <c r="G514" i="10"/>
  <c r="H514" i="10"/>
  <c r="C515" i="10"/>
  <c r="C687" i="10"/>
  <c r="C634" i="10"/>
  <c r="C554" i="10"/>
  <c r="C552" i="10"/>
  <c r="C618" i="10"/>
  <c r="C526" i="10"/>
  <c r="C698" i="10"/>
  <c r="C645" i="10"/>
  <c r="C570" i="10"/>
  <c r="C549" i="10"/>
  <c r="C624" i="10"/>
  <c r="C644" i="10"/>
  <c r="C569" i="10"/>
  <c r="C558" i="10"/>
  <c r="C638" i="10"/>
  <c r="C627" i="10"/>
  <c r="C560" i="10"/>
  <c r="C706" i="10"/>
  <c r="C534" i="10"/>
  <c r="G534" i="10" s="1"/>
  <c r="C711" i="10"/>
  <c r="C539" i="10"/>
  <c r="G539" i="10" s="1"/>
  <c r="C703" i="10"/>
  <c r="C531" i="10"/>
  <c r="G531" i="10" s="1"/>
  <c r="C697" i="10"/>
  <c r="C525" i="10"/>
  <c r="G525" i="10" s="1"/>
  <c r="C641" i="10"/>
  <c r="C566" i="10"/>
  <c r="G518" i="10" l="1"/>
  <c r="H518" i="10"/>
  <c r="G515" i="10"/>
  <c r="H515" i="10"/>
  <c r="C668" i="10"/>
  <c r="C496" i="10"/>
  <c r="G496" i="10" s="1"/>
  <c r="E816" i="10"/>
  <c r="C428" i="10"/>
  <c r="C441" i="10" s="1"/>
  <c r="CE71" i="10"/>
  <c r="C716" i="10" s="1"/>
  <c r="G521" i="10"/>
  <c r="H521" i="10"/>
  <c r="H526" i="10"/>
  <c r="G526" i="10"/>
  <c r="G550" i="10"/>
  <c r="H550" i="10"/>
  <c r="C715" i="10"/>
  <c r="C648" i="10"/>
  <c r="M716" i="10" s="1"/>
  <c r="Y816" i="10" s="1"/>
  <c r="D615" i="10"/>
  <c r="D712" i="10" l="1"/>
  <c r="D704" i="10"/>
  <c r="D696" i="10"/>
  <c r="D709" i="10"/>
  <c r="D706" i="10"/>
  <c r="D711" i="10"/>
  <c r="D708" i="10"/>
  <c r="D700" i="10"/>
  <c r="D716" i="10"/>
  <c r="D707" i="10"/>
  <c r="D699" i="10"/>
  <c r="D690" i="10"/>
  <c r="D682" i="10"/>
  <c r="D674" i="10"/>
  <c r="D689" i="10"/>
  <c r="D684" i="10"/>
  <c r="D679" i="10"/>
  <c r="D643" i="10"/>
  <c r="D635" i="10"/>
  <c r="D624" i="10"/>
  <c r="D705" i="10"/>
  <c r="D669" i="10"/>
  <c r="D645" i="10"/>
  <c r="D644" i="10"/>
  <c r="D636" i="10"/>
  <c r="D703" i="10"/>
  <c r="D695" i="10"/>
  <c r="D694" i="10"/>
  <c r="D693" i="10"/>
  <c r="D688" i="10"/>
  <c r="D683" i="10"/>
  <c r="D678" i="10"/>
  <c r="D673" i="10"/>
  <c r="D668" i="10"/>
  <c r="D646" i="10"/>
  <c r="D637" i="10"/>
  <c r="D701" i="10"/>
  <c r="D692" i="10"/>
  <c r="D687" i="10"/>
  <c r="D647" i="10"/>
  <c r="D638" i="10"/>
  <c r="D691" i="10"/>
  <c r="D686" i="10"/>
  <c r="D681" i="10"/>
  <c r="D676" i="10"/>
  <c r="D671" i="10"/>
  <c r="D640" i="10"/>
  <c r="D632" i="10"/>
  <c r="D622" i="10"/>
  <c r="D618" i="10"/>
  <c r="D713" i="10"/>
  <c r="D619" i="10"/>
  <c r="D680" i="10"/>
  <c r="D627" i="10"/>
  <c r="D710" i="10"/>
  <c r="D633" i="10"/>
  <c r="D677" i="10"/>
  <c r="D675" i="10"/>
  <c r="D631" i="10"/>
  <c r="D629" i="10"/>
  <c r="D623" i="10"/>
  <c r="D617" i="10"/>
  <c r="D702" i="10"/>
  <c r="D698" i="10"/>
  <c r="D639" i="10"/>
  <c r="D626" i="10"/>
  <c r="D616" i="10"/>
  <c r="D672" i="10"/>
  <c r="D670" i="10"/>
  <c r="D642" i="10"/>
  <c r="D685" i="10"/>
  <c r="D641" i="10"/>
  <c r="D630" i="10"/>
  <c r="D625" i="10"/>
  <c r="D620" i="10"/>
  <c r="D697" i="10"/>
  <c r="D634" i="10"/>
  <c r="D628" i="10"/>
  <c r="D621" i="10"/>
  <c r="E612" i="10" l="1"/>
  <c r="D715" i="10"/>
  <c r="E623" i="10"/>
  <c r="E709" i="10" l="1"/>
  <c r="E701" i="10"/>
  <c r="E693" i="10"/>
  <c r="E706" i="10"/>
  <c r="E711" i="10"/>
  <c r="E703" i="10"/>
  <c r="E708" i="10"/>
  <c r="E713" i="10"/>
  <c r="E705" i="10"/>
  <c r="E697" i="10"/>
  <c r="E712" i="10"/>
  <c r="E704" i="10"/>
  <c r="E696" i="10"/>
  <c r="E716" i="10"/>
  <c r="E700" i="10"/>
  <c r="E687" i="10"/>
  <c r="E679" i="10"/>
  <c r="E671" i="10"/>
  <c r="E699" i="10"/>
  <c r="E674" i="10"/>
  <c r="E669" i="10"/>
  <c r="E645" i="10"/>
  <c r="E644" i="10"/>
  <c r="E636" i="10"/>
  <c r="E629" i="10"/>
  <c r="E695" i="10"/>
  <c r="E694" i="10"/>
  <c r="E688" i="10"/>
  <c r="E683" i="10"/>
  <c r="E678" i="10"/>
  <c r="E673" i="10"/>
  <c r="E668" i="10"/>
  <c r="E646" i="10"/>
  <c r="E637" i="10"/>
  <c r="E692" i="10"/>
  <c r="E647" i="10"/>
  <c r="E638" i="10"/>
  <c r="E630" i="10"/>
  <c r="E627" i="10"/>
  <c r="E682" i="10"/>
  <c r="E677" i="10"/>
  <c r="E672" i="10"/>
  <c r="E639" i="10"/>
  <c r="E710" i="10"/>
  <c r="E698" i="10"/>
  <c r="E641" i="10"/>
  <c r="E633" i="10"/>
  <c r="E628" i="10"/>
  <c r="E691" i="10"/>
  <c r="E689" i="10"/>
  <c r="E680" i="10"/>
  <c r="E640" i="10"/>
  <c r="E635" i="10"/>
  <c r="E624" i="10"/>
  <c r="E686" i="10"/>
  <c r="E684" i="10"/>
  <c r="E675" i="10"/>
  <c r="E643" i="10"/>
  <c r="E631" i="10"/>
  <c r="E702" i="10"/>
  <c r="E626" i="10"/>
  <c r="E707" i="10"/>
  <c r="E690" i="10"/>
  <c r="E681" i="10"/>
  <c r="E670" i="10"/>
  <c r="E642" i="10"/>
  <c r="E634" i="10"/>
  <c r="E676" i="10"/>
  <c r="E632" i="10"/>
  <c r="E625" i="10"/>
  <c r="E685" i="10"/>
  <c r="E715" i="10" l="1"/>
  <c r="F624" i="10"/>
  <c r="F706" i="10" l="1"/>
  <c r="F698" i="10"/>
  <c r="F711" i="10"/>
  <c r="F708" i="10"/>
  <c r="F713" i="10"/>
  <c r="F710" i="10"/>
  <c r="F702" i="10"/>
  <c r="F709" i="10"/>
  <c r="F701" i="10"/>
  <c r="F712" i="10"/>
  <c r="F704" i="10"/>
  <c r="F692" i="10"/>
  <c r="F684" i="10"/>
  <c r="F676" i="10"/>
  <c r="F668" i="10"/>
  <c r="F628" i="10"/>
  <c r="F705" i="10"/>
  <c r="F695" i="10"/>
  <c r="F694" i="10"/>
  <c r="F688" i="10"/>
  <c r="F683" i="10"/>
  <c r="F678" i="10"/>
  <c r="F673" i="10"/>
  <c r="F646" i="10"/>
  <c r="F637" i="10"/>
  <c r="F703" i="10"/>
  <c r="F700" i="10"/>
  <c r="F693" i="10"/>
  <c r="F647" i="10"/>
  <c r="F638" i="10"/>
  <c r="F696" i="10"/>
  <c r="F687" i="10"/>
  <c r="F682" i="10"/>
  <c r="F677" i="10"/>
  <c r="F672" i="10"/>
  <c r="F639" i="10"/>
  <c r="F631" i="10"/>
  <c r="F625" i="10"/>
  <c r="F716" i="10"/>
  <c r="F707" i="10"/>
  <c r="F697" i="10"/>
  <c r="F691" i="10"/>
  <c r="F686" i="10"/>
  <c r="F681" i="10"/>
  <c r="F640" i="10"/>
  <c r="F690" i="10"/>
  <c r="F685" i="10"/>
  <c r="F680" i="10"/>
  <c r="F675" i="10"/>
  <c r="F670" i="10"/>
  <c r="F642" i="10"/>
  <c r="F634" i="10"/>
  <c r="F626" i="10"/>
  <c r="F671" i="10"/>
  <c r="F669" i="10"/>
  <c r="F635" i="10"/>
  <c r="F627" i="10"/>
  <c r="F643" i="10"/>
  <c r="F633" i="10"/>
  <c r="F699" i="10"/>
  <c r="F629" i="10"/>
  <c r="F679" i="10"/>
  <c r="F645" i="10"/>
  <c r="F636" i="10"/>
  <c r="F632" i="10"/>
  <c r="F689" i="10"/>
  <c r="F644" i="10"/>
  <c r="F674" i="10"/>
  <c r="F630" i="10"/>
  <c r="F641" i="10"/>
  <c r="F715" i="10" l="1"/>
  <c r="G625" i="10"/>
  <c r="G711" i="10" l="1"/>
  <c r="G703" i="10"/>
  <c r="G695" i="10"/>
  <c r="G708" i="10"/>
  <c r="G713" i="10"/>
  <c r="G705" i="10"/>
  <c r="G710" i="10"/>
  <c r="G716" i="10"/>
  <c r="G707" i="10"/>
  <c r="G699" i="10"/>
  <c r="G706" i="10"/>
  <c r="G698" i="10"/>
  <c r="G709" i="10"/>
  <c r="G701" i="10"/>
  <c r="G689" i="10"/>
  <c r="G681" i="10"/>
  <c r="G673" i="10"/>
  <c r="G700" i="10"/>
  <c r="G693" i="10"/>
  <c r="G668" i="10"/>
  <c r="G647" i="10"/>
  <c r="G638" i="10"/>
  <c r="G630" i="10"/>
  <c r="G627" i="10"/>
  <c r="G712" i="10"/>
  <c r="G696" i="10"/>
  <c r="G692" i="10"/>
  <c r="G687" i="10"/>
  <c r="G682" i="10"/>
  <c r="G677" i="10"/>
  <c r="G672" i="10"/>
  <c r="G639" i="10"/>
  <c r="G697" i="10"/>
  <c r="G691" i="10"/>
  <c r="G686" i="10"/>
  <c r="G640" i="10"/>
  <c r="G632" i="10"/>
  <c r="G676" i="10"/>
  <c r="G671" i="10"/>
  <c r="G641" i="10"/>
  <c r="G702" i="10"/>
  <c r="G643" i="10"/>
  <c r="G635" i="10"/>
  <c r="G633" i="10"/>
  <c r="G684" i="10"/>
  <c r="G675" i="10"/>
  <c r="G646" i="10"/>
  <c r="G637" i="10"/>
  <c r="G631" i="10"/>
  <c r="G629" i="10"/>
  <c r="G626" i="10"/>
  <c r="G690" i="10"/>
  <c r="G688" i="10"/>
  <c r="G679" i="10"/>
  <c r="G670" i="10"/>
  <c r="G645" i="10"/>
  <c r="G642" i="10"/>
  <c r="G636" i="10"/>
  <c r="G634" i="10"/>
  <c r="G685" i="10"/>
  <c r="G683" i="10"/>
  <c r="G674" i="10"/>
  <c r="G628" i="10"/>
  <c r="G704" i="10"/>
  <c r="G680" i="10"/>
  <c r="G678" i="10"/>
  <c r="G669" i="10"/>
  <c r="G694" i="10"/>
  <c r="G644" i="10"/>
  <c r="H628" i="10" l="1"/>
  <c r="G715" i="10"/>
  <c r="H708" i="10" l="1"/>
  <c r="H700" i="10"/>
  <c r="H713" i="10"/>
  <c r="H705" i="10"/>
  <c r="H710" i="10"/>
  <c r="H702" i="10"/>
  <c r="H716" i="10"/>
  <c r="H707" i="10"/>
  <c r="H712" i="10"/>
  <c r="H704" i="10"/>
  <c r="H711" i="10"/>
  <c r="H703" i="10"/>
  <c r="H695" i="10"/>
  <c r="H706" i="10"/>
  <c r="H686" i="10"/>
  <c r="H678" i="10"/>
  <c r="H670" i="10"/>
  <c r="H647" i="10"/>
  <c r="H646" i="10"/>
  <c r="H645" i="10"/>
  <c r="H629" i="10"/>
  <c r="H696" i="10"/>
  <c r="H692" i="10"/>
  <c r="H687" i="10"/>
  <c r="H682" i="10"/>
  <c r="H677" i="10"/>
  <c r="H672" i="10"/>
  <c r="H639" i="10"/>
  <c r="H631" i="10"/>
  <c r="H697" i="10"/>
  <c r="H691" i="10"/>
  <c r="H640" i="10"/>
  <c r="H701" i="10"/>
  <c r="H681" i="10"/>
  <c r="H676" i="10"/>
  <c r="H671" i="10"/>
  <c r="H641" i="10"/>
  <c r="H633" i="10"/>
  <c r="H690" i="10"/>
  <c r="H685" i="10"/>
  <c r="H680" i="10"/>
  <c r="H675" i="10"/>
  <c r="H642" i="10"/>
  <c r="H689" i="10"/>
  <c r="H684" i="10"/>
  <c r="H679" i="10"/>
  <c r="H674" i="10"/>
  <c r="H669" i="10"/>
  <c r="H644" i="10"/>
  <c r="H636" i="10"/>
  <c r="H643" i="10"/>
  <c r="H637" i="10"/>
  <c r="H699" i="10"/>
  <c r="H693" i="10"/>
  <c r="H673" i="10"/>
  <c r="H688" i="10"/>
  <c r="H709" i="10"/>
  <c r="H698" i="10"/>
  <c r="H668" i="10"/>
  <c r="H634" i="10"/>
  <c r="H683" i="10"/>
  <c r="H632" i="10"/>
  <c r="H694" i="10"/>
  <c r="H630" i="10"/>
  <c r="H635" i="10"/>
  <c r="H638" i="10"/>
  <c r="H715" i="10" l="1"/>
  <c r="I629" i="10"/>
  <c r="I713" i="10" l="1"/>
  <c r="I705" i="10"/>
  <c r="I697" i="10"/>
  <c r="I710" i="10"/>
  <c r="I716" i="10"/>
  <c r="I707" i="10"/>
  <c r="I712" i="10"/>
  <c r="I709" i="10"/>
  <c r="I701" i="10"/>
  <c r="I708" i="10"/>
  <c r="I700" i="10"/>
  <c r="I691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03" i="10"/>
  <c r="I686" i="10"/>
  <c r="I681" i="10"/>
  <c r="I676" i="10"/>
  <c r="I671" i="10"/>
  <c r="I690" i="10"/>
  <c r="I685" i="10"/>
  <c r="I680" i="10"/>
  <c r="I711" i="10"/>
  <c r="I704" i="10"/>
  <c r="I698" i="10"/>
  <c r="I670" i="10"/>
  <c r="I706" i="10"/>
  <c r="I699" i="10"/>
  <c r="I694" i="10"/>
  <c r="I688" i="10"/>
  <c r="I645" i="10"/>
  <c r="I696" i="10"/>
  <c r="I693" i="10"/>
  <c r="I684" i="10"/>
  <c r="I682" i="10"/>
  <c r="I673" i="10"/>
  <c r="I646" i="10"/>
  <c r="I702" i="10"/>
  <c r="I679" i="10"/>
  <c r="I677" i="10"/>
  <c r="I668" i="10"/>
  <c r="I695" i="10"/>
  <c r="I692" i="10"/>
  <c r="I674" i="10"/>
  <c r="I672" i="10"/>
  <c r="I678" i="10"/>
  <c r="I689" i="10"/>
  <c r="I687" i="10"/>
  <c r="I669" i="10"/>
  <c r="I647" i="10"/>
  <c r="I715" i="10" l="1"/>
  <c r="J630" i="10"/>
  <c r="J710" i="10" l="1"/>
  <c r="J702" i="10"/>
  <c r="J694" i="10"/>
  <c r="J716" i="10"/>
  <c r="J707" i="10"/>
  <c r="J712" i="10"/>
  <c r="J704" i="10"/>
  <c r="J709" i="10"/>
  <c r="J706" i="10"/>
  <c r="J698" i="10"/>
  <c r="J713" i="10"/>
  <c r="J705" i="10"/>
  <c r="J697" i="10"/>
  <c r="J696" i="10"/>
  <c r="J688" i="10"/>
  <c r="J680" i="10"/>
  <c r="J672" i="10"/>
  <c r="J691" i="10"/>
  <c r="J686" i="10"/>
  <c r="J681" i="10"/>
  <c r="J676" i="10"/>
  <c r="J671" i="10"/>
  <c r="J640" i="10"/>
  <c r="J632" i="10"/>
  <c r="J708" i="10"/>
  <c r="J701" i="10"/>
  <c r="J690" i="10"/>
  <c r="J685" i="10"/>
  <c r="J641" i="10"/>
  <c r="J711" i="10"/>
  <c r="J675" i="10"/>
  <c r="J670" i="10"/>
  <c r="J642" i="10"/>
  <c r="J634" i="10"/>
  <c r="J689" i="10"/>
  <c r="J684" i="10"/>
  <c r="J679" i="10"/>
  <c r="J674" i="10"/>
  <c r="J669" i="10"/>
  <c r="J643" i="10"/>
  <c r="J693" i="10"/>
  <c r="J683" i="10"/>
  <c r="J678" i="10"/>
  <c r="J673" i="10"/>
  <c r="J668" i="10"/>
  <c r="J646" i="10"/>
  <c r="J637" i="10"/>
  <c r="J699" i="10"/>
  <c r="J631" i="10"/>
  <c r="J703" i="10"/>
  <c r="J677" i="10"/>
  <c r="J695" i="10"/>
  <c r="J645" i="10"/>
  <c r="J692" i="10"/>
  <c r="J639" i="10"/>
  <c r="J636" i="10"/>
  <c r="J687" i="10"/>
  <c r="J647" i="10"/>
  <c r="J644" i="10"/>
  <c r="J638" i="10"/>
  <c r="J700" i="10"/>
  <c r="J682" i="10"/>
  <c r="J633" i="10"/>
  <c r="J635" i="10"/>
  <c r="J715" i="10" l="1"/>
  <c r="K644" i="10"/>
  <c r="L647" i="10"/>
  <c r="L712" i="10" l="1"/>
  <c r="L704" i="10"/>
  <c r="L696" i="10"/>
  <c r="L709" i="10"/>
  <c r="L706" i="10"/>
  <c r="L711" i="10"/>
  <c r="L708" i="10"/>
  <c r="M708" i="10" s="1"/>
  <c r="Y774" i="10" s="1"/>
  <c r="L700" i="10"/>
  <c r="L716" i="10"/>
  <c r="L707" i="10"/>
  <c r="L699" i="10"/>
  <c r="L702" i="10"/>
  <c r="L697" i="10"/>
  <c r="L694" i="10"/>
  <c r="L693" i="10"/>
  <c r="M693" i="10" s="1"/>
  <c r="Y759" i="10" s="1"/>
  <c r="L690" i="10"/>
  <c r="L682" i="10"/>
  <c r="L674" i="10"/>
  <c r="L710" i="10"/>
  <c r="L701" i="10"/>
  <c r="L685" i="10"/>
  <c r="L680" i="10"/>
  <c r="L675" i="10"/>
  <c r="M675" i="10" s="1"/>
  <c r="Y741" i="10" s="1"/>
  <c r="L670" i="10"/>
  <c r="L698" i="10"/>
  <c r="L689" i="10"/>
  <c r="L684" i="10"/>
  <c r="L679" i="10"/>
  <c r="L669" i="10"/>
  <c r="L688" i="10"/>
  <c r="L683" i="10"/>
  <c r="M683" i="10" s="1"/>
  <c r="Y749" i="10" s="1"/>
  <c r="L678" i="10"/>
  <c r="L673" i="10"/>
  <c r="L668" i="10"/>
  <c r="L695" i="10"/>
  <c r="L677" i="10"/>
  <c r="L672" i="10"/>
  <c r="L703" i="10"/>
  <c r="M703" i="10" s="1"/>
  <c r="Y769" i="10" s="1"/>
  <c r="L686" i="10"/>
  <c r="M686" i="10" s="1"/>
  <c r="Y752" i="10" s="1"/>
  <c r="L692" i="10"/>
  <c r="L681" i="10"/>
  <c r="L687" i="10"/>
  <c r="L676" i="10"/>
  <c r="L705" i="10"/>
  <c r="L713" i="10"/>
  <c r="L691" i="10"/>
  <c r="M691" i="10" s="1"/>
  <c r="Y757" i="10" s="1"/>
  <c r="L671" i="10"/>
  <c r="M671" i="10" s="1"/>
  <c r="Y737" i="10" s="1"/>
  <c r="K716" i="10"/>
  <c r="K707" i="10"/>
  <c r="K699" i="10"/>
  <c r="K712" i="10"/>
  <c r="K704" i="10"/>
  <c r="K709" i="10"/>
  <c r="K701" i="10"/>
  <c r="K706" i="10"/>
  <c r="K711" i="10"/>
  <c r="K703" i="10"/>
  <c r="K710" i="10"/>
  <c r="K702" i="10"/>
  <c r="K694" i="10"/>
  <c r="K695" i="10"/>
  <c r="K685" i="10"/>
  <c r="K677" i="10"/>
  <c r="K669" i="10"/>
  <c r="K713" i="10"/>
  <c r="K708" i="10"/>
  <c r="K697" i="10"/>
  <c r="K690" i="10"/>
  <c r="K680" i="10"/>
  <c r="K675" i="10"/>
  <c r="K670" i="10"/>
  <c r="K698" i="10"/>
  <c r="K689" i="10"/>
  <c r="K684" i="10"/>
  <c r="K679" i="10"/>
  <c r="K674" i="10"/>
  <c r="K692" i="10"/>
  <c r="K687" i="10"/>
  <c r="K682" i="10"/>
  <c r="K688" i="10"/>
  <c r="K686" i="10"/>
  <c r="K668" i="10"/>
  <c r="K683" i="10"/>
  <c r="K681" i="10"/>
  <c r="K672" i="10"/>
  <c r="K678" i="10"/>
  <c r="K676" i="10"/>
  <c r="K696" i="10"/>
  <c r="K693" i="10"/>
  <c r="K691" i="10"/>
  <c r="K673" i="10"/>
  <c r="K671" i="10"/>
  <c r="K705" i="10"/>
  <c r="K700" i="10"/>
  <c r="M692" i="10" l="1"/>
  <c r="Y758" i="10" s="1"/>
  <c r="M678" i="10"/>
  <c r="Y744" i="10" s="1"/>
  <c r="M670" i="10"/>
  <c r="Y736" i="10" s="1"/>
  <c r="M690" i="10"/>
  <c r="Y756" i="10" s="1"/>
  <c r="M700" i="10"/>
  <c r="Y766" i="10" s="1"/>
  <c r="M688" i="10"/>
  <c r="Y754" i="10" s="1"/>
  <c r="M680" i="10"/>
  <c r="Y746" i="10" s="1"/>
  <c r="M694" i="10"/>
  <c r="Y760" i="10" s="1"/>
  <c r="M711" i="10"/>
  <c r="Y777" i="10" s="1"/>
  <c r="M713" i="10"/>
  <c r="Y779" i="10" s="1"/>
  <c r="M672" i="10"/>
  <c r="Y738" i="10" s="1"/>
  <c r="M669" i="10"/>
  <c r="Y735" i="10" s="1"/>
  <c r="M685" i="10"/>
  <c r="Y751" i="10" s="1"/>
  <c r="M697" i="10"/>
  <c r="Y763" i="10" s="1"/>
  <c r="M706" i="10"/>
  <c r="Y772" i="10" s="1"/>
  <c r="M705" i="10"/>
  <c r="Y771" i="10" s="1"/>
  <c r="M677" i="10"/>
  <c r="Y743" i="10" s="1"/>
  <c r="M679" i="10"/>
  <c r="Y745" i="10" s="1"/>
  <c r="M701" i="10"/>
  <c r="Y767" i="10" s="1"/>
  <c r="M702" i="10"/>
  <c r="Y768" i="10" s="1"/>
  <c r="M709" i="10"/>
  <c r="Y775" i="10" s="1"/>
  <c r="M676" i="10"/>
  <c r="Y742" i="10" s="1"/>
  <c r="M695" i="10"/>
  <c r="Y761" i="10" s="1"/>
  <c r="M684" i="10"/>
  <c r="Y750" i="10" s="1"/>
  <c r="M710" i="10"/>
  <c r="Y776" i="10" s="1"/>
  <c r="M699" i="10"/>
  <c r="Y765" i="10" s="1"/>
  <c r="M696" i="10"/>
  <c r="Y762" i="10" s="1"/>
  <c r="K715" i="10"/>
  <c r="M687" i="10"/>
  <c r="Y753" i="10" s="1"/>
  <c r="L715" i="10"/>
  <c r="M668" i="10"/>
  <c r="M689" i="10"/>
  <c r="Y755" i="10" s="1"/>
  <c r="M674" i="10"/>
  <c r="Y740" i="10" s="1"/>
  <c r="M707" i="10"/>
  <c r="Y773" i="10" s="1"/>
  <c r="M704" i="10"/>
  <c r="Y770" i="10" s="1"/>
  <c r="M681" i="10"/>
  <c r="Y747" i="10" s="1"/>
  <c r="M673" i="10"/>
  <c r="Y739" i="10" s="1"/>
  <c r="M698" i="10"/>
  <c r="Y764" i="10" s="1"/>
  <c r="M682" i="10"/>
  <c r="Y748" i="10" s="1"/>
  <c r="M712" i="10"/>
  <c r="Y778" i="10" s="1"/>
  <c r="M715" i="10" l="1"/>
  <c r="Y734" i="10"/>
  <c r="Y815" i="10" s="1"/>
  <c r="D140" i="1" l="1"/>
  <c r="B140" i="1"/>
  <c r="D139" i="1" l="1"/>
  <c r="D138" i="1"/>
  <c r="C389" i="1" l="1"/>
  <c r="C227" i="1" l="1"/>
  <c r="B202" i="1"/>
  <c r="C184" i="1"/>
  <c r="C183" i="1"/>
  <c r="C175" i="1"/>
  <c r="D111" i="1" l="1"/>
  <c r="C111" i="1"/>
  <c r="H79" i="1" l="1"/>
  <c r="BC69" i="1"/>
  <c r="H77" i="1"/>
  <c r="F493" i="1" l="1"/>
  <c r="D493" i="1"/>
  <c r="B493" i="1"/>
  <c r="A493" i="1" l="1"/>
  <c r="C115" i="8"/>
  <c r="C444" i="1"/>
  <c r="D367" i="1"/>
  <c r="C119" i="8" s="1"/>
  <c r="D221" i="1"/>
  <c r="D5" i="7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I362" i="9" s="1"/>
  <c r="CE61" i="1"/>
  <c r="BK48" i="1" s="1"/>
  <c r="BK62" i="1" s="1"/>
  <c r="G268" i="9" s="1"/>
  <c r="CE65" i="1"/>
  <c r="C431" i="1" s="1"/>
  <c r="CE63" i="1"/>
  <c r="CE66" i="1"/>
  <c r="I368" i="9" s="1"/>
  <c r="CE68" i="1"/>
  <c r="I370" i="9" s="1"/>
  <c r="D75" i="1"/>
  <c r="AR75" i="1"/>
  <c r="I186" i="9" s="1"/>
  <c r="AS75" i="1"/>
  <c r="AT75" i="1"/>
  <c r="AU75" i="1"/>
  <c r="AQ75" i="1"/>
  <c r="H186" i="9" s="1"/>
  <c r="AO75" i="1"/>
  <c r="AN75" i="1"/>
  <c r="AM75" i="1"/>
  <c r="AI75" i="1"/>
  <c r="AH75" i="1"/>
  <c r="F154" i="9" s="1"/>
  <c r="AF75" i="1"/>
  <c r="D154" i="9" s="1"/>
  <c r="AD75" i="1"/>
  <c r="AA75" i="1"/>
  <c r="Z75" i="1"/>
  <c r="X75" i="1"/>
  <c r="W75" i="1"/>
  <c r="V75" i="1"/>
  <c r="T75" i="1"/>
  <c r="F90" i="9" s="1"/>
  <c r="R75" i="1"/>
  <c r="Q75" i="1"/>
  <c r="C90" i="9" s="1"/>
  <c r="P75" i="1"/>
  <c r="O75" i="1"/>
  <c r="H58" i="9" s="1"/>
  <c r="N75" i="1"/>
  <c r="G58" i="9" s="1"/>
  <c r="M75" i="1"/>
  <c r="F58" i="9" s="1"/>
  <c r="L75" i="1"/>
  <c r="I75" i="1"/>
  <c r="I26" i="9" s="1"/>
  <c r="H75" i="1"/>
  <c r="H26" i="9" s="1"/>
  <c r="G75" i="1"/>
  <c r="F75" i="1"/>
  <c r="F26" i="9" s="1"/>
  <c r="AV75" i="1"/>
  <c r="AP75" i="1"/>
  <c r="AJ75" i="1"/>
  <c r="AL75" i="1"/>
  <c r="AK75" i="1"/>
  <c r="I154" i="9" s="1"/>
  <c r="AG75" i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CE69" i="1"/>
  <c r="I371" i="9" s="1"/>
  <c r="D361" i="1"/>
  <c r="D372" i="1"/>
  <c r="C125" i="8" s="1"/>
  <c r="D260" i="1"/>
  <c r="C16" i="8" s="1"/>
  <c r="D265" i="1"/>
  <c r="C22" i="8" s="1"/>
  <c r="D275" i="1"/>
  <c r="B476" i="1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C469" i="1" s="1"/>
  <c r="E197" i="1"/>
  <c r="F9" i="6" s="1"/>
  <c r="E198" i="1"/>
  <c r="E199" i="1"/>
  <c r="C472" i="1" s="1"/>
  <c r="E200" i="1"/>
  <c r="F12" i="6" s="1"/>
  <c r="E201" i="1"/>
  <c r="F13" i="6" s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C34" i="5" s="1"/>
  <c r="D181" i="1"/>
  <c r="D177" i="1"/>
  <c r="C20" i="5" s="1"/>
  <c r="E154" i="1"/>
  <c r="F28" i="4" s="1"/>
  <c r="E153" i="1"/>
  <c r="E28" i="4" s="1"/>
  <c r="E152" i="1"/>
  <c r="D28" i="4" s="1"/>
  <c r="E151" i="1"/>
  <c r="C28" i="4" s="1"/>
  <c r="E150" i="1"/>
  <c r="E148" i="1"/>
  <c r="E147" i="1"/>
  <c r="E19" i="4" s="1"/>
  <c r="E146" i="1"/>
  <c r="D19" i="4" s="1"/>
  <c r="E145" i="1"/>
  <c r="C19" i="4" s="1"/>
  <c r="E144" i="1"/>
  <c r="C417" i="1" s="1"/>
  <c r="E141" i="1"/>
  <c r="E10" i="4" s="1"/>
  <c r="E140" i="1"/>
  <c r="D10" i="4" s="1"/>
  <c r="E139" i="1"/>
  <c r="C10" i="4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6" i="9"/>
  <c r="CE64" i="1"/>
  <c r="I366" i="9" s="1"/>
  <c r="D368" i="9"/>
  <c r="C276" i="9"/>
  <c r="CE70" i="1"/>
  <c r="CE76" i="1"/>
  <c r="D612" i="1" s="1"/>
  <c r="CE77" i="1"/>
  <c r="G612" i="1" s="1"/>
  <c r="I29" i="9"/>
  <c r="C95" i="9"/>
  <c r="CE79" i="1"/>
  <c r="J612" i="1" s="1"/>
  <c r="E142" i="1"/>
  <c r="G9" i="4"/>
  <c r="F9" i="4"/>
  <c r="E138" i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D71" i="1"/>
  <c r="E373" i="9" s="1"/>
  <c r="C615" i="1"/>
  <c r="E372" i="9"/>
  <c r="C440" i="1" l="1"/>
  <c r="D368" i="1"/>
  <c r="C120" i="8" s="1"/>
  <c r="F8" i="6"/>
  <c r="CB48" i="1"/>
  <c r="CB62" i="1" s="1"/>
  <c r="C364" i="9" s="1"/>
  <c r="D13" i="7"/>
  <c r="F11" i="6"/>
  <c r="F15" i="6"/>
  <c r="D436" i="1"/>
  <c r="B19" i="4"/>
  <c r="D32" i="6"/>
  <c r="D463" i="1"/>
  <c r="C464" i="1"/>
  <c r="P48" i="1"/>
  <c r="P62" i="1" s="1"/>
  <c r="AP48" i="1"/>
  <c r="AP62" i="1" s="1"/>
  <c r="G172" i="9" s="1"/>
  <c r="C432" i="1"/>
  <c r="C415" i="1"/>
  <c r="BT48" i="1"/>
  <c r="BT62" i="1" s="1"/>
  <c r="AC48" i="1"/>
  <c r="AC62" i="1" s="1"/>
  <c r="H108" i="9" s="1"/>
  <c r="CC48" i="1"/>
  <c r="CC62" i="1" s="1"/>
  <c r="AV48" i="1"/>
  <c r="AV62" i="1" s="1"/>
  <c r="F204" i="9" s="1"/>
  <c r="BY48" i="1"/>
  <c r="BY62" i="1" s="1"/>
  <c r="G332" i="9" s="1"/>
  <c r="AG48" i="1"/>
  <c r="AG62" i="1" s="1"/>
  <c r="E140" i="9" s="1"/>
  <c r="I363" i="9"/>
  <c r="BD48" i="1"/>
  <c r="BD62" i="1" s="1"/>
  <c r="BE48" i="1"/>
  <c r="BE62" i="1" s="1"/>
  <c r="O48" i="1"/>
  <c r="O62" i="1" s="1"/>
  <c r="C434" i="1"/>
  <c r="J48" i="1"/>
  <c r="J62" i="1" s="1"/>
  <c r="C44" i="9" s="1"/>
  <c r="Z48" i="1"/>
  <c r="Z62" i="1" s="1"/>
  <c r="E108" i="9" s="1"/>
  <c r="BL48" i="1"/>
  <c r="BL62" i="1" s="1"/>
  <c r="BG48" i="1"/>
  <c r="BG62" i="1" s="1"/>
  <c r="E48" i="1"/>
  <c r="E62" i="1" s="1"/>
  <c r="M48" i="1"/>
  <c r="M62" i="1" s="1"/>
  <c r="AS48" i="1"/>
  <c r="AS62" i="1" s="1"/>
  <c r="G19" i="4"/>
  <c r="B440" i="1"/>
  <c r="C429" i="1"/>
  <c r="F19" i="4"/>
  <c r="AJ48" i="1"/>
  <c r="AJ62" i="1" s="1"/>
  <c r="BF48" i="1"/>
  <c r="BF62" i="1" s="1"/>
  <c r="I236" i="9" s="1"/>
  <c r="CA48" i="1"/>
  <c r="CA62" i="1" s="1"/>
  <c r="BO48" i="1"/>
  <c r="BO62" i="1" s="1"/>
  <c r="D300" i="9" s="1"/>
  <c r="C427" i="1"/>
  <c r="D48" i="1"/>
  <c r="D62" i="1" s="1"/>
  <c r="D12" i="9" s="1"/>
  <c r="T48" i="1"/>
  <c r="T62" i="1" s="1"/>
  <c r="W48" i="1"/>
  <c r="W62" i="1" s="1"/>
  <c r="I90" i="9"/>
  <c r="I365" i="9"/>
  <c r="CF77" i="1"/>
  <c r="AD48" i="1"/>
  <c r="AD62" i="1" s="1"/>
  <c r="I108" i="9" s="1"/>
  <c r="AX48" i="1"/>
  <c r="AX62" i="1" s="1"/>
  <c r="BN48" i="1"/>
  <c r="BN62" i="1" s="1"/>
  <c r="BV48" i="1"/>
  <c r="BV62" i="1" s="1"/>
  <c r="C48" i="1"/>
  <c r="AI48" i="1"/>
  <c r="AI62" i="1" s="1"/>
  <c r="BS48" i="1"/>
  <c r="BS62" i="1" s="1"/>
  <c r="I381" i="9"/>
  <c r="R48" i="1"/>
  <c r="R62" i="1" s="1"/>
  <c r="D76" i="9" s="1"/>
  <c r="AL48" i="1"/>
  <c r="AL62" i="1" s="1"/>
  <c r="AZ48" i="1"/>
  <c r="AZ62" i="1" s="1"/>
  <c r="BP48" i="1"/>
  <c r="BP62" i="1" s="1"/>
  <c r="S48" i="1"/>
  <c r="S62" i="1" s="1"/>
  <c r="AO48" i="1"/>
  <c r="AO62" i="1" s="1"/>
  <c r="U48" i="1"/>
  <c r="U62" i="1" s="1"/>
  <c r="G76" i="9" s="1"/>
  <c r="BQ48" i="1"/>
  <c r="BQ62" i="1" s="1"/>
  <c r="BZ48" i="1"/>
  <c r="BZ62" i="1" s="1"/>
  <c r="C218" i="9"/>
  <c r="H48" i="1"/>
  <c r="H62" i="1" s="1"/>
  <c r="X48" i="1"/>
  <c r="X62" i="1" s="1"/>
  <c r="C421" i="1"/>
  <c r="C470" i="1"/>
  <c r="N48" i="1"/>
  <c r="N62" i="1" s="1"/>
  <c r="G44" i="9" s="1"/>
  <c r="K48" i="1"/>
  <c r="K62" i="1" s="1"/>
  <c r="I48" i="1"/>
  <c r="I62" i="1" s="1"/>
  <c r="I12" i="9" s="1"/>
  <c r="BM48" i="1"/>
  <c r="BM62" i="1" s="1"/>
  <c r="BA48" i="1"/>
  <c r="BA62" i="1" s="1"/>
  <c r="D236" i="9" s="1"/>
  <c r="BC48" i="1"/>
  <c r="BC62" i="1" s="1"/>
  <c r="G48" i="1"/>
  <c r="G62" i="1" s="1"/>
  <c r="G12" i="9" s="1"/>
  <c r="AF48" i="1"/>
  <c r="AF62" i="1" s="1"/>
  <c r="AR48" i="1"/>
  <c r="AR62" i="1" s="1"/>
  <c r="BH48" i="1"/>
  <c r="BH62" i="1" s="1"/>
  <c r="D268" i="9" s="1"/>
  <c r="AQ48" i="1"/>
  <c r="AQ62" i="1" s="1"/>
  <c r="Q48" i="1"/>
  <c r="Q62" i="1" s="1"/>
  <c r="C76" i="9" s="1"/>
  <c r="BI48" i="1"/>
  <c r="BI62" i="1" s="1"/>
  <c r="F48" i="1"/>
  <c r="F62" i="1" s="1"/>
  <c r="F12" i="9" s="1"/>
  <c r="V48" i="1"/>
  <c r="V62" i="1" s="1"/>
  <c r="H76" i="9" s="1"/>
  <c r="AH48" i="1"/>
  <c r="AH62" i="1" s="1"/>
  <c r="AN48" i="1"/>
  <c r="AN62" i="1" s="1"/>
  <c r="AT48" i="1"/>
  <c r="AT62" i="1" s="1"/>
  <c r="D204" i="9" s="1"/>
  <c r="BB48" i="1"/>
  <c r="BB62" i="1" s="1"/>
  <c r="E236" i="9" s="1"/>
  <c r="BJ48" i="1"/>
  <c r="BJ62" i="1" s="1"/>
  <c r="F268" i="9" s="1"/>
  <c r="BR48" i="1"/>
  <c r="BR62" i="1" s="1"/>
  <c r="G300" i="9" s="1"/>
  <c r="BX48" i="1"/>
  <c r="BX62" i="1" s="1"/>
  <c r="AA48" i="1"/>
  <c r="AA62" i="1" s="1"/>
  <c r="F108" i="9" s="1"/>
  <c r="AY48" i="1"/>
  <c r="AY62" i="1" s="1"/>
  <c r="BW48" i="1"/>
  <c r="BW62" i="1" s="1"/>
  <c r="E332" i="9" s="1"/>
  <c r="Y48" i="1"/>
  <c r="Y62" i="1" s="1"/>
  <c r="AW48" i="1"/>
  <c r="AW62" i="1" s="1"/>
  <c r="BU48" i="1"/>
  <c r="BU62" i="1" s="1"/>
  <c r="AK48" i="1"/>
  <c r="AK62" i="1" s="1"/>
  <c r="AM48" i="1"/>
  <c r="AM62" i="1" s="1"/>
  <c r="D172" i="9" s="1"/>
  <c r="AE48" i="1"/>
  <c r="AE62" i="1" s="1"/>
  <c r="AU48" i="1"/>
  <c r="AU62" i="1" s="1"/>
  <c r="L48" i="1"/>
  <c r="L62" i="1" s="1"/>
  <c r="AB48" i="1"/>
  <c r="AB62" i="1" s="1"/>
  <c r="G28" i="4"/>
  <c r="I382" i="9"/>
  <c r="I612" i="1"/>
  <c r="F122" i="9"/>
  <c r="C14" i="5"/>
  <c r="D428" i="1"/>
  <c r="I380" i="9"/>
  <c r="D277" i="1"/>
  <c r="C35" i="8" s="1"/>
  <c r="C33" i="8"/>
  <c r="E218" i="9"/>
  <c r="H612" i="1"/>
  <c r="B444" i="1"/>
  <c r="CF76" i="1"/>
  <c r="AB52" i="1" s="1"/>
  <c r="AB67" i="1" s="1"/>
  <c r="C575" i="1"/>
  <c r="C473" i="1"/>
  <c r="D330" i="1"/>
  <c r="C86" i="8" s="1"/>
  <c r="D435" i="1"/>
  <c r="C27" i="5"/>
  <c r="E154" i="9"/>
  <c r="G186" i="9"/>
  <c r="H90" i="9"/>
  <c r="E122" i="9"/>
  <c r="E186" i="9"/>
  <c r="I58" i="9"/>
  <c r="G122" i="9"/>
  <c r="C414" i="1"/>
  <c r="B10" i="4"/>
  <c r="F10" i="4"/>
  <c r="G10" i="4"/>
  <c r="C458" i="1"/>
  <c r="I372" i="9"/>
  <c r="F612" i="1"/>
  <c r="C430" i="1"/>
  <c r="E58" i="9"/>
  <c r="C141" i="8"/>
  <c r="B465" i="1"/>
  <c r="C112" i="8"/>
  <c r="D218" i="9"/>
  <c r="C186" i="9"/>
  <c r="I122" i="9"/>
  <c r="G154" i="9"/>
  <c r="C122" i="9"/>
  <c r="D186" i="9"/>
  <c r="B446" i="1"/>
  <c r="D242" i="1"/>
  <c r="C418" i="1"/>
  <c r="D438" i="1"/>
  <c r="F14" i="6"/>
  <c r="C471" i="1"/>
  <c r="F10" i="6"/>
  <c r="D26" i="9"/>
  <c r="CE75" i="1"/>
  <c r="F7" i="6"/>
  <c r="E204" i="1"/>
  <c r="C468" i="1"/>
  <c r="I383" i="9"/>
  <c r="D22" i="7"/>
  <c r="C40" i="5"/>
  <c r="C420" i="1"/>
  <c r="B28" i="4"/>
  <c r="F186" i="9"/>
  <c r="I376" i="9"/>
  <c r="C463" i="1"/>
  <c r="D58" i="9"/>
  <c r="G26" i="9"/>
  <c r="E217" i="1"/>
  <c r="I384" i="9"/>
  <c r="L612" i="1"/>
  <c r="F218" i="9"/>
  <c r="D90" i="9"/>
  <c r="D464" i="1"/>
  <c r="H154" i="9"/>
  <c r="I367" i="9"/>
  <c r="D434" i="1"/>
  <c r="C58" i="9"/>
  <c r="G140" i="9" l="1"/>
  <c r="AY52" i="1"/>
  <c r="AY67" i="1" s="1"/>
  <c r="D373" i="1"/>
  <c r="C126" i="8" s="1"/>
  <c r="E12" i="9"/>
  <c r="H498" i="1"/>
  <c r="H140" i="9"/>
  <c r="E300" i="9"/>
  <c r="C332" i="9"/>
  <c r="I44" i="9"/>
  <c r="C300" i="9"/>
  <c r="D465" i="1"/>
  <c r="C108" i="9"/>
  <c r="F140" i="9"/>
  <c r="I300" i="9"/>
  <c r="C140" i="9"/>
  <c r="H44" i="9"/>
  <c r="E268" i="9"/>
  <c r="F524" i="1"/>
  <c r="D108" i="9"/>
  <c r="D140" i="9"/>
  <c r="D364" i="9"/>
  <c r="D332" i="9"/>
  <c r="AX52" i="1"/>
  <c r="AX67" i="1" s="1"/>
  <c r="H209" i="9" s="1"/>
  <c r="BF52" i="1"/>
  <c r="BF67" i="1" s="1"/>
  <c r="I241" i="9" s="1"/>
  <c r="G236" i="9"/>
  <c r="C268" i="9"/>
  <c r="BV52" i="1"/>
  <c r="BV67" i="1" s="1"/>
  <c r="D337" i="9" s="1"/>
  <c r="H172" i="9"/>
  <c r="T52" i="1"/>
  <c r="T67" i="1" s="1"/>
  <c r="F332" i="9"/>
  <c r="AB71" i="1"/>
  <c r="C521" i="1" s="1"/>
  <c r="G521" i="1" s="1"/>
  <c r="H204" i="9"/>
  <c r="H268" i="9"/>
  <c r="E76" i="9"/>
  <c r="G108" i="9"/>
  <c r="H332" i="9"/>
  <c r="E204" i="9"/>
  <c r="I332" i="9"/>
  <c r="F300" i="9"/>
  <c r="C236" i="9"/>
  <c r="H236" i="9"/>
  <c r="F44" i="9"/>
  <c r="F236" i="9"/>
  <c r="I204" i="9"/>
  <c r="F515" i="1"/>
  <c r="D44" i="9"/>
  <c r="F76" i="9"/>
  <c r="I172" i="9"/>
  <c r="I140" i="9"/>
  <c r="C204" i="9"/>
  <c r="AV52" i="1"/>
  <c r="AV67" i="1" s="1"/>
  <c r="AV71" i="1" s="1"/>
  <c r="C713" i="1" s="1"/>
  <c r="BC52" i="1"/>
  <c r="BC67" i="1" s="1"/>
  <c r="H300" i="9"/>
  <c r="BE52" i="1"/>
  <c r="BE67" i="1" s="1"/>
  <c r="AK52" i="1"/>
  <c r="AK67" i="1" s="1"/>
  <c r="AW52" i="1"/>
  <c r="AW67" i="1" s="1"/>
  <c r="G209" i="9" s="1"/>
  <c r="BY52" i="1"/>
  <c r="BY67" i="1" s="1"/>
  <c r="G337" i="9" s="1"/>
  <c r="AM52" i="1"/>
  <c r="AM67" i="1" s="1"/>
  <c r="D177" i="9" s="1"/>
  <c r="I76" i="9"/>
  <c r="C172" i="9"/>
  <c r="I268" i="9"/>
  <c r="AT52" i="1"/>
  <c r="AT67" i="1" s="1"/>
  <c r="D209" i="9" s="1"/>
  <c r="BU52" i="1"/>
  <c r="BU67" i="1" s="1"/>
  <c r="BU71" i="1" s="1"/>
  <c r="C341" i="9" s="1"/>
  <c r="AQ52" i="1"/>
  <c r="AQ67" i="1" s="1"/>
  <c r="H177" i="9" s="1"/>
  <c r="BX52" i="1"/>
  <c r="BX67" i="1" s="1"/>
  <c r="N52" i="1"/>
  <c r="N67" i="1" s="1"/>
  <c r="AG52" i="1"/>
  <c r="AG67" i="1" s="1"/>
  <c r="E145" i="9" s="1"/>
  <c r="BR52" i="1"/>
  <c r="BR67" i="1" s="1"/>
  <c r="AA52" i="1"/>
  <c r="AA67" i="1" s="1"/>
  <c r="F113" i="9" s="1"/>
  <c r="M52" i="1"/>
  <c r="M67" i="1" s="1"/>
  <c r="F49" i="9" s="1"/>
  <c r="CB52" i="1"/>
  <c r="CB67" i="1" s="1"/>
  <c r="F52" i="1"/>
  <c r="F67" i="1" s="1"/>
  <c r="F17" i="9" s="1"/>
  <c r="BD52" i="1"/>
  <c r="BD67" i="1" s="1"/>
  <c r="G204" i="9"/>
  <c r="D339" i="1"/>
  <c r="C102" i="8" s="1"/>
  <c r="H517" i="1"/>
  <c r="F172" i="9"/>
  <c r="E52" i="1"/>
  <c r="E67" i="1" s="1"/>
  <c r="V52" i="1"/>
  <c r="V67" i="1" s="1"/>
  <c r="AH52" i="1"/>
  <c r="AH67" i="1" s="1"/>
  <c r="AH71" i="1" s="1"/>
  <c r="C699" i="1" s="1"/>
  <c r="K52" i="1"/>
  <c r="K67" i="1" s="1"/>
  <c r="E44" i="9"/>
  <c r="C62" i="1"/>
  <c r="CE48" i="1"/>
  <c r="Y52" i="1"/>
  <c r="Y67" i="1" s="1"/>
  <c r="D113" i="9" s="1"/>
  <c r="AC52" i="1"/>
  <c r="AC67" i="1" s="1"/>
  <c r="AC71" i="1" s="1"/>
  <c r="C694" i="1" s="1"/>
  <c r="G52" i="1"/>
  <c r="G67" i="1" s="1"/>
  <c r="D52" i="1"/>
  <c r="D67" i="1" s="1"/>
  <c r="BN52" i="1"/>
  <c r="BN67" i="1" s="1"/>
  <c r="C305" i="9" s="1"/>
  <c r="BM52" i="1"/>
  <c r="BM67" i="1" s="1"/>
  <c r="I273" i="9" s="1"/>
  <c r="BQ52" i="1"/>
  <c r="BQ67" i="1" s="1"/>
  <c r="F305" i="9" s="1"/>
  <c r="L52" i="1"/>
  <c r="L67" i="1" s="1"/>
  <c r="L71" i="1" s="1"/>
  <c r="CA52" i="1"/>
  <c r="CA67" i="1" s="1"/>
  <c r="AZ52" i="1"/>
  <c r="AZ67" i="1" s="1"/>
  <c r="AZ71" i="1" s="1"/>
  <c r="C628" i="1" s="1"/>
  <c r="BL52" i="1"/>
  <c r="BL67" i="1" s="1"/>
  <c r="BL71" i="1" s="1"/>
  <c r="E172" i="9"/>
  <c r="H12" i="9"/>
  <c r="G113" i="9"/>
  <c r="D292" i="1"/>
  <c r="D341" i="1" s="1"/>
  <c r="C481" i="1" s="1"/>
  <c r="BG52" i="1"/>
  <c r="BG67" i="1" s="1"/>
  <c r="BG71" i="1" s="1"/>
  <c r="C618" i="1" s="1"/>
  <c r="AD52" i="1"/>
  <c r="AD67" i="1" s="1"/>
  <c r="AD71" i="1" s="1"/>
  <c r="C523" i="1" s="1"/>
  <c r="G523" i="1" s="1"/>
  <c r="BT52" i="1"/>
  <c r="BT67" i="1" s="1"/>
  <c r="BT71" i="1" s="1"/>
  <c r="C640" i="1" s="1"/>
  <c r="O52" i="1"/>
  <c r="O67" i="1" s="1"/>
  <c r="O71" i="1" s="1"/>
  <c r="C52" i="1"/>
  <c r="Q52" i="1"/>
  <c r="Q67" i="1" s="1"/>
  <c r="Q71" i="1" s="1"/>
  <c r="C85" i="9" s="1"/>
  <c r="AU52" i="1"/>
  <c r="AU67" i="1" s="1"/>
  <c r="AU71" i="1" s="1"/>
  <c r="S52" i="1"/>
  <c r="S67" i="1" s="1"/>
  <c r="S71" i="1" s="1"/>
  <c r="E85" i="9" s="1"/>
  <c r="Z52" i="1"/>
  <c r="Z67" i="1" s="1"/>
  <c r="Z71" i="1" s="1"/>
  <c r="E117" i="9" s="1"/>
  <c r="W52" i="1"/>
  <c r="W67" i="1" s="1"/>
  <c r="W71" i="1" s="1"/>
  <c r="BO52" i="1"/>
  <c r="BO67" i="1" s="1"/>
  <c r="BO71" i="1" s="1"/>
  <c r="C627" i="1" s="1"/>
  <c r="J52" i="1"/>
  <c r="J67" i="1" s="1"/>
  <c r="J71" i="1" s="1"/>
  <c r="C53" i="9" s="1"/>
  <c r="AN52" i="1"/>
  <c r="AN67" i="1" s="1"/>
  <c r="AN71" i="1" s="1"/>
  <c r="BK52" i="1"/>
  <c r="BK67" i="1" s="1"/>
  <c r="BK71" i="1" s="1"/>
  <c r="C556" i="1" s="1"/>
  <c r="BB52" i="1"/>
  <c r="BB67" i="1" s="1"/>
  <c r="BB71" i="1" s="1"/>
  <c r="C547" i="1" s="1"/>
  <c r="AS52" i="1"/>
  <c r="AS67" i="1" s="1"/>
  <c r="AS71" i="1" s="1"/>
  <c r="AO52" i="1"/>
  <c r="AO67" i="1" s="1"/>
  <c r="AO71" i="1" s="1"/>
  <c r="CC52" i="1"/>
  <c r="CC67" i="1" s="1"/>
  <c r="CC71" i="1" s="1"/>
  <c r="C620" i="1" s="1"/>
  <c r="AE52" i="1"/>
  <c r="AE67" i="1" s="1"/>
  <c r="AE71" i="1" s="1"/>
  <c r="AR52" i="1"/>
  <c r="AR67" i="1" s="1"/>
  <c r="AR71" i="1" s="1"/>
  <c r="C537" i="1" s="1"/>
  <c r="G537" i="1" s="1"/>
  <c r="BZ52" i="1"/>
  <c r="BZ67" i="1" s="1"/>
  <c r="BZ71" i="1" s="1"/>
  <c r="C646" i="1" s="1"/>
  <c r="BI52" i="1"/>
  <c r="BI67" i="1" s="1"/>
  <c r="BI71" i="1" s="1"/>
  <c r="BA52" i="1"/>
  <c r="BA67" i="1" s="1"/>
  <c r="BA71" i="1" s="1"/>
  <c r="D245" i="9" s="1"/>
  <c r="AP52" i="1"/>
  <c r="AP67" i="1" s="1"/>
  <c r="AP71" i="1" s="1"/>
  <c r="C535" i="1" s="1"/>
  <c r="G535" i="1" s="1"/>
  <c r="R52" i="1"/>
  <c r="R67" i="1" s="1"/>
  <c r="R71" i="1" s="1"/>
  <c r="D85" i="9" s="1"/>
  <c r="P52" i="1"/>
  <c r="P67" i="1" s="1"/>
  <c r="P71" i="1" s="1"/>
  <c r="C509" i="1" s="1"/>
  <c r="G509" i="1" s="1"/>
  <c r="BW52" i="1"/>
  <c r="BW67" i="1" s="1"/>
  <c r="BW71" i="1" s="1"/>
  <c r="C643" i="1" s="1"/>
  <c r="AL52" i="1"/>
  <c r="AL67" i="1" s="1"/>
  <c r="AL71" i="1" s="1"/>
  <c r="X52" i="1"/>
  <c r="X67" i="1" s="1"/>
  <c r="X71" i="1" s="1"/>
  <c r="AF52" i="1"/>
  <c r="AF67" i="1" s="1"/>
  <c r="AF71" i="1" s="1"/>
  <c r="U52" i="1"/>
  <c r="U67" i="1" s="1"/>
  <c r="U71" i="1" s="1"/>
  <c r="G85" i="9" s="1"/>
  <c r="AJ52" i="1"/>
  <c r="AJ67" i="1" s="1"/>
  <c r="AJ71" i="1" s="1"/>
  <c r="C529" i="1" s="1"/>
  <c r="G529" i="1" s="1"/>
  <c r="BP52" i="1"/>
  <c r="BP67" i="1" s="1"/>
  <c r="BP71" i="1" s="1"/>
  <c r="BJ52" i="1"/>
  <c r="BJ67" i="1" s="1"/>
  <c r="BJ71" i="1" s="1"/>
  <c r="C617" i="1" s="1"/>
  <c r="H52" i="1"/>
  <c r="H67" i="1" s="1"/>
  <c r="H71" i="1" s="1"/>
  <c r="BH52" i="1"/>
  <c r="BH67" i="1" s="1"/>
  <c r="BH71" i="1" s="1"/>
  <c r="I52" i="1"/>
  <c r="I67" i="1" s="1"/>
  <c r="I71" i="1" s="1"/>
  <c r="AI52" i="1"/>
  <c r="AI67" i="1" s="1"/>
  <c r="AI71" i="1" s="1"/>
  <c r="C700" i="1" s="1"/>
  <c r="BS52" i="1"/>
  <c r="BS67" i="1" s="1"/>
  <c r="BS71" i="1" s="1"/>
  <c r="D27" i="7"/>
  <c r="B448" i="1"/>
  <c r="I378" i="9"/>
  <c r="K612" i="1"/>
  <c r="C465" i="1"/>
  <c r="F32" i="6"/>
  <c r="C478" i="1"/>
  <c r="C476" i="1"/>
  <c r="F16" i="6"/>
  <c r="F516" i="1"/>
  <c r="H516" i="1"/>
  <c r="F540" i="1"/>
  <c r="AQ71" i="1" l="1"/>
  <c r="C708" i="1" s="1"/>
  <c r="AY71" i="1"/>
  <c r="I213" i="9" s="1"/>
  <c r="AA71" i="1"/>
  <c r="C520" i="1" s="1"/>
  <c r="G520" i="1" s="1"/>
  <c r="F71" i="1"/>
  <c r="C499" i="1" s="1"/>
  <c r="G499" i="1" s="1"/>
  <c r="AW71" i="1"/>
  <c r="C542" i="1" s="1"/>
  <c r="G277" i="9"/>
  <c r="C181" i="9"/>
  <c r="C703" i="1"/>
  <c r="C531" i="1"/>
  <c r="G531" i="1" s="1"/>
  <c r="C213" i="9"/>
  <c r="C710" i="1"/>
  <c r="C538" i="1"/>
  <c r="G538" i="1" s="1"/>
  <c r="C561" i="1"/>
  <c r="C621" i="1"/>
  <c r="E309" i="9"/>
  <c r="C524" i="1"/>
  <c r="G524" i="1" s="1"/>
  <c r="C149" i="9"/>
  <c r="C696" i="1"/>
  <c r="D149" i="9"/>
  <c r="C525" i="1"/>
  <c r="G525" i="1" s="1"/>
  <c r="C697" i="1"/>
  <c r="C554" i="1"/>
  <c r="E277" i="9"/>
  <c r="C634" i="1"/>
  <c r="C688" i="1"/>
  <c r="C516" i="1"/>
  <c r="G516" i="1" s="1"/>
  <c r="I85" i="9"/>
  <c r="E213" i="9"/>
  <c r="C540" i="1"/>
  <c r="C712" i="1"/>
  <c r="C557" i="1"/>
  <c r="H277" i="9"/>
  <c r="C637" i="1"/>
  <c r="H21" i="9"/>
  <c r="C673" i="1"/>
  <c r="C501" i="1"/>
  <c r="G501" i="1" s="1"/>
  <c r="C517" i="1"/>
  <c r="G517" i="1" s="1"/>
  <c r="C117" i="9"/>
  <c r="C689" i="1"/>
  <c r="F181" i="9"/>
  <c r="C706" i="1"/>
  <c r="C534" i="1"/>
  <c r="G534" i="1" s="1"/>
  <c r="C680" i="1"/>
  <c r="C508" i="1"/>
  <c r="G508" i="1" s="1"/>
  <c r="H53" i="9"/>
  <c r="AK71" i="1"/>
  <c r="I149" i="9" s="1"/>
  <c r="AM71" i="1"/>
  <c r="D181" i="9" s="1"/>
  <c r="BM71" i="1"/>
  <c r="C558" i="1" s="1"/>
  <c r="V71" i="1"/>
  <c r="C687" i="1" s="1"/>
  <c r="AX71" i="1"/>
  <c r="BV71" i="1"/>
  <c r="BC71" i="1"/>
  <c r="C369" i="9"/>
  <c r="CB71" i="1"/>
  <c r="E71" i="1"/>
  <c r="E21" i="9" s="1"/>
  <c r="BF71" i="1"/>
  <c r="I245" i="9" s="1"/>
  <c r="AT71" i="1"/>
  <c r="C711" i="1" s="1"/>
  <c r="CA71" i="1"/>
  <c r="C647" i="1" s="1"/>
  <c r="N71" i="1"/>
  <c r="G53" i="9" s="1"/>
  <c r="BE71" i="1"/>
  <c r="C635" i="1"/>
  <c r="D71" i="1"/>
  <c r="D21" i="9" s="1"/>
  <c r="BY71" i="1"/>
  <c r="C645" i="1" s="1"/>
  <c r="G71" i="1"/>
  <c r="C672" i="1" s="1"/>
  <c r="M71" i="1"/>
  <c r="BN71" i="1"/>
  <c r="C309" i="9" s="1"/>
  <c r="AG71" i="1"/>
  <c r="C526" i="1" s="1"/>
  <c r="G526" i="1" s="1"/>
  <c r="BR71" i="1"/>
  <c r="C563" i="1" s="1"/>
  <c r="BQ71" i="1"/>
  <c r="C623" i="1" s="1"/>
  <c r="Y71" i="1"/>
  <c r="T71" i="1"/>
  <c r="BD71" i="1"/>
  <c r="K71" i="1"/>
  <c r="BX71" i="1"/>
  <c r="C503" i="1"/>
  <c r="G503" i="1" s="1"/>
  <c r="C675" i="1"/>
  <c r="F544" i="1"/>
  <c r="F277" i="9"/>
  <c r="C522" i="1"/>
  <c r="G522" i="1" s="1"/>
  <c r="C555" i="1"/>
  <c r="I209" i="9"/>
  <c r="F241" i="9"/>
  <c r="F149" i="9"/>
  <c r="D373" i="9"/>
  <c r="C545" i="1"/>
  <c r="G545" i="1" s="1"/>
  <c r="D391" i="1"/>
  <c r="C142" i="8" s="1"/>
  <c r="G181" i="9"/>
  <c r="C707" i="1"/>
  <c r="F498" i="1"/>
  <c r="G241" i="9"/>
  <c r="C683" i="1"/>
  <c r="C566" i="1"/>
  <c r="C528" i="1"/>
  <c r="G528" i="1" s="1"/>
  <c r="C527" i="1"/>
  <c r="G527" i="1" s="1"/>
  <c r="C574" i="1"/>
  <c r="H341" i="9"/>
  <c r="H117" i="9"/>
  <c r="F81" i="9"/>
  <c r="C245" i="9"/>
  <c r="C571" i="1"/>
  <c r="C681" i="1"/>
  <c r="I53" i="9"/>
  <c r="H499" i="1"/>
  <c r="C511" i="1"/>
  <c r="G511" i="1" s="1"/>
  <c r="C541" i="1"/>
  <c r="H524" i="1"/>
  <c r="C709" i="1"/>
  <c r="F309" i="9"/>
  <c r="C632" i="1"/>
  <c r="C641" i="1"/>
  <c r="G305" i="9"/>
  <c r="F213" i="9"/>
  <c r="C519" i="1"/>
  <c r="G519" i="1" s="1"/>
  <c r="C691" i="1"/>
  <c r="D49" i="9"/>
  <c r="F337" i="9"/>
  <c r="I117" i="9"/>
  <c r="C693" i="1"/>
  <c r="C682" i="1"/>
  <c r="C50" i="8"/>
  <c r="C510" i="1"/>
  <c r="G510" i="1" s="1"/>
  <c r="G117" i="9"/>
  <c r="H81" i="9"/>
  <c r="C277" i="9"/>
  <c r="D17" i="9"/>
  <c r="D309" i="9"/>
  <c r="G49" i="9"/>
  <c r="C552" i="1"/>
  <c r="C546" i="1"/>
  <c r="G546" i="1" s="1"/>
  <c r="I181" i="9"/>
  <c r="C701" i="1"/>
  <c r="H149" i="9"/>
  <c r="E245" i="9"/>
  <c r="G149" i="9"/>
  <c r="C686" i="1"/>
  <c r="C684" i="1"/>
  <c r="C565" i="1"/>
  <c r="I309" i="9"/>
  <c r="C512" i="1"/>
  <c r="G512" i="1" s="1"/>
  <c r="C568" i="1"/>
  <c r="C695" i="1"/>
  <c r="C482" i="1"/>
  <c r="F517" i="1"/>
  <c r="E341" i="9"/>
  <c r="I145" i="9"/>
  <c r="C560" i="1"/>
  <c r="G17" i="9"/>
  <c r="E17" i="9"/>
  <c r="C514" i="1"/>
  <c r="G514" i="1" s="1"/>
  <c r="C630" i="1"/>
  <c r="C559" i="1"/>
  <c r="C553" i="1"/>
  <c r="C636" i="1"/>
  <c r="D277" i="9"/>
  <c r="I337" i="9"/>
  <c r="E49" i="9"/>
  <c r="F145" i="9"/>
  <c r="C337" i="9"/>
  <c r="H113" i="9"/>
  <c r="H241" i="9"/>
  <c r="C533" i="1"/>
  <c r="G533" i="1" s="1"/>
  <c r="C705" i="1"/>
  <c r="E181" i="9"/>
  <c r="H273" i="9"/>
  <c r="C639" i="1"/>
  <c r="H309" i="9"/>
  <c r="C564" i="1"/>
  <c r="C241" i="9"/>
  <c r="C12" i="9"/>
  <c r="CE62" i="1"/>
  <c r="C677" i="1"/>
  <c r="E53" i="9"/>
  <c r="C505" i="1"/>
  <c r="G505" i="1" s="1"/>
  <c r="C674" i="1"/>
  <c r="C502" i="1"/>
  <c r="G502" i="1" s="1"/>
  <c r="I21" i="9"/>
  <c r="F209" i="9"/>
  <c r="I17" i="9"/>
  <c r="E337" i="9"/>
  <c r="D305" i="9"/>
  <c r="I113" i="9"/>
  <c r="G81" i="9"/>
  <c r="C145" i="9"/>
  <c r="H305" i="9"/>
  <c r="H17" i="9"/>
  <c r="C113" i="9"/>
  <c r="D81" i="9"/>
  <c r="H337" i="9"/>
  <c r="F177" i="9"/>
  <c r="E177" i="9"/>
  <c r="E113" i="9"/>
  <c r="H49" i="9"/>
  <c r="E305" i="9"/>
  <c r="D241" i="9"/>
  <c r="E241" i="9"/>
  <c r="C81" i="9"/>
  <c r="D273" i="9"/>
  <c r="H145" i="9"/>
  <c r="D145" i="9"/>
  <c r="I49" i="9"/>
  <c r="E273" i="9"/>
  <c r="D369" i="9"/>
  <c r="G273" i="9"/>
  <c r="I81" i="9"/>
  <c r="C67" i="1"/>
  <c r="C71" i="1" s="1"/>
  <c r="CE52" i="1"/>
  <c r="C273" i="9"/>
  <c r="G145" i="9"/>
  <c r="F273" i="9"/>
  <c r="C177" i="9"/>
  <c r="G177" i="9"/>
  <c r="I177" i="9"/>
  <c r="C209" i="9"/>
  <c r="C49" i="9"/>
  <c r="E81" i="9"/>
  <c r="E209" i="9"/>
  <c r="I305" i="9"/>
  <c r="F497" i="1"/>
  <c r="H497" i="1"/>
  <c r="F501" i="1"/>
  <c r="H501" i="1" s="1"/>
  <c r="F511" i="1"/>
  <c r="H511" i="1"/>
  <c r="H505" i="1"/>
  <c r="F505" i="1"/>
  <c r="F522" i="1"/>
  <c r="H522" i="1"/>
  <c r="F510" i="1"/>
  <c r="H510" i="1"/>
  <c r="F513" i="1"/>
  <c r="H513" i="1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H512" i="1"/>
  <c r="F526" i="1"/>
  <c r="H526" i="1"/>
  <c r="F503" i="1"/>
  <c r="H503" i="1"/>
  <c r="H508" i="1"/>
  <c r="F508" i="1"/>
  <c r="F514" i="1"/>
  <c r="H514" i="1"/>
  <c r="H507" i="1"/>
  <c r="F507" i="1"/>
  <c r="F518" i="1"/>
  <c r="H546" i="1"/>
  <c r="F546" i="1"/>
  <c r="F506" i="1"/>
  <c r="H506" i="1"/>
  <c r="H500" i="1"/>
  <c r="F500" i="1"/>
  <c r="F509" i="1"/>
  <c r="H509" i="1"/>
  <c r="G540" i="1" l="1"/>
  <c r="H540" i="1"/>
  <c r="C692" i="1"/>
  <c r="C625" i="1"/>
  <c r="C638" i="1"/>
  <c r="C536" i="1"/>
  <c r="G536" i="1" s="1"/>
  <c r="H181" i="9"/>
  <c r="F499" i="1"/>
  <c r="C670" i="1"/>
  <c r="C570" i="1"/>
  <c r="F21" i="9"/>
  <c r="G309" i="9"/>
  <c r="C544" i="1"/>
  <c r="G544" i="1" s="1"/>
  <c r="G213" i="9"/>
  <c r="C626" i="1"/>
  <c r="C671" i="1"/>
  <c r="C619" i="1"/>
  <c r="C702" i="1"/>
  <c r="C669" i="1"/>
  <c r="F117" i="9"/>
  <c r="I341" i="9"/>
  <c r="C532" i="1"/>
  <c r="G532" i="1" s="1"/>
  <c r="E149" i="9"/>
  <c r="C704" i="1"/>
  <c r="C698" i="1"/>
  <c r="C498" i="1"/>
  <c r="G498" i="1" s="1"/>
  <c r="C507" i="1"/>
  <c r="G507" i="1" s="1"/>
  <c r="G341" i="9"/>
  <c r="C679" i="1"/>
  <c r="C572" i="1"/>
  <c r="C530" i="1"/>
  <c r="G530" i="1" s="1"/>
  <c r="C497" i="1"/>
  <c r="G497" i="1" s="1"/>
  <c r="I277" i="9"/>
  <c r="C500" i="1"/>
  <c r="G500" i="1" s="1"/>
  <c r="G21" i="9"/>
  <c r="C629" i="1"/>
  <c r="C551" i="1"/>
  <c r="D213" i="9"/>
  <c r="C539" i="1"/>
  <c r="G539" i="1" s="1"/>
  <c r="C631" i="1"/>
  <c r="C562" i="1"/>
  <c r="C515" i="1"/>
  <c r="H85" i="9"/>
  <c r="F341" i="9"/>
  <c r="C569" i="1"/>
  <c r="C644" i="1"/>
  <c r="C690" i="1"/>
  <c r="D117" i="9"/>
  <c r="C518" i="1"/>
  <c r="C573" i="1"/>
  <c r="C622" i="1"/>
  <c r="C373" i="9"/>
  <c r="C616" i="1"/>
  <c r="C543" i="1"/>
  <c r="H213" i="9"/>
  <c r="C676" i="1"/>
  <c r="C504" i="1"/>
  <c r="G504" i="1" s="1"/>
  <c r="D53" i="9"/>
  <c r="F53" i="9"/>
  <c r="C678" i="1"/>
  <c r="C506" i="1"/>
  <c r="G506" i="1" s="1"/>
  <c r="C624" i="1"/>
  <c r="C549" i="1"/>
  <c r="G245" i="9"/>
  <c r="C614" i="1"/>
  <c r="C550" i="1"/>
  <c r="G550" i="1" s="1"/>
  <c r="H245" i="9"/>
  <c r="C633" i="1"/>
  <c r="F245" i="9"/>
  <c r="C548" i="1"/>
  <c r="F85" i="9"/>
  <c r="C513" i="1"/>
  <c r="G513" i="1" s="1"/>
  <c r="C685" i="1"/>
  <c r="C567" i="1"/>
  <c r="C642" i="1"/>
  <c r="D341" i="9"/>
  <c r="D393" i="1"/>
  <c r="C146" i="8" s="1"/>
  <c r="H520" i="1"/>
  <c r="F520" i="1"/>
  <c r="F528" i="1"/>
  <c r="H528" i="1"/>
  <c r="F550" i="1"/>
  <c r="H550" i="1" s="1"/>
  <c r="H536" i="1"/>
  <c r="F536" i="1"/>
  <c r="I364" i="9"/>
  <c r="C428" i="1"/>
  <c r="C21" i="9"/>
  <c r="C496" i="1"/>
  <c r="G496" i="1" s="1"/>
  <c r="C668" i="1"/>
  <c r="CE67" i="1"/>
  <c r="CE71" i="1" s="1"/>
  <c r="C17" i="9"/>
  <c r="F532" i="1"/>
  <c r="H545" i="1"/>
  <c r="F545" i="1"/>
  <c r="H525" i="1"/>
  <c r="F525" i="1"/>
  <c r="H529" i="1"/>
  <c r="F529" i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H532" i="1" l="1"/>
  <c r="G515" i="1"/>
  <c r="H515" i="1"/>
  <c r="G518" i="1"/>
  <c r="H518" i="1"/>
  <c r="H544" i="1"/>
  <c r="C648" i="1"/>
  <c r="M716" i="1" s="1"/>
  <c r="D615" i="1"/>
  <c r="D396" i="1"/>
  <c r="C151" i="8" s="1"/>
  <c r="C716" i="1"/>
  <c r="I373" i="9"/>
  <c r="C715" i="1"/>
  <c r="I369" i="9"/>
  <c r="C433" i="1"/>
  <c r="C441" i="1" s="1"/>
  <c r="D702" i="1" l="1"/>
  <c r="D624" i="1"/>
  <c r="D668" i="1"/>
  <c r="D675" i="1"/>
  <c r="D707" i="1"/>
  <c r="D701" i="1"/>
  <c r="D688" i="1"/>
  <c r="D697" i="1"/>
  <c r="D630" i="1"/>
  <c r="D621" i="1"/>
  <c r="D619" i="1"/>
  <c r="D631" i="1"/>
  <c r="D686" i="1"/>
  <c r="D691" i="1"/>
  <c r="D626" i="1"/>
  <c r="D618" i="1"/>
  <c r="D632" i="1"/>
  <c r="D699" i="1"/>
  <c r="D629" i="1"/>
  <c r="D642" i="1"/>
  <c r="D616" i="1"/>
  <c r="D645" i="1"/>
  <c r="D681" i="1"/>
  <c r="D627" i="1"/>
  <c r="D669" i="1"/>
  <c r="D672" i="1"/>
  <c r="D693" i="1"/>
  <c r="D637" i="1"/>
  <c r="D671" i="1"/>
  <c r="D678" i="1"/>
  <c r="D683" i="1"/>
  <c r="D685" i="1"/>
  <c r="D682" i="1"/>
  <c r="D677" i="1"/>
  <c r="D633" i="1"/>
  <c r="D644" i="1"/>
  <c r="D690" i="1"/>
  <c r="D674" i="1"/>
  <c r="D684" i="1"/>
  <c r="D713" i="1"/>
  <c r="D635" i="1"/>
  <c r="D700" i="1"/>
  <c r="D705" i="1"/>
  <c r="D643" i="1"/>
  <c r="D673" i="1"/>
  <c r="D641" i="1"/>
  <c r="D704" i="1"/>
  <c r="D687" i="1"/>
  <c r="D638" i="1"/>
  <c r="D710" i="1"/>
  <c r="D625" i="1"/>
  <c r="D694" i="1"/>
  <c r="D689" i="1"/>
  <c r="D708" i="1"/>
  <c r="D628" i="1"/>
  <c r="D647" i="1"/>
  <c r="D636" i="1"/>
  <c r="D716" i="1"/>
  <c r="D695" i="1"/>
  <c r="D712" i="1"/>
  <c r="D634" i="1"/>
  <c r="D703" i="1"/>
  <c r="D617" i="1"/>
  <c r="D676" i="1"/>
  <c r="D640" i="1"/>
  <c r="D646" i="1"/>
  <c r="D711" i="1"/>
  <c r="D623" i="1"/>
  <c r="D670" i="1"/>
  <c r="D680" i="1"/>
  <c r="D639" i="1"/>
  <c r="D692" i="1"/>
  <c r="D620" i="1"/>
  <c r="D696" i="1"/>
  <c r="D679" i="1"/>
  <c r="D706" i="1"/>
  <c r="D622" i="1"/>
  <c r="D709" i="1"/>
  <c r="D698" i="1"/>
  <c r="E612" i="1" l="1"/>
  <c r="D715" i="1"/>
  <c r="E623" i="1"/>
  <c r="E716" i="1" l="1"/>
  <c r="E699" i="1"/>
  <c r="E697" i="1"/>
  <c r="E709" i="1"/>
  <c r="E683" i="1"/>
  <c r="E690" i="1"/>
  <c r="E631" i="1"/>
  <c r="E695" i="1"/>
  <c r="E669" i="1"/>
  <c r="E639" i="1"/>
  <c r="E625" i="1"/>
  <c r="E689" i="1"/>
  <c r="E676" i="1"/>
  <c r="E700" i="1"/>
  <c r="E629" i="1"/>
  <c r="E645" i="1"/>
  <c r="E711" i="1"/>
  <c r="E627" i="1"/>
  <c r="E635" i="1"/>
  <c r="E679" i="1"/>
  <c r="E703" i="1"/>
  <c r="E626" i="1"/>
  <c r="E705" i="1"/>
  <c r="E688" i="1"/>
  <c r="E698" i="1"/>
  <c r="E693" i="1"/>
  <c r="E636" i="1"/>
  <c r="E672" i="1"/>
  <c r="E637" i="1"/>
  <c r="E630" i="1"/>
  <c r="E640" i="1"/>
  <c r="E710" i="1"/>
  <c r="E671" i="1"/>
  <c r="E687" i="1"/>
  <c r="E634" i="1"/>
  <c r="E677" i="1"/>
  <c r="E624" i="1"/>
  <c r="E680" i="1"/>
  <c r="E647" i="1"/>
  <c r="E702" i="1"/>
  <c r="E708" i="1"/>
  <c r="E682" i="1"/>
  <c r="E685" i="1"/>
  <c r="E638" i="1"/>
  <c r="E704" i="1"/>
  <c r="E692" i="1"/>
  <c r="E678" i="1"/>
  <c r="E642" i="1"/>
  <c r="E712" i="1"/>
  <c r="E646" i="1"/>
  <c r="E633" i="1"/>
  <c r="E670" i="1"/>
  <c r="E696" i="1"/>
  <c r="E681" i="1"/>
  <c r="E686" i="1"/>
  <c r="E691" i="1"/>
  <c r="E632" i="1"/>
  <c r="E668" i="1"/>
  <c r="E644" i="1"/>
  <c r="E673" i="1"/>
  <c r="E643" i="1"/>
  <c r="E684" i="1"/>
  <c r="E713" i="1"/>
  <c r="E675" i="1"/>
  <c r="E628" i="1"/>
  <c r="E674" i="1"/>
  <c r="E706" i="1"/>
  <c r="E701" i="1"/>
  <c r="E707" i="1"/>
  <c r="E641" i="1"/>
  <c r="E694" i="1"/>
  <c r="F624" i="1" l="1"/>
  <c r="E715" i="1"/>
  <c r="F703" i="1" l="1"/>
  <c r="F632" i="1"/>
  <c r="F702" i="1"/>
  <c r="F696" i="1"/>
  <c r="F706" i="1"/>
  <c r="F695" i="1"/>
  <c r="F647" i="1"/>
  <c r="F640" i="1"/>
  <c r="F690" i="1"/>
  <c r="F670" i="1"/>
  <c r="F684" i="1"/>
  <c r="F646" i="1"/>
  <c r="F687" i="1"/>
  <c r="F627" i="1"/>
  <c r="F675" i="1"/>
  <c r="F701" i="1"/>
  <c r="F705" i="1"/>
  <c r="F694" i="1"/>
  <c r="F637" i="1"/>
  <c r="F635" i="1"/>
  <c r="F642" i="1"/>
  <c r="F676" i="1"/>
  <c r="F700" i="1"/>
  <c r="F698" i="1"/>
  <c r="F626" i="1"/>
  <c r="F683" i="1"/>
  <c r="F693" i="1"/>
  <c r="F630" i="1"/>
  <c r="F682" i="1"/>
  <c r="F685" i="1"/>
  <c r="F674" i="1"/>
  <c r="F710" i="1"/>
  <c r="F678" i="1"/>
  <c r="F628" i="1"/>
  <c r="F716" i="1"/>
  <c r="F645" i="1"/>
  <c r="F689" i="1"/>
  <c r="F692" i="1"/>
  <c r="F697" i="1"/>
  <c r="F713" i="1"/>
  <c r="F634" i="1"/>
  <c r="F633" i="1"/>
  <c r="F699" i="1"/>
  <c r="F711" i="1"/>
  <c r="F704" i="1"/>
  <c r="F636" i="1"/>
  <c r="F673" i="1"/>
  <c r="F669" i="1"/>
  <c r="F641" i="1"/>
  <c r="F680" i="1"/>
  <c r="F679" i="1"/>
  <c r="F644" i="1"/>
  <c r="F677" i="1"/>
  <c r="F712" i="1"/>
  <c r="F686" i="1"/>
  <c r="F688" i="1"/>
  <c r="F681" i="1"/>
  <c r="F668" i="1"/>
  <c r="F708" i="1"/>
  <c r="F671" i="1"/>
  <c r="F672" i="1"/>
  <c r="F625" i="1"/>
  <c r="F709" i="1"/>
  <c r="F707" i="1"/>
  <c r="F691" i="1"/>
  <c r="F639" i="1"/>
  <c r="F638" i="1"/>
  <c r="F643" i="1"/>
  <c r="F629" i="1"/>
  <c r="F631" i="1"/>
  <c r="F715" i="1" l="1"/>
  <c r="G625" i="1"/>
  <c r="G712" i="1" l="1"/>
  <c r="G700" i="1"/>
  <c r="G688" i="1"/>
  <c r="G706" i="1"/>
  <c r="G672" i="1"/>
  <c r="G676" i="1"/>
  <c r="G632" i="1"/>
  <c r="G633" i="1"/>
  <c r="G637" i="1"/>
  <c r="G703" i="1"/>
  <c r="G702" i="1"/>
  <c r="G634" i="1"/>
  <c r="G636" i="1"/>
  <c r="G640" i="1"/>
  <c r="G626" i="1"/>
  <c r="G689" i="1"/>
  <c r="G709" i="1"/>
  <c r="G671" i="1"/>
  <c r="G696" i="1"/>
  <c r="G708" i="1"/>
  <c r="G643" i="1"/>
  <c r="G635" i="1"/>
  <c r="G675" i="1"/>
  <c r="G677" i="1"/>
  <c r="G673" i="1"/>
  <c r="G630" i="1"/>
  <c r="G642" i="1"/>
  <c r="G707" i="1"/>
  <c r="G687" i="1"/>
  <c r="G710" i="1"/>
  <c r="G639" i="1"/>
  <c r="G645" i="1"/>
  <c r="G682" i="1"/>
  <c r="G711" i="1"/>
  <c r="G686" i="1"/>
  <c r="G674" i="1"/>
  <c r="G697" i="1"/>
  <c r="G716" i="1"/>
  <c r="G678" i="1"/>
  <c r="G684" i="1"/>
  <c r="G701" i="1"/>
  <c r="G631" i="1"/>
  <c r="G670" i="1"/>
  <c r="G679" i="1"/>
  <c r="G669" i="1"/>
  <c r="G685" i="1"/>
  <c r="G627" i="1"/>
  <c r="G680" i="1"/>
  <c r="G694" i="1"/>
  <c r="G690" i="1"/>
  <c r="G638" i="1"/>
  <c r="G644" i="1"/>
  <c r="G695" i="1"/>
  <c r="G646" i="1"/>
  <c r="G681" i="1"/>
  <c r="G705" i="1"/>
  <c r="G628" i="1"/>
  <c r="G641" i="1"/>
  <c r="G713" i="1"/>
  <c r="G704" i="1"/>
  <c r="G668" i="1"/>
  <c r="G683" i="1"/>
  <c r="G692" i="1"/>
  <c r="G691" i="1"/>
  <c r="G693" i="1"/>
  <c r="G629" i="1"/>
  <c r="G699" i="1"/>
  <c r="G647" i="1"/>
  <c r="G698" i="1"/>
  <c r="H628" i="1" l="1"/>
  <c r="H681" i="1" s="1"/>
  <c r="G715" i="1"/>
  <c r="H696" i="1" l="1"/>
  <c r="H690" i="1"/>
  <c r="H691" i="1"/>
  <c r="H645" i="1"/>
  <c r="H711" i="1"/>
  <c r="H670" i="1"/>
  <c r="H669" i="1"/>
  <c r="H692" i="1"/>
  <c r="H682" i="1"/>
  <c r="H633" i="1"/>
  <c r="H638" i="1"/>
  <c r="H689" i="1"/>
  <c r="H673" i="1"/>
  <c r="H676" i="1"/>
  <c r="H708" i="1"/>
  <c r="H716" i="1"/>
  <c r="H668" i="1"/>
  <c r="H636" i="1"/>
  <c r="H647" i="1"/>
  <c r="H672" i="1"/>
  <c r="H688" i="1"/>
  <c r="H631" i="1"/>
  <c r="H710" i="1"/>
  <c r="H680" i="1"/>
  <c r="H695" i="1"/>
  <c r="H677" i="1"/>
  <c r="H671" i="1"/>
  <c r="H703" i="1"/>
  <c r="H643" i="1"/>
  <c r="H706" i="1"/>
  <c r="H704" i="1"/>
  <c r="H700" i="1"/>
  <c r="H675" i="1"/>
  <c r="H641" i="1"/>
  <c r="H701" i="1"/>
  <c r="H646" i="1"/>
  <c r="H685" i="1"/>
  <c r="H642" i="1"/>
  <c r="H705" i="1"/>
  <c r="H635" i="1"/>
  <c r="H683" i="1"/>
  <c r="H639" i="1"/>
  <c r="H709" i="1"/>
  <c r="H679" i="1"/>
  <c r="H712" i="1"/>
  <c r="H697" i="1"/>
  <c r="H684" i="1"/>
  <c r="H644" i="1"/>
  <c r="H686" i="1"/>
  <c r="H694" i="1"/>
  <c r="H637" i="1"/>
  <c r="H634" i="1"/>
  <c r="H630" i="1"/>
  <c r="H674" i="1"/>
  <c r="H640" i="1"/>
  <c r="H713" i="1"/>
  <c r="H693" i="1"/>
  <c r="H707" i="1"/>
  <c r="H702" i="1"/>
  <c r="H699" i="1"/>
  <c r="H632" i="1"/>
  <c r="H698" i="1"/>
  <c r="H687" i="1"/>
  <c r="H678" i="1"/>
  <c r="H629" i="1"/>
  <c r="H715" i="1" l="1"/>
  <c r="I629" i="1"/>
  <c r="I703" i="1" s="1"/>
  <c r="I672" i="1" l="1"/>
  <c r="I644" i="1"/>
  <c r="I694" i="1"/>
  <c r="I712" i="1"/>
  <c r="I632" i="1"/>
  <c r="I673" i="1"/>
  <c r="I678" i="1"/>
  <c r="I630" i="1"/>
  <c r="J630" i="1" s="1"/>
  <c r="I669" i="1"/>
  <c r="I646" i="1"/>
  <c r="I683" i="1"/>
  <c r="I679" i="1"/>
  <c r="I682" i="1"/>
  <c r="I633" i="1"/>
  <c r="I670" i="1"/>
  <c r="I690" i="1"/>
  <c r="I708" i="1"/>
  <c r="I681" i="1"/>
  <c r="I685" i="1"/>
  <c r="I716" i="1"/>
  <c r="I636" i="1"/>
  <c r="I699" i="1"/>
  <c r="I643" i="1"/>
  <c r="I710" i="1"/>
  <c r="I642" i="1"/>
  <c r="I674" i="1"/>
  <c r="I675" i="1"/>
  <c r="I680" i="1"/>
  <c r="I647" i="1"/>
  <c r="I700" i="1"/>
  <c r="I634" i="1"/>
  <c r="I639" i="1"/>
  <c r="I704" i="1"/>
  <c r="I676" i="1"/>
  <c r="I677" i="1"/>
  <c r="I688" i="1"/>
  <c r="I668" i="1"/>
  <c r="I638" i="1"/>
  <c r="I684" i="1"/>
  <c r="I641" i="1"/>
  <c r="I686" i="1"/>
  <c r="I713" i="1"/>
  <c r="I711" i="1"/>
  <c r="I705" i="1"/>
  <c r="I709" i="1"/>
  <c r="I698" i="1"/>
  <c r="I689" i="1"/>
  <c r="I637" i="1"/>
  <c r="I691" i="1"/>
  <c r="I640" i="1"/>
  <c r="I697" i="1"/>
  <c r="I701" i="1"/>
  <c r="I696" i="1"/>
  <c r="I695" i="1"/>
  <c r="I693" i="1"/>
  <c r="I702" i="1"/>
  <c r="I635" i="1"/>
  <c r="I671" i="1"/>
  <c r="I692" i="1"/>
  <c r="I706" i="1"/>
  <c r="I631" i="1"/>
  <c r="I687" i="1"/>
  <c r="I645" i="1"/>
  <c r="I707" i="1"/>
  <c r="I715" i="1" l="1"/>
  <c r="J643" i="1"/>
  <c r="J694" i="1"/>
  <c r="J685" i="1"/>
  <c r="J701" i="1"/>
  <c r="J671" i="1"/>
  <c r="J673" i="1"/>
  <c r="J638" i="1"/>
  <c r="J709" i="1"/>
  <c r="J693" i="1"/>
  <c r="J677" i="1"/>
  <c r="J640" i="1"/>
  <c r="J716" i="1"/>
  <c r="J639" i="1"/>
  <c r="J703" i="1"/>
  <c r="J672" i="1"/>
  <c r="J682" i="1"/>
  <c r="J697" i="1"/>
  <c r="J696" i="1"/>
  <c r="J699" i="1"/>
  <c r="J678" i="1"/>
  <c r="J647" i="1"/>
  <c r="J635" i="1"/>
  <c r="J689" i="1"/>
  <c r="J668" i="1"/>
  <c r="J691" i="1"/>
  <c r="J690" i="1"/>
  <c r="J633" i="1"/>
  <c r="J634" i="1"/>
  <c r="J670" i="1"/>
  <c r="J679" i="1"/>
  <c r="J681" i="1"/>
  <c r="J708" i="1"/>
  <c r="J674" i="1"/>
  <c r="J713" i="1"/>
  <c r="J646" i="1"/>
  <c r="J702" i="1"/>
  <c r="J700" i="1"/>
  <c r="J684" i="1"/>
  <c r="J706" i="1"/>
  <c r="J688" i="1"/>
  <c r="J704" i="1"/>
  <c r="J686" i="1"/>
  <c r="J680" i="1"/>
  <c r="J675" i="1"/>
  <c r="J683" i="1"/>
  <c r="J636" i="1"/>
  <c r="J710" i="1"/>
  <c r="J698" i="1"/>
  <c r="J637" i="1"/>
  <c r="J705" i="1"/>
  <c r="J631" i="1"/>
  <c r="J676" i="1"/>
  <c r="J692" i="1"/>
  <c r="J695" i="1"/>
  <c r="J712" i="1"/>
  <c r="J707" i="1"/>
  <c r="J641" i="1"/>
  <c r="J669" i="1"/>
  <c r="J711" i="1"/>
  <c r="J644" i="1"/>
  <c r="J645" i="1"/>
  <c r="J632" i="1"/>
  <c r="J642" i="1"/>
  <c r="J687" i="1"/>
  <c r="J715" i="1" l="1"/>
  <c r="K644" i="1"/>
  <c r="K716" i="1" s="1"/>
  <c r="L647" i="1"/>
  <c r="K687" i="1" l="1"/>
  <c r="K703" i="1"/>
  <c r="K702" i="1"/>
  <c r="K695" i="1"/>
  <c r="K682" i="1"/>
  <c r="K670" i="1"/>
  <c r="K686" i="1"/>
  <c r="K678" i="1"/>
  <c r="K683" i="1"/>
  <c r="K693" i="1"/>
  <c r="K708" i="1"/>
  <c r="K675" i="1"/>
  <c r="K712" i="1"/>
  <c r="K685" i="1"/>
  <c r="K689" i="1"/>
  <c r="K684" i="1"/>
  <c r="K700" i="1"/>
  <c r="K704" i="1"/>
  <c r="K706" i="1"/>
  <c r="K677" i="1"/>
  <c r="K710" i="1"/>
  <c r="K699" i="1"/>
  <c r="K674" i="1"/>
  <c r="K691" i="1"/>
  <c r="K676" i="1"/>
  <c r="K672" i="1"/>
  <c r="K669" i="1"/>
  <c r="K701" i="1"/>
  <c r="K713" i="1"/>
  <c r="K680" i="1"/>
  <c r="K696" i="1"/>
  <c r="K679" i="1"/>
  <c r="K705" i="1"/>
  <c r="K673" i="1"/>
  <c r="K711" i="1"/>
  <c r="K668" i="1"/>
  <c r="K690" i="1"/>
  <c r="K681" i="1"/>
  <c r="K709" i="1"/>
  <c r="K692" i="1"/>
  <c r="K694" i="1"/>
  <c r="K707" i="1"/>
  <c r="K698" i="1"/>
  <c r="K688" i="1"/>
  <c r="K697" i="1"/>
  <c r="K671" i="1"/>
  <c r="L704" i="1"/>
  <c r="L712" i="1"/>
  <c r="L684" i="1"/>
  <c r="L698" i="1"/>
  <c r="L694" i="1"/>
  <c r="L668" i="1"/>
  <c r="L700" i="1"/>
  <c r="M700" i="1" s="1"/>
  <c r="L690" i="1"/>
  <c r="L707" i="1"/>
  <c r="L682" i="1"/>
  <c r="L703" i="1"/>
  <c r="L699" i="1"/>
  <c r="L675" i="1"/>
  <c r="L710" i="1"/>
  <c r="L680" i="1"/>
  <c r="L678" i="1"/>
  <c r="L693" i="1"/>
  <c r="L691" i="1"/>
  <c r="M691" i="1" s="1"/>
  <c r="L713" i="1"/>
  <c r="L669" i="1"/>
  <c r="L670" i="1"/>
  <c r="L683" i="1"/>
  <c r="L695" i="1"/>
  <c r="L705" i="1"/>
  <c r="L679" i="1"/>
  <c r="L716" i="1"/>
  <c r="L673" i="1"/>
  <c r="L702" i="1"/>
  <c r="L711" i="1"/>
  <c r="M711" i="1" s="1"/>
  <c r="L688" i="1"/>
  <c r="M688" i="1" s="1"/>
  <c r="L674" i="1"/>
  <c r="L709" i="1"/>
  <c r="L676" i="1"/>
  <c r="L689" i="1"/>
  <c r="L692" i="1"/>
  <c r="L672" i="1"/>
  <c r="L685" i="1"/>
  <c r="L686" i="1"/>
  <c r="L701" i="1"/>
  <c r="L706" i="1"/>
  <c r="L696" i="1"/>
  <c r="L697" i="1"/>
  <c r="L681" i="1"/>
  <c r="L687" i="1"/>
  <c r="L671" i="1"/>
  <c r="L677" i="1"/>
  <c r="M677" i="1" s="1"/>
  <c r="L708" i="1"/>
  <c r="M699" i="1" l="1"/>
  <c r="M696" i="1"/>
  <c r="M672" i="1"/>
  <c r="M713" i="1"/>
  <c r="F215" i="9" s="1"/>
  <c r="M671" i="1"/>
  <c r="M685" i="1"/>
  <c r="F87" i="9" s="1"/>
  <c r="M670" i="1"/>
  <c r="M708" i="1"/>
  <c r="H183" i="9" s="1"/>
  <c r="M681" i="1"/>
  <c r="I55" i="9" s="1"/>
  <c r="M673" i="1"/>
  <c r="M680" i="1"/>
  <c r="M703" i="1"/>
  <c r="C183" i="9" s="1"/>
  <c r="M676" i="1"/>
  <c r="M693" i="1"/>
  <c r="G119" i="9" s="1"/>
  <c r="M687" i="1"/>
  <c r="M701" i="1"/>
  <c r="M674" i="1"/>
  <c r="I23" i="9" s="1"/>
  <c r="M697" i="1"/>
  <c r="M686" i="1"/>
  <c r="G87" i="9" s="1"/>
  <c r="M689" i="1"/>
  <c r="C119" i="9" s="1"/>
  <c r="M683" i="1"/>
  <c r="D87" i="9" s="1"/>
  <c r="M706" i="1"/>
  <c r="M709" i="1"/>
  <c r="I183" i="9" s="1"/>
  <c r="M702" i="1"/>
  <c r="M705" i="1"/>
  <c r="E183" i="9" s="1"/>
  <c r="M669" i="1"/>
  <c r="M679" i="1"/>
  <c r="M675" i="1"/>
  <c r="M678" i="1"/>
  <c r="M692" i="1"/>
  <c r="M695" i="1"/>
  <c r="I119" i="9" s="1"/>
  <c r="M684" i="1"/>
  <c r="M710" i="1"/>
  <c r="C215" i="9" s="1"/>
  <c r="M682" i="1"/>
  <c r="M707" i="1"/>
  <c r="M694" i="1"/>
  <c r="H119" i="9" s="1"/>
  <c r="M704" i="1"/>
  <c r="M712" i="1"/>
  <c r="E215" i="9" s="1"/>
  <c r="K715" i="1"/>
  <c r="M690" i="1"/>
  <c r="M698" i="1"/>
  <c r="E55" i="9"/>
  <c r="C151" i="9"/>
  <c r="D215" i="9"/>
  <c r="G23" i="9"/>
  <c r="F151" i="9"/>
  <c r="G151" i="9"/>
  <c r="I87" i="9"/>
  <c r="E119" i="9"/>
  <c r="L715" i="1"/>
  <c r="M668" i="1"/>
  <c r="F23" i="9" l="1"/>
  <c r="E23" i="9"/>
  <c r="H151" i="9"/>
  <c r="C55" i="9"/>
  <c r="E87" i="9"/>
  <c r="D55" i="9"/>
  <c r="D183" i="9"/>
  <c r="I151" i="9"/>
  <c r="H23" i="9"/>
  <c r="H55" i="9"/>
  <c r="F183" i="9"/>
  <c r="G183" i="9"/>
  <c r="H87" i="9"/>
  <c r="G55" i="9"/>
  <c r="F119" i="9"/>
  <c r="D151" i="9"/>
  <c r="F55" i="9"/>
  <c r="D23" i="9"/>
  <c r="D119" i="9"/>
  <c r="C87" i="9"/>
  <c r="E151" i="9"/>
  <c r="M715" i="1"/>
  <c r="C23" i="9"/>
</calcChain>
</file>

<file path=xl/sharedStrings.xml><?xml version="1.0" encoding="utf-8"?>
<sst xmlns="http://schemas.openxmlformats.org/spreadsheetml/2006/main" count="4670" uniqueCount="1280">
  <si>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</si>
  <si>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</si>
  <si>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</si>
  <si>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</si>
  <si>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</si>
  <si>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</si>
  <si>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</si>
  <si>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</si>
  <si>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</si>
  <si>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</si>
  <si>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</si>
  <si>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</si>
  <si>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</si>
  <si>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</si>
  <si>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</si>
  <si>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</si>
  <si>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</si>
  <si>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</si>
  <si>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</si>
  <si>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</si>
  <si>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</si>
  <si>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</si>
  <si>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</si>
  <si>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</si>
  <si>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</si>
  <si>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</si>
  <si>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</si>
  <si>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</si>
  <si>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</si>
  <si>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</si>
  <si>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</si>
  <si>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</si>
  <si>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</si>
  <si>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</si>
  <si>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</si>
  <si>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</si>
  <si>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</si>
  <si>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</si>
  <si>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</si>
  <si>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</si>
  <si>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</si>
  <si>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</si>
  <si>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</si>
  <si>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</si>
  <si>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</si>
  <si>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</si>
  <si>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</si>
  <si>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</si>
  <si>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</si>
  <si>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</si>
  <si>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</si>
  <si>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</si>
  <si>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</si>
  <si>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</si>
  <si>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</si>
  <si>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</si>
  <si>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</si>
  <si>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</si>
  <si>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</si>
  <si>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</si>
  <si>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</si>
  <si>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</si>
  <si>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</si>
  <si>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</si>
  <si>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</si>
  <si>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</si>
  <si>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</si>
  <si>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</si>
  <si>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</si>
  <si>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</si>
  <si>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</si>
  <si>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</si>
  <si>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</si>
  <si>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</si>
  <si>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</si>
  <si>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</si>
  <si>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</si>
  <si>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</si>
  <si>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</si>
  <si>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</si>
  <si>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</si>
  <si>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</si>
  <si>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</si>
  <si>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</si>
  <si>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</si>
  <si>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</si>
  <si>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</si>
  <si>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</si>
  <si>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</si>
  <si>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</si>
  <si>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</si>
  <si>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</si>
  <si>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</si>
  <si>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</si>
  <si>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</si>
  <si>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</si>
  <si>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</si>
  <si>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</si>
  <si>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</si>
  <si>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</si>
  <si>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</si>
  <si>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</si>
  <si>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</si>
  <si>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</si>
  <si>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</si>
  <si>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</si>
  <si>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</si>
  <si>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</si>
  <si>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</si>
  <si>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</si>
  <si>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</si>
  <si>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</si>
  <si>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</si>
  <si>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</si>
  <si>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</si>
  <si>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</si>
  <si>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</si>
  <si>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</si>
  <si>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</si>
  <si>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</si>
  <si>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</si>
  <si>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</si>
  <si>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</si>
  <si>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</si>
  <si>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</si>
  <si>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</si>
  <si>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</si>
  <si>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</si>
  <si>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</si>
  <si>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</si>
  <si>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</si>
  <si>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</si>
  <si>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</si>
  <si>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</si>
  <si>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</si>
  <si>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</si>
  <si>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</si>
  <si>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</si>
  <si>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</si>
  <si>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</si>
  <si>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</si>
  <si>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</si>
  <si>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</si>
  <si>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</si>
  <si>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</si>
  <si>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</si>
  <si>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</si>
  <si>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</si>
  <si>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</si>
  <si>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</si>
  <si>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</si>
  <si>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</si>
  <si>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</si>
  <si>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</si>
  <si>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</si>
  <si>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</si>
  <si>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</si>
  <si>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</si>
  <si>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</si>
  <si>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</si>
  <si>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</si>
  <si>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</si>
  <si>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</si>
  <si>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</si>
  <si>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</si>
  <si>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</si>
  <si>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</si>
  <si>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</si>
  <si>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</si>
  <si>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</si>
  <si>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</si>
  <si>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</si>
  <si>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</si>
  <si>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</si>
  <si>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</si>
  <si>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</si>
  <si>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</si>
  <si>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</si>
  <si>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</si>
  <si>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</si>
  <si>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</si>
  <si>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</si>
  <si>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</si>
  <si>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</si>
  <si>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</si>
  <si>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</si>
  <si>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</si>
  <si>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</si>
  <si>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</si>
  <si>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</si>
  <si>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</si>
  <si>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</si>
  <si>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</si>
  <si>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</si>
  <si>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</si>
  <si>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</si>
  <si>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</si>
  <si>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</si>
  <si>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</si>
  <si>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</si>
  <si>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</si>
  <si>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</si>
  <si>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</si>
  <si>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</si>
  <si>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</si>
  <si>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</si>
  <si>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</si>
  <si>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</si>
  <si>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</si>
  <si>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</si>
  <si>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</si>
  <si>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</si>
  <si>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</si>
  <si>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</si>
  <si>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</si>
  <si>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</si>
  <si>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</si>
  <si>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</si>
  <si>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</si>
  <si>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</si>
  <si>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</si>
  <si>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</si>
  <si>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</si>
  <si>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</si>
  <si>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</si>
  <si>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</si>
  <si>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</si>
  <si>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</si>
  <si>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</si>
  <si>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</si>
  <si>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</si>
  <si>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</si>
  <si>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</si>
  <si>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</si>
  <si>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</si>
  <si>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</si>
  <si>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</si>
  <si>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</si>
  <si>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</si>
  <si>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</si>
  <si>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</si>
  <si>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</si>
  <si>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</si>
  <si>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</si>
  <si>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</si>
  <si>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</si>
  <si>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</si>
  <si>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</si>
  <si>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</si>
  <si>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</si>
  <si>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</si>
  <si>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</si>
  <si>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</si>
  <si>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</si>
  <si>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</si>
  <si>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</si>
  <si>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</si>
  <si>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</si>
  <si>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</si>
  <si>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</si>
  <si>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</si>
  <si>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</si>
  <si>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</si>
  <si>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</si>
  <si>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</si>
  <si>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</si>
  <si>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</si>
  <si>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</si>
  <si>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</si>
  <si>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</si>
  <si>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</si>
  <si>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</si>
  <si>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</si>
  <si>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</si>
  <si>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</si>
  <si>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</si>
  <si>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</si>
  <si>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</si>
  <si>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</si>
  <si>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</si>
  <si>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</si>
  <si>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</si>
  <si>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</si>
  <si>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</si>
  <si>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</si>
  <si>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</si>
  <si>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</si>
  <si>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</si>
  <si>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</si>
  <si>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</si>
  <si>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</si>
  <si>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</si>
  <si>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</si>
  <si>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</si>
  <si>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</si>
  <si>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</si>
  <si>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</si>
  <si>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</si>
  <si>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</si>
  <si>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</si>
  <si>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</si>
  <si>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</si>
  <si>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</si>
  <si>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</si>
  <si>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</si>
  <si>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</si>
  <si>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</si>
  <si>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</si>
  <si>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</si>
  <si>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</si>
  <si>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</si>
  <si>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</si>
  <si>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</si>
  <si>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</si>
  <si>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</si>
  <si>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</si>
  <si>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</si>
  <si>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</si>
  <si>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</si>
  <si>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</si>
  <si>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</si>
  <si>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</si>
  <si>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</si>
  <si>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</si>
  <si>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</si>
  <si>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</si>
  <si>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</si>
  <si>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</si>
  <si>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</si>
  <si>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</si>
  <si>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</si>
  <si>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</si>
  <si>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</si>
  <si>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</si>
  <si>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</si>
  <si>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</si>
  <si>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</si>
  <si>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</si>
  <si>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</si>
  <si>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</si>
  <si>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</si>
  <si>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</si>
  <si>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</si>
  <si>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</si>
  <si>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</si>
  <si>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</si>
  <si>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</si>
  <si>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</si>
  <si>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</si>
  <si>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</si>
  <si>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</si>
  <si>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</si>
  <si>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</si>
  <si>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</si>
  <si>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</si>
  <si>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</si>
  <si>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</si>
  <si>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</si>
  <si>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</si>
  <si>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</si>
  <si>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</si>
  <si>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</si>
  <si>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</si>
  <si>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</si>
  <si>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</si>
  <si>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</si>
  <si>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</si>
  <si>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</si>
  <si>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</si>
  <si>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</si>
  <si>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</si>
  <si>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</si>
  <si>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</si>
  <si>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</si>
  <si>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</si>
  <si>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</si>
  <si>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</si>
  <si>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</si>
  <si>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</si>
  <si>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</si>
  <si>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</si>
  <si>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</si>
  <si>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</si>
  <si>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</si>
  <si>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</si>
  <si>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</si>
  <si>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</si>
  <si>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</si>
  <si>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</si>
  <si>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</si>
  <si>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</si>
  <si>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</si>
  <si>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</si>
  <si>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</si>
  <si>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</si>
  <si>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</si>
  <si>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</si>
  <si>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</si>
  <si>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</si>
  <si>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</si>
  <si>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</si>
  <si>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</si>
  <si>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</si>
  <si>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</si>
  <si>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</si>
  <si>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</si>
  <si>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</si>
  <si>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</si>
  <si>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</si>
  <si>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</si>
  <si>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</si>
  <si>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</si>
  <si>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</si>
  <si>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</si>
  <si>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</si>
  <si>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</si>
  <si>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</si>
  <si>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</si>
  <si>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</si>
  <si>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</si>
  <si>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</si>
  <si>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</si>
  <si>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</si>
  <si>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</si>
  <si>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</si>
  <si>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</si>
  <si>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</si>
  <si>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</si>
  <si>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</si>
  <si>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</si>
  <si>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</si>
  <si>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</si>
  <si>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</si>
  <si>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</si>
  <si>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</si>
  <si>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</si>
  <si>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</si>
  <si>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</si>
  <si>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</si>
  <si>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</si>
  <si>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</si>
  <si>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</si>
  <si>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</si>
  <si>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</si>
  <si>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</si>
  <si>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</si>
  <si>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</si>
  <si>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</si>
  <si>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</si>
  <si>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</si>
  <si>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</si>
  <si>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</si>
  <si>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</si>
  <si>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</si>
  <si>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</si>
  <si>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</si>
  <si>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</si>
  <si>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</si>
  <si>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</si>
  <si>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</si>
  <si>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</si>
  <si>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</si>
  <si>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</si>
  <si>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</si>
  <si>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</si>
  <si>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</si>
  <si>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</si>
  <si>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</si>
  <si>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</si>
  <si>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</si>
  <si>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</si>
  <si>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</si>
  <si>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</si>
  <si>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</si>
  <si>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</si>
  <si>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</si>
  <si>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</si>
  <si>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</si>
  <si>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</si>
  <si>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</si>
  <si>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</si>
  <si>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</si>
  <si>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</si>
  <si>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</si>
  <si>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</si>
  <si>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</si>
  <si>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</si>
  <si>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</si>
  <si>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</si>
  <si>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</si>
  <si>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</si>
  <si>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</si>
  <si>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</si>
  <si>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</si>
  <si>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</si>
  <si>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</si>
  <si>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</si>
  <si>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</si>
  <si>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</si>
  <si>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</si>
  <si>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</si>
  <si>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</si>
  <si>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</si>
  <si>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</si>
  <si>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</si>
  <si>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</si>
  <si>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</si>
  <si>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</si>
  <si>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</si>
  <si>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</si>
  <si>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</si>
  <si>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</si>
  <si>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</si>
  <si>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</si>
  <si>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</si>
  <si>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</si>
  <si>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</si>
  <si>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</si>
  <si>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</si>
  <si>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</si>
  <si>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</si>
  <si>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</si>
  <si>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</si>
  <si>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</si>
  <si>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</si>
  <si>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</si>
  <si>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</si>
  <si>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</si>
  <si>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</si>
  <si>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</si>
  <si>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</si>
  <si>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</si>
  <si>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</si>
  <si>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</si>
  <si>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</si>
  <si>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</si>
  <si>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</si>
  <si>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</si>
  <si>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</si>
  <si>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</si>
  <si>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</si>
  <si>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</si>
  <si>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</si>
  <si>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</si>
  <si>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</si>
  <si>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</si>
  <si>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</si>
  <si>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</si>
  <si>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</si>
  <si>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</si>
  <si>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</si>
  <si>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</si>
  <si>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</si>
  <si>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</si>
  <si>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</si>
  <si>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</si>
  <si>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</si>
  <si>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</si>
  <si>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</si>
  <si>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</si>
  <si>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</si>
  <si>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</si>
  <si>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</si>
  <si>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</si>
  <si>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</si>
  <si>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</si>
  <si>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</si>
  <si>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</si>
  <si>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</si>
  <si>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</si>
  <si>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</si>
  <si>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</si>
  <si>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</si>
  <si>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</si>
  <si>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</si>
  <si>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</si>
  <si>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</si>
  <si>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</si>
  <si>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</si>
  <si>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</si>
  <si>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</si>
  <si>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</si>
  <si>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</si>
  <si>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</si>
  <si>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</si>
  <si>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</si>
  <si>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</si>
  <si>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</si>
  <si>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</si>
  <si>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</si>
  <si>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</si>
  <si>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</si>
  <si>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</si>
  <si>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</si>
  <si>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</si>
  <si>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</si>
  <si>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</si>
  <si>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</si>
  <si>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</si>
  <si>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</si>
  <si>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</si>
  <si>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</si>
  <si>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</si>
  <si>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</si>
  <si>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</si>
  <si>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</si>
  <si>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</si>
  <si>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</si>
  <si>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</si>
  <si>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</si>
  <si>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</si>
  <si>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</si>
  <si>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</si>
  <si>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</si>
  <si>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</si>
  <si>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</si>
  <si>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</si>
  <si>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</si>
  <si>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</si>
  <si>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</si>
  <si>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</si>
  <si>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</si>
  <si>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</si>
  <si>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</si>
  <si>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</si>
  <si>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</si>
  <si>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</si>
  <si>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</si>
  <si>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</si>
  <si>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</si>
  <si>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</si>
  <si>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</si>
  <si>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</si>
  <si>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</si>
  <si>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</si>
  <si>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</si>
  <si>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</si>
  <si>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</si>
  <si>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</si>
  <si>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</si>
  <si>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</si>
  <si>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</si>
  <si>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</si>
  <si>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</si>
  <si>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</si>
  <si>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</si>
  <si>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</si>
  <si>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</si>
  <si>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</si>
  <si>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</si>
  <si>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</si>
  <si>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</si>
  <si>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</si>
  <si>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</si>
  <si>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</si>
  <si>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</si>
  <si>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</si>
  <si>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</si>
  <si>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</si>
  <si>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</si>
  <si>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</si>
  <si>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</si>
  <si>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</si>
  <si>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</si>
  <si>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</si>
  <si>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</si>
  <si>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</si>
  <si>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</si>
  <si>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</si>
  <si>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</si>
  <si>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</si>
  <si>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</si>
  <si>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</si>
  <si>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</si>
  <si>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</si>
  <si>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</si>
  <si>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</si>
  <si>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</si>
  <si>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</si>
  <si>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</si>
  <si>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</si>
  <si>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</si>
  <si>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</si>
  <si>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</si>
  <si>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</si>
  <si>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</si>
  <si>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</si>
  <si>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</si>
  <si>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</si>
  <si>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</si>
  <si>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</si>
  <si>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</si>
  <si>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</si>
  <si>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</si>
  <si>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</si>
  <si>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</si>
  <si>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</si>
  <si>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</si>
  <si>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</si>
  <si>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</si>
  <si>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</si>
  <si>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</si>
  <si>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</si>
  <si>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</si>
  <si>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</si>
  <si>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</si>
  <si>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</si>
  <si>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</si>
  <si>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</si>
  <si>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</si>
  <si>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</si>
  <si>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</si>
  <si>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</si>
  <si>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</si>
  <si>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</si>
  <si>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</si>
  <si>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</si>
  <si>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</si>
  <si>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</si>
  <si>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</si>
  <si>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</si>
  <si>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</si>
  <si>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</si>
  <si>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</si>
  <si>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</si>
  <si>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</si>
  <si>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</si>
  <si>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</si>
  <si>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</si>
  <si>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</si>
  <si>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</si>
  <si>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</si>
  <si>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</si>
  <si>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</si>
  <si>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</si>
  <si>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</si>
  <si>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</si>
  <si>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</si>
  <si>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</si>
  <si>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</si>
  <si>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</si>
  <si>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</si>
  <si>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</si>
  <si>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</si>
  <si>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</si>
  <si>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</si>
  <si>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</si>
  <si>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</si>
  <si>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</si>
  <si>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</si>
  <si>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</si>
  <si>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</si>
  <si>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</si>
  <si>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</si>
  <si>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</si>
  <si>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</si>
  <si>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</si>
  <si>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</si>
  <si>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</si>
  <si>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</si>
  <si>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</si>
  <si>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</si>
  <si>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</si>
  <si>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</si>
  <si>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</si>
  <si>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</si>
  <si>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</si>
  <si>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</si>
  <si>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</si>
  <si>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</si>
  <si>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</si>
  <si>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</si>
  <si>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</si>
  <si>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</si>
  <si>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</si>
  <si>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</si>
  <si>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</si>
  <si>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</si>
  <si>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</si>
  <si>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</si>
  <si>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</si>
  <si>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</si>
  <si>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</si>
  <si>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</si>
  <si>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</si>
  <si>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</si>
  <si>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</si>
  <si>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</si>
  <si>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</si>
  <si>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</si>
  <si>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</si>
  <si>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</si>
  <si>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</si>
  <si>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</si>
  <si>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</si>
  <si>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</si>
  <si>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</si>
  <si>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</si>
  <si>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</si>
  <si>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</si>
  <si>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</si>
  <si>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</si>
  <si>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</si>
  <si>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</si>
  <si>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</si>
  <si>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</si>
  <si>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</si>
  <si>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</si>
  <si>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</si>
  <si>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</si>
  <si>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</si>
  <si>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</si>
  <si>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</si>
  <si>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</si>
  <si>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</si>
  <si>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</si>
  <si>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</si>
  <si>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</si>
  <si>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</si>
  <si>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</si>
  <si>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</si>
  <si>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</si>
  <si>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</si>
  <si>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</si>
  <si>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</si>
  <si>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</si>
  <si>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</si>
  <si>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</si>
  <si>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</si>
  <si>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</si>
  <si>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</si>
  <si>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</si>
  <si>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</si>
  <si>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</si>
  <si>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</si>
  <si>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</si>
  <si>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</si>
  <si>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</si>
  <si>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</si>
  <si>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</si>
  <si>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</si>
  <si>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</si>
  <si>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</si>
  <si>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</si>
  <si>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</si>
  <si>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</si>
  <si>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</si>
  <si>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</si>
  <si>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</si>
  <si>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</si>
  <si>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</si>
  <si>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</si>
  <si>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</si>
  <si>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</si>
  <si>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</si>
  <si>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</si>
  <si>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</si>
  <si>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</si>
  <si>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</si>
  <si>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</si>
  <si>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</si>
  <si>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</si>
  <si>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</si>
  <si>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</si>
  <si>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</si>
  <si>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</si>
  <si>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</si>
  <si>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</si>
  <si>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</si>
  <si>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</si>
  <si>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</si>
  <si>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</si>
  <si>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</si>
  <si>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</si>
  <si>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</si>
  <si>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</si>
  <si>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</si>
  <si>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</si>
  <si>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</si>
  <si>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</si>
  <si>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</si>
  <si>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</si>
  <si>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</si>
  <si>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</si>
  <si>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</si>
  <si>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</si>
  <si>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</si>
  <si>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</si>
  <si>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</si>
  <si>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</si>
  <si>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</si>
  <si>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</si>
  <si>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</si>
  <si>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</si>
  <si>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</si>
  <si>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</si>
  <si>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</si>
  <si>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</si>
  <si>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</si>
  <si>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</si>
  <si>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</si>
  <si>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</si>
  <si>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</si>
  <si>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</si>
  <si>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</si>
  <si>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</si>
  <si>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</si>
  <si>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</si>
  <si>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</si>
  <si>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</si>
  <si>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</si>
  <si>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</si>
  <si>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</si>
  <si>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</si>
  <si>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</si>
  <si>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</si>
  <si>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</si>
  <si>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</si>
  <si>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</si>
  <si>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</si>
  <si>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</si>
  <si>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</si>
  <si>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</si>
  <si>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</si>
  <si>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</si>
  <si>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</si>
  <si>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</si>
  <si>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</si>
  <si>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</si>
  <si>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</si>
  <si>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</si>
  <si>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</si>
  <si>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</si>
  <si>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</si>
  <si>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</si>
  <si>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</si>
  <si>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</si>
  <si>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</si>
  <si>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</si>
  <si>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</si>
  <si>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</si>
  <si>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</si>
  <si>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</si>
  <si>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</si>
  <si>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</si>
  <si>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</si>
  <si>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</si>
  <si>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</si>
  <si>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</si>
  <si>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</si>
  <si>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</si>
  <si>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</si>
  <si>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</si>
  <si>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</si>
  <si>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</si>
  <si>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</si>
  <si>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</si>
  <si>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</si>
  <si>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</si>
  <si>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</si>
  <si>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</si>
  <si>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</si>
  <si>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</si>
  <si>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</si>
  <si>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</si>
  <si>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</si>
  <si>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</si>
  <si>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</si>
  <si>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</si>
  <si>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</si>
  <si>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</si>
  <si>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</si>
  <si>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</si>
  <si>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</si>
  <si>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</si>
  <si>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</si>
  <si>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</si>
  <si>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</si>
  <si>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</si>
  <si>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</si>
  <si>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</si>
  <si>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</si>
  <si>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</si>
  <si>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</si>
  <si>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</si>
  <si>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</si>
  <si>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</si>
  <si>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</si>
  <si>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</si>
  <si>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</si>
  <si>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</si>
  <si>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</si>
  <si>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</si>
  <si>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</si>
  <si>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</si>
  <si>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</si>
  <si>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</si>
  <si>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</si>
  <si>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</si>
  <si>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</si>
  <si>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</si>
  <si>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</si>
  <si>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</si>
  <si>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</si>
  <si>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</si>
  <si>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</si>
  <si>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</si>
  <si>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</si>
  <si>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</si>
  <si>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</si>
  <si>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</si>
  <si>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</si>
  <si>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</si>
  <si>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</si>
  <si>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</si>
  <si>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</si>
  <si>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</si>
  <si>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</si>
  <si>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</si>
  <si>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</si>
  <si>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</si>
  <si>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</si>
  <si>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</si>
  <si>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</si>
  <si>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</si>
  <si>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</si>
  <si>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</si>
  <si>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</si>
  <si>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</si>
  <si>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</si>
  <si>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</si>
  <si>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</si>
  <si>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</si>
  <si>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</si>
  <si>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</si>
  <si>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</si>
  <si>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</si>
  <si>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</si>
  <si>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</si>
  <si>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</si>
  <si>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</si>
  <si>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</si>
  <si>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</si>
  <si>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</si>
  <si>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</si>
  <si>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</si>
  <si>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</si>
  <si>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</si>
  <si>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</si>
  <si>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</si>
  <si>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</si>
  <si>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</si>
  <si>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</si>
  <si>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</si>
  <si>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</si>
  <si>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</si>
  <si>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</si>
  <si>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</si>
  <si>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</si>
  <si>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</si>
  <si>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</si>
  <si>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</si>
  <si>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</si>
  <si>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</si>
  <si>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</si>
  <si>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</si>
  <si>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</si>
  <si>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</si>
  <si>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</si>
  <si>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</si>
  <si>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</si>
  <si>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</si>
  <si>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</si>
  <si>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</si>
  <si>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</si>
  <si>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</si>
  <si>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</si>
  <si>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</si>
  <si>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</si>
  <si>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</si>
  <si>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</si>
  <si>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</si>
  <si>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</si>
  <si>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</si>
  <si>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</si>
  <si>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</si>
  <si>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</si>
  <si>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</si>
  <si>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</si>
  <si>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</si>
  <si>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</si>
  <si>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</si>
  <si>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</si>
  <si>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</si>
  <si>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</si>
  <si>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</si>
  <si>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</si>
  <si>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</si>
  <si>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</si>
  <si>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</si>
  <si>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</si>
  <si>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</si>
  <si>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</si>
  <si>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</si>
  <si>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</si>
  <si>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</si>
  <si>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</si>
  <si>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</si>
  <si>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</si>
  <si>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</si>
  <si>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</si>
  <si>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</si>
  <si>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</si>
  <si>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</si>
  <si>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</si>
  <si>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</si>
  <si>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</si>
  <si>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</si>
  <si>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</si>
  <si>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</si>
  <si>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</si>
  <si>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</si>
  <si>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</si>
  <si>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</si>
  <si>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</si>
  <si>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</si>
  <si>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</si>
  <si>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</si>
  <si>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</si>
  <si>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</si>
  <si>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</si>
  <si>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</si>
  <si>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</si>
  <si>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</si>
  <si>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</si>
  <si>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</si>
  <si>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</si>
  <si>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</si>
  <si>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</si>
  <si>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</si>
  <si>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</si>
  <si>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</si>
  <si>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</si>
  <si>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</si>
  <si>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</si>
  <si>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</si>
  <si>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</si>
  <si>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</si>
  <si>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</si>
  <si>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</si>
  <si>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</si>
  <si>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</si>
  <si>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</si>
  <si>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</si>
  <si>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</si>
  <si>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</si>
  <si>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</si>
  <si>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</si>
  <si>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</si>
  <si>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</si>
  <si>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</si>
  <si>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</si>
  <si>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</si>
  <si>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</si>
  <si>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</si>
  <si>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</si>
  <si>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</si>
  <si>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</si>
  <si>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</si>
  <si>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</si>
  <si>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</si>
  <si>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</si>
  <si>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</si>
  <si>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</si>
  <si>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</si>
  <si>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</si>
  <si>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</si>
  <si>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</si>
  <si>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</si>
  <si>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</si>
  <si>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</si>
  <si>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</si>
  <si>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</si>
  <si>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</si>
  <si>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</si>
  <si>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</si>
  <si>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</si>
  <si>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</si>
  <si>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</si>
  <si>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</si>
  <si>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</si>
  <si>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</si>
  <si>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</si>
  <si>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</si>
  <si>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</si>
  <si>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</si>
  <si>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</si>
  <si>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</si>
  <si>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</si>
  <si>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</si>
  <si>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</si>
  <si>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</si>
  <si>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</si>
  <si>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</si>
  <si>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</si>
  <si>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</si>
  <si>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</si>
  <si>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</si>
  <si>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</si>
  <si>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</si>
  <si>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</si>
  <si>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</si>
  <si>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</si>
  <si>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</si>
  <si>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</si>
  <si>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</si>
  <si>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</si>
  <si>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</si>
  <si>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</si>
  <si>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</si>
  <si>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</si>
  <si>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</si>
  <si>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</si>
  <si>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</si>
  <si>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</si>
  <si>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</si>
  <si>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</si>
  <si>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</si>
  <si>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</si>
  <si>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</si>
  <si>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</si>
  <si>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</si>
  <si>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</si>
  <si>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</si>
  <si>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</si>
  <si>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</si>
  <si>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</si>
  <si>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</si>
  <si>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</si>
  <si>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</si>
  <si>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</si>
  <si>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</si>
  <si>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</si>
  <si>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</si>
  <si>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</si>
  <si>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</si>
  <si>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</si>
  <si>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</si>
  <si>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</si>
  <si>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</si>
  <si>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</si>
  <si>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</si>
  <si>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</si>
  <si>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</si>
  <si>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</si>
  <si>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</si>
  <si>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</si>
  <si>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</si>
  <si>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</si>
  <si>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</si>
  <si>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</si>
  <si>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</si>
  <si>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</si>
  <si>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</si>
  <si>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</si>
  <si>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</si>
  <si>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904</t>
  </si>
  <si>
    <t>BHC Fairfax Hospital Inc</t>
  </si>
  <si>
    <t>10200 NE 132nd St</t>
  </si>
  <si>
    <t>Kirkland</t>
  </si>
  <si>
    <t>425-821-2000</t>
  </si>
  <si>
    <t>425-284-6090</t>
  </si>
  <si>
    <t>King</t>
  </si>
  <si>
    <t>Rebecca Shauinger</t>
  </si>
  <si>
    <t>Heather Tuck</t>
  </si>
  <si>
    <t>12/31/2017</t>
  </si>
  <si>
    <t>king</t>
  </si>
  <si>
    <t>Ron Escarda</t>
  </si>
  <si>
    <t>Rachel Cox</t>
  </si>
  <si>
    <t>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</si>
</sst>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88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81" zoomScaleNormal="81" workbookViewId="0">
      <selection activeCell="A720" sqref="A720:XFD817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3903599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1904941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7461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79060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56335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84475</v>
      </c>
      <c r="AV48" s="195">
        <f>ROUND(((B48/CE61)*AV61),0)</f>
        <v>208800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86412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18777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54721</v>
      </c>
      <c r="BF48" s="195">
        <f>ROUND(((B48/CE61)*BF61),0)</f>
        <v>48653</v>
      </c>
      <c r="BG48" s="195">
        <f>ROUND(((B48/CE61)*BG61),0)</f>
        <v>42546</v>
      </c>
      <c r="BH48" s="195">
        <f>ROUND(((B48/CE61)*BH61),0)</f>
        <v>0</v>
      </c>
      <c r="BI48" s="195">
        <f>ROUND(((B48/CE61)*BI61),0)</f>
        <v>187744</v>
      </c>
      <c r="BJ48" s="195">
        <f>ROUND(((B48/CE61)*BJ61),0)</f>
        <v>46941</v>
      </c>
      <c r="BK48" s="195">
        <f>ROUND(((B48/CE61)*BK61),0)</f>
        <v>65773</v>
      </c>
      <c r="BL48" s="195">
        <f>ROUND(((B48/CE61)*BL61),0)</f>
        <v>241393</v>
      </c>
      <c r="BM48" s="195">
        <f>ROUND(((B48/CE61)*BM61),0)</f>
        <v>0</v>
      </c>
      <c r="BN48" s="195">
        <f>ROUND(((B48/CE61)*BN61),0)</f>
        <v>115597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56069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55631</v>
      </c>
      <c r="BW48" s="195">
        <f>ROUND(((B48/CE61)*BW61),0)</f>
        <v>0</v>
      </c>
      <c r="BX48" s="195">
        <f>ROUND(((B48/CE61)*BX61),0)</f>
        <v>103864</v>
      </c>
      <c r="BY48" s="195">
        <f>ROUND(((B48/CE61)*BY61),0)</f>
        <v>303243</v>
      </c>
      <c r="BZ48" s="195">
        <f>ROUND(((B48/CE61)*BZ61),0)</f>
        <v>0</v>
      </c>
      <c r="CA48" s="195">
        <f>ROUND(((B48/CE61)*CA61),0)</f>
        <v>108850</v>
      </c>
      <c r="CB48" s="195">
        <f>ROUND(((B48/CE61)*CB61),0)</f>
        <v>0</v>
      </c>
      <c r="CC48" s="195">
        <f>ROUND(((B48/CE61)*CC61),0)</f>
        <v>26312</v>
      </c>
      <c r="CD48" s="195"/>
      <c r="CE48" s="195">
        <f>SUM(C48:CD48)</f>
        <v>3903598</v>
      </c>
    </row>
    <row r="49" spans="1:84" ht="12.6" customHeight="1" x14ac:dyDescent="0.25">
      <c r="A49" s="175" t="s">
        <v>206</v>
      </c>
      <c r="B49" s="195">
        <f>B47+B48</f>
        <v>3903599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1454177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927177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4219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73763</v>
      </c>
      <c r="AZ52" s="195">
        <f>ROUND((B52/(CE76+CF76)*AZ76),0)</f>
        <v>28932</v>
      </c>
      <c r="BA52" s="195">
        <f>ROUND((B52/(CE76+CF76)*BA76),0)</f>
        <v>9644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379984</v>
      </c>
      <c r="BO52" s="195">
        <f>ROUND((B52/(CE76+CF76)*BO76),0)</f>
        <v>0</v>
      </c>
      <c r="BP52" s="195">
        <f>ROUND((B52/(CE76+CF76)*BP76),0)</f>
        <v>1808</v>
      </c>
      <c r="BQ52" s="195">
        <f>ROUND((B52/(CE76+CF76)*BQ76),0)</f>
        <v>0</v>
      </c>
      <c r="BR52" s="195">
        <f>ROUND((B52/(CE76+CF76)*BR76),0)</f>
        <v>3635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10548</v>
      </c>
      <c r="BW52" s="195">
        <f>ROUND((B52/(CE76+CF76)*BW76),0)</f>
        <v>12658</v>
      </c>
      <c r="BX52" s="195">
        <f>ROUND((B52/(CE76+CF76)*BX76),0)</f>
        <v>0</v>
      </c>
      <c r="BY52" s="195">
        <f>ROUND((B52/(CE76+CF76)*BY76),0)</f>
        <v>1808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1454176</v>
      </c>
    </row>
    <row r="53" spans="1:84" ht="12.6" customHeight="1" x14ac:dyDescent="0.25">
      <c r="A53" s="175" t="s">
        <v>206</v>
      </c>
      <c r="B53" s="195">
        <f>B51+B52</f>
        <v>1454177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/>
      <c r="H59" s="184">
        <v>49146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>
        <v>4623</v>
      </c>
      <c r="AV59" s="248"/>
      <c r="AW59" s="248"/>
      <c r="AX59" s="248"/>
      <c r="AY59" s="185">
        <v>152061</v>
      </c>
      <c r="AZ59" s="185"/>
      <c r="BA59" s="248"/>
      <c r="BB59" s="248"/>
      <c r="BC59" s="248"/>
      <c r="BD59" s="248"/>
      <c r="BE59" s="185">
        <v>77201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/>
      <c r="F60" s="223"/>
      <c r="G60" s="187"/>
      <c r="H60" s="187">
        <v>136.58653846153845</v>
      </c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>
        <v>3.1</v>
      </c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>
        <v>4.5599999999999996</v>
      </c>
      <c r="AN60" s="221"/>
      <c r="AO60" s="221"/>
      <c r="AP60" s="221"/>
      <c r="AQ60" s="221"/>
      <c r="AR60" s="221"/>
      <c r="AS60" s="221"/>
      <c r="AT60" s="221"/>
      <c r="AU60" s="221">
        <v>5.48</v>
      </c>
      <c r="AV60" s="221">
        <v>16.579999999999998</v>
      </c>
      <c r="AW60" s="221"/>
      <c r="AX60" s="221"/>
      <c r="AY60" s="221">
        <v>9.43</v>
      </c>
      <c r="AZ60" s="221"/>
      <c r="BA60" s="221"/>
      <c r="BB60" s="221">
        <v>2.0299999999999998</v>
      </c>
      <c r="BC60" s="221"/>
      <c r="BD60" s="221"/>
      <c r="BE60" s="221">
        <v>3.8</v>
      </c>
      <c r="BF60" s="221">
        <v>9.9600000000000009</v>
      </c>
      <c r="BG60" s="221">
        <v>2.41</v>
      </c>
      <c r="BH60" s="221"/>
      <c r="BI60" s="221">
        <v>12.21</v>
      </c>
      <c r="BJ60" s="221">
        <v>2.64</v>
      </c>
      <c r="BK60" s="221">
        <v>5.07</v>
      </c>
      <c r="BL60" s="221">
        <v>18.260000000000002</v>
      </c>
      <c r="BM60" s="221"/>
      <c r="BN60" s="221">
        <v>2.2000000000000002</v>
      </c>
      <c r="BO60" s="221"/>
      <c r="BP60" s="221"/>
      <c r="BQ60" s="221"/>
      <c r="BR60" s="221">
        <v>3.65</v>
      </c>
      <c r="BS60" s="221"/>
      <c r="BT60" s="221"/>
      <c r="BU60" s="221"/>
      <c r="BV60" s="221">
        <v>7.87</v>
      </c>
      <c r="BW60" s="221"/>
      <c r="BX60" s="221">
        <v>6.3427884615384613</v>
      </c>
      <c r="BY60" s="221">
        <v>12.67</v>
      </c>
      <c r="BZ60" s="221"/>
      <c r="CA60" s="221">
        <v>9.4</v>
      </c>
      <c r="CB60" s="221"/>
      <c r="CC60" s="221">
        <v>1.39</v>
      </c>
      <c r="CD60" s="249" t="s">
        <v>221</v>
      </c>
      <c r="CE60" s="251">
        <f t="shared" ref="CE60:CE70" si="0">SUM(C60:CD60)</f>
        <v>275.63932692307685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/>
      <c r="H61" s="184">
        <v>9565032</v>
      </c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>
        <v>37465</v>
      </c>
      <c r="W61" s="185"/>
      <c r="X61" s="185"/>
      <c r="Y61" s="185"/>
      <c r="Z61" s="185"/>
      <c r="AA61" s="185"/>
      <c r="AB61" s="185">
        <v>396976</v>
      </c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>
        <v>282868</v>
      </c>
      <c r="AN61" s="185"/>
      <c r="AO61" s="185"/>
      <c r="AP61" s="185"/>
      <c r="AQ61" s="185"/>
      <c r="AR61" s="185"/>
      <c r="AS61" s="185"/>
      <c r="AT61" s="185"/>
      <c r="AU61" s="185">
        <v>424162</v>
      </c>
      <c r="AV61" s="185">
        <v>1048421</v>
      </c>
      <c r="AW61" s="185"/>
      <c r="AX61" s="185"/>
      <c r="AY61" s="185">
        <v>433888</v>
      </c>
      <c r="AZ61" s="185"/>
      <c r="BA61" s="185"/>
      <c r="BB61" s="185">
        <v>94281</v>
      </c>
      <c r="BC61" s="185"/>
      <c r="BD61" s="185"/>
      <c r="BE61" s="185">
        <v>274762</v>
      </c>
      <c r="BF61" s="185">
        <v>244297</v>
      </c>
      <c r="BG61" s="185">
        <v>213631</v>
      </c>
      <c r="BH61" s="185"/>
      <c r="BI61" s="185">
        <v>942696</v>
      </c>
      <c r="BJ61" s="185">
        <v>235700</v>
      </c>
      <c r="BK61" s="185">
        <v>330255</v>
      </c>
      <c r="BL61" s="185">
        <v>1212073</v>
      </c>
      <c r="BM61" s="185"/>
      <c r="BN61" s="185">
        <v>580434</v>
      </c>
      <c r="BO61" s="185"/>
      <c r="BP61" s="185"/>
      <c r="BQ61" s="185"/>
      <c r="BR61" s="185">
        <v>281532</v>
      </c>
      <c r="BS61" s="185"/>
      <c r="BT61" s="185"/>
      <c r="BU61" s="185"/>
      <c r="BV61" s="185">
        <v>279335</v>
      </c>
      <c r="BW61" s="185"/>
      <c r="BX61" s="185">
        <v>521518</v>
      </c>
      <c r="BY61" s="185">
        <v>1522635</v>
      </c>
      <c r="BZ61" s="185"/>
      <c r="CA61" s="185">
        <v>546556</v>
      </c>
      <c r="CB61" s="185"/>
      <c r="CC61" s="185">
        <v>132118</v>
      </c>
      <c r="CD61" s="249" t="s">
        <v>221</v>
      </c>
      <c r="CE61" s="195">
        <f t="shared" si="0"/>
        <v>19600635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1904941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7461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79060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56335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84475</v>
      </c>
      <c r="AV62" s="195">
        <f t="shared" si="1"/>
        <v>208800</v>
      </c>
      <c r="AW62" s="195">
        <f t="shared" si="1"/>
        <v>0</v>
      </c>
      <c r="AX62" s="195">
        <f t="shared" si="1"/>
        <v>0</v>
      </c>
      <c r="AY62" s="195">
        <f>ROUND(AY47+AY48,0)</f>
        <v>86412</v>
      </c>
      <c r="AZ62" s="195">
        <f>ROUND(AZ47+AZ48,0)</f>
        <v>0</v>
      </c>
      <c r="BA62" s="195">
        <f>ROUND(BA47+BA48,0)</f>
        <v>0</v>
      </c>
      <c r="BB62" s="195">
        <f t="shared" si="1"/>
        <v>18777</v>
      </c>
      <c r="BC62" s="195">
        <f t="shared" si="1"/>
        <v>0</v>
      </c>
      <c r="BD62" s="195">
        <f t="shared" si="1"/>
        <v>0</v>
      </c>
      <c r="BE62" s="195">
        <f t="shared" si="1"/>
        <v>54721</v>
      </c>
      <c r="BF62" s="195">
        <f t="shared" si="1"/>
        <v>48653</v>
      </c>
      <c r="BG62" s="195">
        <f t="shared" si="1"/>
        <v>42546</v>
      </c>
      <c r="BH62" s="195">
        <f t="shared" si="1"/>
        <v>0</v>
      </c>
      <c r="BI62" s="195">
        <f t="shared" si="1"/>
        <v>187744</v>
      </c>
      <c r="BJ62" s="195">
        <f t="shared" si="1"/>
        <v>46941</v>
      </c>
      <c r="BK62" s="195">
        <f t="shared" si="1"/>
        <v>65773</v>
      </c>
      <c r="BL62" s="195">
        <f t="shared" si="1"/>
        <v>241393</v>
      </c>
      <c r="BM62" s="195">
        <f t="shared" si="1"/>
        <v>0</v>
      </c>
      <c r="BN62" s="195">
        <f t="shared" si="1"/>
        <v>115597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56069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55631</v>
      </c>
      <c r="BW62" s="195">
        <f t="shared" si="2"/>
        <v>0</v>
      </c>
      <c r="BX62" s="195">
        <f t="shared" si="2"/>
        <v>103864</v>
      </c>
      <c r="BY62" s="195">
        <f t="shared" si="2"/>
        <v>303243</v>
      </c>
      <c r="BZ62" s="195">
        <f t="shared" si="2"/>
        <v>0</v>
      </c>
      <c r="CA62" s="195">
        <f t="shared" si="2"/>
        <v>108850</v>
      </c>
      <c r="CB62" s="195">
        <f t="shared" si="2"/>
        <v>0</v>
      </c>
      <c r="CC62" s="195">
        <f t="shared" si="2"/>
        <v>26312</v>
      </c>
      <c r="CD62" s="249" t="s">
        <v>221</v>
      </c>
      <c r="CE62" s="195">
        <f t="shared" si="0"/>
        <v>3903598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>
        <v>87590</v>
      </c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>
        <v>83080</v>
      </c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>
        <v>30949</v>
      </c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>
        <v>6031623</v>
      </c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6233242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4"/>
      <c r="H64" s="184">
        <v>11624</v>
      </c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>
        <v>632</v>
      </c>
      <c r="W64" s="185"/>
      <c r="X64" s="185"/>
      <c r="Y64" s="185"/>
      <c r="Z64" s="185"/>
      <c r="AA64" s="185"/>
      <c r="AB64" s="185">
        <v>508787</v>
      </c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>
        <v>14083</v>
      </c>
      <c r="AN64" s="185"/>
      <c r="AO64" s="185"/>
      <c r="AP64" s="185"/>
      <c r="AQ64" s="185"/>
      <c r="AR64" s="185"/>
      <c r="AS64" s="185"/>
      <c r="AT64" s="185"/>
      <c r="AU64" s="185">
        <v>2264</v>
      </c>
      <c r="AV64" s="185">
        <v>1544</v>
      </c>
      <c r="AW64" s="185"/>
      <c r="AX64" s="185"/>
      <c r="AY64" s="185">
        <v>1075886</v>
      </c>
      <c r="AZ64" s="185"/>
      <c r="BA64" s="185"/>
      <c r="BB64" s="185">
        <v>6</v>
      </c>
      <c r="BC64" s="185"/>
      <c r="BD64" s="185"/>
      <c r="BE64" s="185">
        <v>94588</v>
      </c>
      <c r="BF64" s="185">
        <v>68309</v>
      </c>
      <c r="BG64" s="185">
        <v>6512</v>
      </c>
      <c r="BH64" s="185">
        <v>272</v>
      </c>
      <c r="BI64" s="185">
        <v>205764</v>
      </c>
      <c r="BJ64" s="185">
        <v>2433</v>
      </c>
      <c r="BK64" s="185">
        <v>21720</v>
      </c>
      <c r="BL64" s="185">
        <v>755</v>
      </c>
      <c r="BM64" s="185"/>
      <c r="BN64" s="185">
        <v>20318</v>
      </c>
      <c r="BO64" s="185"/>
      <c r="BP64" s="185"/>
      <c r="BQ64" s="185"/>
      <c r="BR64" s="185">
        <v>24961</v>
      </c>
      <c r="BS64" s="185"/>
      <c r="BT64" s="185"/>
      <c r="BU64" s="185"/>
      <c r="BV64" s="185">
        <v>51254</v>
      </c>
      <c r="BW64" s="185">
        <v>5883</v>
      </c>
      <c r="BX64" s="185">
        <v>963</v>
      </c>
      <c r="BY64" s="185">
        <v>4869</v>
      </c>
      <c r="BZ64" s="185"/>
      <c r="CA64" s="185">
        <v>6641</v>
      </c>
      <c r="CB64" s="185"/>
      <c r="CC64" s="185">
        <v>668</v>
      </c>
      <c r="CD64" s="249" t="s">
        <v>221</v>
      </c>
      <c r="CE64" s="195">
        <f t="shared" si="0"/>
        <v>2130736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>
        <v>6622</v>
      </c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214614</v>
      </c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221236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/>
      <c r="H66" s="184">
        <v>86851</v>
      </c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112083</v>
      </c>
      <c r="V66" s="185">
        <v>-236</v>
      </c>
      <c r="W66" s="185"/>
      <c r="X66" s="185"/>
      <c r="Y66" s="185">
        <v>45209</v>
      </c>
      <c r="Z66" s="185"/>
      <c r="AA66" s="185"/>
      <c r="AB66" s="185">
        <v>88915</v>
      </c>
      <c r="AC66" s="185"/>
      <c r="AD66" s="185"/>
      <c r="AE66" s="185"/>
      <c r="AF66" s="185"/>
      <c r="AG66" s="185">
        <v>4334</v>
      </c>
      <c r="AH66" s="185"/>
      <c r="AI66" s="185"/>
      <c r="AJ66" s="185"/>
      <c r="AK66" s="185"/>
      <c r="AL66" s="185"/>
      <c r="AM66" s="185">
        <v>38138</v>
      </c>
      <c r="AN66" s="185"/>
      <c r="AO66" s="185"/>
      <c r="AP66" s="185"/>
      <c r="AQ66" s="185"/>
      <c r="AR66" s="185"/>
      <c r="AS66" s="185"/>
      <c r="AT66" s="185"/>
      <c r="AU66" s="185">
        <v>1115</v>
      </c>
      <c r="AV66" s="185">
        <v>10225</v>
      </c>
      <c r="AW66" s="185"/>
      <c r="AX66" s="185"/>
      <c r="AY66" s="185">
        <v>570</v>
      </c>
      <c r="AZ66" s="185"/>
      <c r="BA66" s="185">
        <v>144656</v>
      </c>
      <c r="BB66" s="185"/>
      <c r="BC66" s="185"/>
      <c r="BD66" s="185"/>
      <c r="BE66" s="185">
        <v>56763</v>
      </c>
      <c r="BF66" s="185">
        <v>241849</v>
      </c>
      <c r="BG66" s="185"/>
      <c r="BH66" s="185">
        <v>1890</v>
      </c>
      <c r="BI66" s="185">
        <v>156266</v>
      </c>
      <c r="BJ66" s="185">
        <v>96880</v>
      </c>
      <c r="BK66" s="185">
        <v>38849</v>
      </c>
      <c r="BL66" s="185"/>
      <c r="BM66" s="185"/>
      <c r="BN66" s="185">
        <v>33886</v>
      </c>
      <c r="BO66" s="185"/>
      <c r="BP66" s="185"/>
      <c r="BQ66" s="185"/>
      <c r="BR66" s="185">
        <v>44517</v>
      </c>
      <c r="BS66" s="185"/>
      <c r="BT66" s="185"/>
      <c r="BU66" s="185"/>
      <c r="BV66" s="185">
        <v>222189</v>
      </c>
      <c r="BW66" s="185">
        <v>193268</v>
      </c>
      <c r="BX66" s="185">
        <v>1730</v>
      </c>
      <c r="BY66" s="185">
        <v>276</v>
      </c>
      <c r="BZ66" s="185"/>
      <c r="CA66" s="185"/>
      <c r="CB66" s="185"/>
      <c r="CC66" s="185">
        <v>21164</v>
      </c>
      <c r="CD66" s="249" t="s">
        <v>221</v>
      </c>
      <c r="CE66" s="195">
        <f t="shared" si="0"/>
        <v>1641387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927177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4219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73763</v>
      </c>
      <c r="AZ67" s="195">
        <f>ROUND(AZ51+AZ52,0)</f>
        <v>28932</v>
      </c>
      <c r="BA67" s="195">
        <f>ROUND(BA51+BA52,0)</f>
        <v>9644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379984</v>
      </c>
      <c r="BO67" s="195">
        <f t="shared" si="3"/>
        <v>0</v>
      </c>
      <c r="BP67" s="195">
        <f t="shared" si="3"/>
        <v>1808</v>
      </c>
      <c r="BQ67" s="195">
        <f t="shared" ref="BQ67:CC67" si="4">ROUND(BQ51+BQ52,0)</f>
        <v>0</v>
      </c>
      <c r="BR67" s="195">
        <f t="shared" si="4"/>
        <v>3635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10548</v>
      </c>
      <c r="BW67" s="195">
        <f t="shared" si="4"/>
        <v>12658</v>
      </c>
      <c r="BX67" s="195">
        <f t="shared" si="4"/>
        <v>0</v>
      </c>
      <c r="BY67" s="195">
        <f t="shared" si="4"/>
        <v>1808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1454176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>
        <v>60261</v>
      </c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38802</v>
      </c>
      <c r="BF68" s="185"/>
      <c r="BG68" s="185"/>
      <c r="BH68" s="185"/>
      <c r="BI68" s="185"/>
      <c r="BJ68" s="185"/>
      <c r="BK68" s="185">
        <v>4534</v>
      </c>
      <c r="BL68" s="185"/>
      <c r="BM68" s="185"/>
      <c r="BN68" s="185">
        <v>61249</v>
      </c>
      <c r="BO68" s="185"/>
      <c r="BP68" s="185"/>
      <c r="BQ68" s="185"/>
      <c r="BR68" s="185">
        <v>2425</v>
      </c>
      <c r="BS68" s="185"/>
      <c r="BT68" s="185"/>
      <c r="BU68" s="185"/>
      <c r="BV68" s="185">
        <v>212</v>
      </c>
      <c r="BW68" s="185"/>
      <c r="BX68" s="185"/>
      <c r="BY68" s="185">
        <v>4649</v>
      </c>
      <c r="BZ68" s="185"/>
      <c r="CA68" s="185"/>
      <c r="CB68" s="185"/>
      <c r="CC68" s="185"/>
      <c r="CD68" s="249" t="s">
        <v>221</v>
      </c>
      <c r="CE68" s="195">
        <f t="shared" si="0"/>
        <v>172132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4"/>
      <c r="H69" s="184">
        <v>11476</v>
      </c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>
        <v>6387</v>
      </c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>
        <v>2730</v>
      </c>
      <c r="AN69" s="185"/>
      <c r="AO69" s="184"/>
      <c r="AP69" s="185"/>
      <c r="AQ69" s="184"/>
      <c r="AR69" s="184"/>
      <c r="AS69" s="184"/>
      <c r="AT69" s="184"/>
      <c r="AU69" s="185">
        <v>1188</v>
      </c>
      <c r="AV69" s="185">
        <v>214</v>
      </c>
      <c r="AW69" s="185"/>
      <c r="AX69" s="185"/>
      <c r="AY69" s="185">
        <v>9448</v>
      </c>
      <c r="AZ69" s="185"/>
      <c r="BA69" s="185"/>
      <c r="BB69" s="185">
        <v>20</v>
      </c>
      <c r="BC69" s="185">
        <f>75023+64</f>
        <v>75087</v>
      </c>
      <c r="BD69" s="185"/>
      <c r="BE69" s="185">
        <v>534226</v>
      </c>
      <c r="BF69" s="185">
        <v>550</v>
      </c>
      <c r="BG69" s="185">
        <v>78858</v>
      </c>
      <c r="BH69" s="224">
        <v>37</v>
      </c>
      <c r="BI69" s="185">
        <v>111438</v>
      </c>
      <c r="BJ69" s="185">
        <v>72910</v>
      </c>
      <c r="BK69" s="185">
        <v>45144</v>
      </c>
      <c r="BL69" s="185">
        <v>714</v>
      </c>
      <c r="BM69" s="185"/>
      <c r="BN69" s="185">
        <v>420799</v>
      </c>
      <c r="BO69" s="185"/>
      <c r="BP69" s="185"/>
      <c r="BQ69" s="185"/>
      <c r="BR69" s="185">
        <v>82920</v>
      </c>
      <c r="BS69" s="185"/>
      <c r="BT69" s="185"/>
      <c r="BU69" s="185"/>
      <c r="BV69" s="185">
        <v>9023</v>
      </c>
      <c r="BW69" s="185">
        <v>40936</v>
      </c>
      <c r="BX69" s="185">
        <v>2905</v>
      </c>
      <c r="BY69" s="185">
        <v>6456</v>
      </c>
      <c r="BZ69" s="185"/>
      <c r="CA69" s="185">
        <v>3823</v>
      </c>
      <c r="CB69" s="185"/>
      <c r="CC69" s="185">
        <v>3424</v>
      </c>
      <c r="CD69" s="188">
        <v>14313661</v>
      </c>
      <c r="CE69" s="195">
        <f t="shared" si="0"/>
        <v>15834374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593419</v>
      </c>
      <c r="CE70" s="195">
        <f t="shared" si="0"/>
        <v>593419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12594691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112083</v>
      </c>
      <c r="V71" s="195">
        <f t="shared" si="5"/>
        <v>45322</v>
      </c>
      <c r="W71" s="195">
        <f t="shared" si="5"/>
        <v>0</v>
      </c>
      <c r="X71" s="195">
        <f t="shared" si="5"/>
        <v>0</v>
      </c>
      <c r="Y71" s="195">
        <f t="shared" si="5"/>
        <v>45209</v>
      </c>
      <c r="Z71" s="195">
        <f t="shared" si="5"/>
        <v>0</v>
      </c>
      <c r="AA71" s="195">
        <f t="shared" si="5"/>
        <v>0</v>
      </c>
      <c r="AB71" s="195">
        <f t="shared" si="5"/>
        <v>1084344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4334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394154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663167</v>
      </c>
      <c r="AV71" s="195">
        <f t="shared" si="6"/>
        <v>1269204</v>
      </c>
      <c r="AW71" s="195">
        <f t="shared" si="6"/>
        <v>0</v>
      </c>
      <c r="AX71" s="195">
        <f t="shared" si="6"/>
        <v>0</v>
      </c>
      <c r="AY71" s="195">
        <f t="shared" si="6"/>
        <v>1679967</v>
      </c>
      <c r="AZ71" s="195">
        <f t="shared" si="6"/>
        <v>28932</v>
      </c>
      <c r="BA71" s="195">
        <f t="shared" si="6"/>
        <v>154300</v>
      </c>
      <c r="BB71" s="195">
        <f t="shared" si="6"/>
        <v>113084</v>
      </c>
      <c r="BC71" s="195">
        <f t="shared" si="6"/>
        <v>75087</v>
      </c>
      <c r="BD71" s="195">
        <f t="shared" si="6"/>
        <v>0</v>
      </c>
      <c r="BE71" s="195">
        <f t="shared" si="6"/>
        <v>1268476</v>
      </c>
      <c r="BF71" s="195">
        <f t="shared" si="6"/>
        <v>603658</v>
      </c>
      <c r="BG71" s="195">
        <f t="shared" si="6"/>
        <v>341547</v>
      </c>
      <c r="BH71" s="195">
        <f t="shared" si="6"/>
        <v>2199</v>
      </c>
      <c r="BI71" s="195">
        <f t="shared" si="6"/>
        <v>1634857</v>
      </c>
      <c r="BJ71" s="195">
        <f t="shared" si="6"/>
        <v>454864</v>
      </c>
      <c r="BK71" s="195">
        <f t="shared" si="6"/>
        <v>506275</v>
      </c>
      <c r="BL71" s="195">
        <f t="shared" si="6"/>
        <v>1454935</v>
      </c>
      <c r="BM71" s="195">
        <f t="shared" si="6"/>
        <v>0</v>
      </c>
      <c r="BN71" s="195">
        <f t="shared" si="6"/>
        <v>1612267</v>
      </c>
      <c r="BO71" s="195">
        <f t="shared" si="6"/>
        <v>0</v>
      </c>
      <c r="BP71" s="195">
        <f t="shared" ref="BP71:CC71" si="7">SUM(BP61:BP69)-BP70</f>
        <v>1808</v>
      </c>
      <c r="BQ71" s="195">
        <f t="shared" si="7"/>
        <v>0</v>
      </c>
      <c r="BR71" s="195">
        <f t="shared" si="7"/>
        <v>496059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628192</v>
      </c>
      <c r="BW71" s="195">
        <f t="shared" si="7"/>
        <v>6284368</v>
      </c>
      <c r="BX71" s="195">
        <f t="shared" si="7"/>
        <v>630980</v>
      </c>
      <c r="BY71" s="195">
        <f t="shared" si="7"/>
        <v>1843936</v>
      </c>
      <c r="BZ71" s="195">
        <f t="shared" si="7"/>
        <v>0</v>
      </c>
      <c r="CA71" s="195">
        <f t="shared" si="7"/>
        <v>665870</v>
      </c>
      <c r="CB71" s="195">
        <f t="shared" si="7"/>
        <v>0</v>
      </c>
      <c r="CC71" s="195">
        <f t="shared" si="7"/>
        <v>183686</v>
      </c>
      <c r="CD71" s="245">
        <f>CD69-CD70</f>
        <v>13720242</v>
      </c>
      <c r="CE71" s="195">
        <f>SUM(CE61:CE69)-CE70</f>
        <v>50598097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/>
      <c r="F73" s="185"/>
      <c r="G73" s="184"/>
      <c r="H73" s="184">
        <v>147896558</v>
      </c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>
        <v>43340</v>
      </c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147939898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>
        <v>2730816</v>
      </c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2730816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147896558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43340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2730816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150670714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/>
      <c r="F76" s="185"/>
      <c r="G76" s="184"/>
      <c r="H76" s="184">
        <v>49223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>
        <v>224</v>
      </c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3916</v>
      </c>
      <c r="AZ76" s="185">
        <v>1536</v>
      </c>
      <c r="BA76" s="185">
        <v>512</v>
      </c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>
        <v>20173</v>
      </c>
      <c r="BO76" s="185"/>
      <c r="BP76" s="185">
        <v>96</v>
      </c>
      <c r="BQ76" s="185"/>
      <c r="BR76" s="185">
        <v>193</v>
      </c>
      <c r="BS76" s="185"/>
      <c r="BT76" s="185"/>
      <c r="BU76" s="185"/>
      <c r="BV76" s="185">
        <v>560</v>
      </c>
      <c r="BW76" s="185">
        <v>672</v>
      </c>
      <c r="BX76" s="185"/>
      <c r="BY76" s="185">
        <v>96</v>
      </c>
      <c r="BZ76" s="185"/>
      <c r="CA76" s="185"/>
      <c r="CB76" s="185"/>
      <c r="CC76" s="185"/>
      <c r="CD76" s="249" t="s">
        <v>221</v>
      </c>
      <c r="CE76" s="195">
        <f t="shared" si="8"/>
        <v>77201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/>
      <c r="H77" s="184">
        <f>49146*3</f>
        <v>147438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>
        <v>4623</v>
      </c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152061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184">
        <v>16640</v>
      </c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16640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/>
      <c r="F79" s="184"/>
      <c r="G79" s="184"/>
      <c r="H79" s="184">
        <f>167604/11*12</f>
        <v>182840.72727272726</v>
      </c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182840.72727272726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/>
      <c r="F80" s="187"/>
      <c r="G80" s="187"/>
      <c r="H80" s="187">
        <v>136.59</v>
      </c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>
        <v>5.48</v>
      </c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142.07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1266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1267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1268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1268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/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1270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1271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>
        <v>1</v>
      </c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f>4096-726</f>
        <v>3370</v>
      </c>
      <c r="D111" s="174">
        <f>49146-4727</f>
        <v>44419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726</v>
      </c>
      <c r="D113" s="174">
        <v>4727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145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12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157</v>
      </c>
    </row>
    <row r="128" spans="1:5" ht="12.6" customHeight="1" x14ac:dyDescent="0.25">
      <c r="A128" s="173" t="s">
        <v>292</v>
      </c>
      <c r="B128" s="172" t="s">
        <v>256</v>
      </c>
      <c r="C128" s="189">
        <v>157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744</v>
      </c>
      <c r="C138" s="189">
        <v>1778</v>
      </c>
      <c r="D138" s="174">
        <f>4096-744-1778</f>
        <v>1574</v>
      </c>
      <c r="E138" s="175">
        <f>SUM(B138:D138)</f>
        <v>4096</v>
      </c>
    </row>
    <row r="139" spans="1:6" ht="12.6" customHeight="1" x14ac:dyDescent="0.25">
      <c r="A139" s="173" t="s">
        <v>215</v>
      </c>
      <c r="B139" s="174">
        <v>11690</v>
      </c>
      <c r="C139" s="189">
        <v>24188</v>
      </c>
      <c r="D139" s="174">
        <f>49149-11690-24188</f>
        <v>13271</v>
      </c>
      <c r="E139" s="175">
        <f>SUM(B139:D139)</f>
        <v>49149</v>
      </c>
    </row>
    <row r="140" spans="1:6" ht="12.6" customHeight="1" x14ac:dyDescent="0.25">
      <c r="A140" s="173" t="s">
        <v>298</v>
      </c>
      <c r="B140" s="174">
        <f>154+177</f>
        <v>331</v>
      </c>
      <c r="C140" s="174">
        <v>3</v>
      </c>
      <c r="D140" s="174">
        <f>4623-331-3</f>
        <v>4289</v>
      </c>
      <c r="E140" s="175">
        <f>SUM(B140:D140)</f>
        <v>4623</v>
      </c>
    </row>
    <row r="141" spans="1:6" ht="12.6" customHeight="1" x14ac:dyDescent="0.25">
      <c r="A141" s="173" t="s">
        <v>245</v>
      </c>
      <c r="B141" s="174">
        <v>32726400</v>
      </c>
      <c r="C141" s="189">
        <v>67720800</v>
      </c>
      <c r="D141" s="174">
        <v>47492698</v>
      </c>
      <c r="E141" s="175">
        <f>SUM(B141:D141)</f>
        <v>147939898</v>
      </c>
      <c r="F141" s="199"/>
    </row>
    <row r="142" spans="1:6" ht="12.6" customHeight="1" x14ac:dyDescent="0.25">
      <c r="A142" s="173" t="s">
        <v>246</v>
      </c>
      <c r="B142" s="174">
        <v>186750</v>
      </c>
      <c r="C142" s="189">
        <v>1800</v>
      </c>
      <c r="D142" s="174">
        <v>2542266</v>
      </c>
      <c r="E142" s="175">
        <f>SUM(B142:D142)</f>
        <v>2730816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1674043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41331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478865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1613233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56322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276077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-236272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3903599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f>172132-49503</f>
        <v>122629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49503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172132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249397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82633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332030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f>114962+15883</f>
        <v>130845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f>18519+778416+174237</f>
        <v>971172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51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1102068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4313939.9000000004</v>
      </c>
      <c r="C195" s="189"/>
      <c r="D195" s="174"/>
      <c r="E195" s="175">
        <f t="shared" ref="E195:E203" si="10">SUM(B195:C195)-D195</f>
        <v>4313939.9000000004</v>
      </c>
    </row>
    <row r="196" spans="1:8" ht="12.6" customHeight="1" x14ac:dyDescent="0.25">
      <c r="A196" s="173" t="s">
        <v>333</v>
      </c>
      <c r="B196" s="174">
        <v>2013648.1600000001</v>
      </c>
      <c r="C196" s="189">
        <v>10873.51</v>
      </c>
      <c r="D196" s="174"/>
      <c r="E196" s="175">
        <f t="shared" si="10"/>
        <v>2024521.6700000002</v>
      </c>
    </row>
    <row r="197" spans="1:8" ht="12.6" customHeight="1" x14ac:dyDescent="0.25">
      <c r="A197" s="173" t="s">
        <v>334</v>
      </c>
      <c r="B197" s="174">
        <v>843955.88</v>
      </c>
      <c r="C197" s="189">
        <v>132939.22</v>
      </c>
      <c r="D197" s="174"/>
      <c r="E197" s="175">
        <f t="shared" si="10"/>
        <v>976895.1</v>
      </c>
    </row>
    <row r="198" spans="1:8" ht="12.6" customHeight="1" x14ac:dyDescent="0.25">
      <c r="A198" s="173" t="s">
        <v>335</v>
      </c>
      <c r="B198" s="174">
        <v>19918109.91</v>
      </c>
      <c r="C198" s="189"/>
      <c r="D198" s="174"/>
      <c r="E198" s="175">
        <f t="shared" si="10"/>
        <v>19918109.91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4207948.2999999989</v>
      </c>
      <c r="C200" s="189">
        <v>209550.91999999998</v>
      </c>
      <c r="D200" s="174"/>
      <c r="E200" s="175">
        <f t="shared" si="10"/>
        <v>4417499.2199999988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f>386240+3512</f>
        <v>389752</v>
      </c>
      <c r="C202" s="189"/>
      <c r="D202" s="174"/>
      <c r="E202" s="175">
        <f t="shared" si="10"/>
        <v>389752</v>
      </c>
    </row>
    <row r="203" spans="1:8" ht="12.6" customHeight="1" x14ac:dyDescent="0.25">
      <c r="A203" s="173" t="s">
        <v>340</v>
      </c>
      <c r="B203" s="174">
        <v>1198</v>
      </c>
      <c r="C203" s="189">
        <v>151761</v>
      </c>
      <c r="D203" s="174"/>
      <c r="E203" s="175">
        <f t="shared" si="10"/>
        <v>152959</v>
      </c>
    </row>
    <row r="204" spans="1:8" ht="12.6" customHeight="1" x14ac:dyDescent="0.25">
      <c r="A204" s="173" t="s">
        <v>203</v>
      </c>
      <c r="B204" s="175">
        <f>SUM(B195:B203)</f>
        <v>31688552.149999999</v>
      </c>
      <c r="C204" s="191">
        <f>SUM(C195:C203)</f>
        <v>505124.65</v>
      </c>
      <c r="D204" s="175">
        <f>SUM(D195:D203)</f>
        <v>0</v>
      </c>
      <c r="E204" s="175">
        <f>SUM(E195:E203)</f>
        <v>32193676.799999997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744881.57000000007</v>
      </c>
      <c r="C209" s="189">
        <v>113958.27999999997</v>
      </c>
      <c r="D209" s="174"/>
      <c r="E209" s="175">
        <f t="shared" ref="E209:E216" si="11">SUM(B209:C209)-D209</f>
        <v>858839.85000000009</v>
      </c>
      <c r="H209" s="259"/>
    </row>
    <row r="210" spans="1:8" ht="12.6" customHeight="1" x14ac:dyDescent="0.25">
      <c r="A210" s="173" t="s">
        <v>334</v>
      </c>
      <c r="B210" s="174">
        <v>223294.98999999996</v>
      </c>
      <c r="C210" s="189">
        <v>77233</v>
      </c>
      <c r="D210" s="174"/>
      <c r="E210" s="175">
        <f t="shared" si="11"/>
        <v>300527.99</v>
      </c>
      <c r="H210" s="259"/>
    </row>
    <row r="211" spans="1:8" ht="12.6" customHeight="1" x14ac:dyDescent="0.25">
      <c r="A211" s="173" t="s">
        <v>335</v>
      </c>
      <c r="B211" s="174">
        <v>3177912.5399999996</v>
      </c>
      <c r="C211" s="189">
        <v>651703.16999999993</v>
      </c>
      <c r="D211" s="174"/>
      <c r="E211" s="175">
        <f t="shared" si="11"/>
        <v>3829615.7099999995</v>
      </c>
      <c r="H211" s="259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2485362.81</v>
      </c>
      <c r="C213" s="189">
        <v>530581.91</v>
      </c>
      <c r="D213" s="174"/>
      <c r="E213" s="175">
        <f t="shared" si="11"/>
        <v>3015944.72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126740.21999999999</v>
      </c>
      <c r="C215" s="189">
        <v>79122.299999999988</v>
      </c>
      <c r="D215" s="174"/>
      <c r="E215" s="175">
        <f t="shared" si="11"/>
        <v>205862.51999999996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6758192.1299999999</v>
      </c>
      <c r="C217" s="191">
        <f>SUM(C208:C216)</f>
        <v>1452598.66</v>
      </c>
      <c r="D217" s="175">
        <f>SUM(D208:D216)</f>
        <v>0</v>
      </c>
      <c r="E217" s="175">
        <f>SUM(E208:E216)</f>
        <v>8210790.7899999991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287125</v>
      </c>
      <c r="D221" s="172">
        <f>C221</f>
        <v>287125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19294465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49298425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1560930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22675669-C226</f>
        <v>21114739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91268559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395160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36760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431920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10777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7428022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7438799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99426403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-306779.55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7616163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526421.6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104240.26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1498149.57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180545.82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178513.95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8744411.4500000011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4313939.9000000004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2024521.67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976895.1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19918109.91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4417499.2199999988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389752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152959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32193676.799999997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8210790.79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23982886.009999998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1113707.5900000001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1113707.5900000001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56670018.130000003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56670018.130000003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90511023.180000007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401749.2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2231257.98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247725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2880732.18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87630291.930000007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90511024.110000014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90511023.180000007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147939898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2730816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150670714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287125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91268559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431920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7438798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99426402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51244312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593419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593419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51837731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19600695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3903599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6233241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2130650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221236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1641387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1454177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172131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332030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1102017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51191505-36791163</f>
        <v>14400342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51191505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646226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646226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646226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BHC Fairfax Hospital Inc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3370</v>
      </c>
      <c r="C414" s="194">
        <f>E138</f>
        <v>4096</v>
      </c>
      <c r="D414" s="179"/>
    </row>
    <row r="415" spans="1:5" ht="12.6" customHeight="1" x14ac:dyDescent="0.25">
      <c r="A415" s="179" t="s">
        <v>464</v>
      </c>
      <c r="B415" s="179">
        <f>D111</f>
        <v>44419</v>
      </c>
      <c r="C415" s="179">
        <f>E139</f>
        <v>49149</v>
      </c>
      <c r="D415" s="194">
        <f>SUM(C59:H59)+N59</f>
        <v>49146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726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4727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19600695</v>
      </c>
      <c r="C427" s="179">
        <f t="shared" ref="C427:C434" si="13">CE61</f>
        <v>19600635</v>
      </c>
      <c r="D427" s="179"/>
    </row>
    <row r="428" spans="1:7" ht="12.6" customHeight="1" x14ac:dyDescent="0.25">
      <c r="A428" s="179" t="s">
        <v>3</v>
      </c>
      <c r="B428" s="179">
        <f t="shared" si="12"/>
        <v>3903599</v>
      </c>
      <c r="C428" s="179">
        <f t="shared" si="13"/>
        <v>3903598</v>
      </c>
      <c r="D428" s="179">
        <f>D173</f>
        <v>3903599</v>
      </c>
    </row>
    <row r="429" spans="1:7" ht="12.6" customHeight="1" x14ac:dyDescent="0.25">
      <c r="A429" s="179" t="s">
        <v>236</v>
      </c>
      <c r="B429" s="179">
        <f t="shared" si="12"/>
        <v>6233241</v>
      </c>
      <c r="C429" s="179">
        <f t="shared" si="13"/>
        <v>6233242</v>
      </c>
      <c r="D429" s="179"/>
    </row>
    <row r="430" spans="1:7" ht="12.6" customHeight="1" x14ac:dyDescent="0.25">
      <c r="A430" s="179" t="s">
        <v>237</v>
      </c>
      <c r="B430" s="179">
        <f t="shared" si="12"/>
        <v>2130650</v>
      </c>
      <c r="C430" s="179">
        <f t="shared" si="13"/>
        <v>2130736</v>
      </c>
      <c r="D430" s="179"/>
    </row>
    <row r="431" spans="1:7" ht="12.6" customHeight="1" x14ac:dyDescent="0.25">
      <c r="A431" s="179" t="s">
        <v>444</v>
      </c>
      <c r="B431" s="179">
        <f t="shared" si="12"/>
        <v>221236</v>
      </c>
      <c r="C431" s="179">
        <f t="shared" si="13"/>
        <v>221236</v>
      </c>
      <c r="D431" s="179"/>
    </row>
    <row r="432" spans="1:7" ht="12.6" customHeight="1" x14ac:dyDescent="0.25">
      <c r="A432" s="179" t="s">
        <v>445</v>
      </c>
      <c r="B432" s="179">
        <f t="shared" si="12"/>
        <v>1641387</v>
      </c>
      <c r="C432" s="179">
        <f t="shared" si="13"/>
        <v>1641387</v>
      </c>
      <c r="D432" s="179"/>
    </row>
    <row r="433" spans="1:7" ht="12.6" customHeight="1" x14ac:dyDescent="0.25">
      <c r="A433" s="179" t="s">
        <v>6</v>
      </c>
      <c r="B433" s="179">
        <f t="shared" si="12"/>
        <v>1454177</v>
      </c>
      <c r="C433" s="179">
        <f t="shared" si="13"/>
        <v>1454176</v>
      </c>
      <c r="D433" s="179">
        <f>C217</f>
        <v>1452598.66</v>
      </c>
    </row>
    <row r="434" spans="1:7" ht="12.6" customHeight="1" x14ac:dyDescent="0.25">
      <c r="A434" s="179" t="s">
        <v>474</v>
      </c>
      <c r="B434" s="179">
        <f t="shared" si="12"/>
        <v>172131</v>
      </c>
      <c r="C434" s="179">
        <f t="shared" si="13"/>
        <v>172132</v>
      </c>
      <c r="D434" s="179">
        <f>D177</f>
        <v>172132</v>
      </c>
    </row>
    <row r="435" spans="1:7" ht="12.6" customHeight="1" x14ac:dyDescent="0.25">
      <c r="A435" s="179" t="s">
        <v>447</v>
      </c>
      <c r="B435" s="179">
        <f t="shared" si="12"/>
        <v>332030</v>
      </c>
      <c r="C435" s="179"/>
      <c r="D435" s="179">
        <f>D181</f>
        <v>332030</v>
      </c>
    </row>
    <row r="436" spans="1:7" ht="12.6" customHeight="1" x14ac:dyDescent="0.25">
      <c r="A436" s="179" t="s">
        <v>475</v>
      </c>
      <c r="B436" s="179">
        <f t="shared" si="12"/>
        <v>1102017</v>
      </c>
      <c r="C436" s="179"/>
      <c r="D436" s="179">
        <f>D186</f>
        <v>1102068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1434047</v>
      </c>
      <c r="C438" s="194">
        <f>CD69</f>
        <v>14313661</v>
      </c>
      <c r="D438" s="194">
        <f>D181+D186+D190</f>
        <v>1434098</v>
      </c>
    </row>
    <row r="439" spans="1:7" ht="12.6" customHeight="1" x14ac:dyDescent="0.25">
      <c r="A439" s="179" t="s">
        <v>451</v>
      </c>
      <c r="B439" s="194">
        <f>C389</f>
        <v>14400342</v>
      </c>
      <c r="C439" s="194">
        <f>SUM(C69:CC69)</f>
        <v>1520713</v>
      </c>
      <c r="D439" s="179"/>
    </row>
    <row r="440" spans="1:7" ht="12.6" customHeight="1" x14ac:dyDescent="0.25">
      <c r="A440" s="179" t="s">
        <v>477</v>
      </c>
      <c r="B440" s="194">
        <f>B438+B439</f>
        <v>15834389</v>
      </c>
      <c r="C440" s="194">
        <f>CE69</f>
        <v>15834374</v>
      </c>
      <c r="D440" s="179"/>
    </row>
    <row r="441" spans="1:7" ht="12.6" customHeight="1" x14ac:dyDescent="0.25">
      <c r="A441" s="179" t="s">
        <v>478</v>
      </c>
      <c r="B441" s="179">
        <f>D390</f>
        <v>51191505</v>
      </c>
      <c r="C441" s="179">
        <f>SUM(C427:C437)+C440</f>
        <v>51191516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287125</v>
      </c>
      <c r="C444" s="179">
        <f>C363</f>
        <v>287125</v>
      </c>
      <c r="D444" s="179"/>
    </row>
    <row r="445" spans="1:7" ht="12.6" customHeight="1" x14ac:dyDescent="0.25">
      <c r="A445" s="179" t="s">
        <v>343</v>
      </c>
      <c r="B445" s="179">
        <f>D229</f>
        <v>91268559</v>
      </c>
      <c r="C445" s="179">
        <f>C364</f>
        <v>91268559</v>
      </c>
      <c r="D445" s="179"/>
    </row>
    <row r="446" spans="1:7" ht="12.6" customHeight="1" x14ac:dyDescent="0.25">
      <c r="A446" s="179" t="s">
        <v>351</v>
      </c>
      <c r="B446" s="179">
        <f>D236</f>
        <v>431920</v>
      </c>
      <c r="C446" s="179">
        <f>C365</f>
        <v>431920</v>
      </c>
      <c r="D446" s="179"/>
    </row>
    <row r="447" spans="1:7" ht="12.6" customHeight="1" x14ac:dyDescent="0.25">
      <c r="A447" s="179" t="s">
        <v>356</v>
      </c>
      <c r="B447" s="179">
        <f>D240</f>
        <v>7438799</v>
      </c>
      <c r="C447" s="179">
        <f>C366</f>
        <v>7438798</v>
      </c>
      <c r="D447" s="179"/>
    </row>
    <row r="448" spans="1:7" ht="12.6" customHeight="1" x14ac:dyDescent="0.25">
      <c r="A448" s="179" t="s">
        <v>358</v>
      </c>
      <c r="B448" s="179">
        <f>D242</f>
        <v>99426403</v>
      </c>
      <c r="C448" s="179">
        <f>D367</f>
        <v>99426402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395160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36760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593419</v>
      </c>
      <c r="C458" s="194">
        <f>CE70</f>
        <v>593419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147939898</v>
      </c>
      <c r="C463" s="194">
        <f>CE73</f>
        <v>147939898</v>
      </c>
      <c r="D463" s="194">
        <f>E141+E147+E153</f>
        <v>147939898</v>
      </c>
    </row>
    <row r="464" spans="1:7" ht="12.6" customHeight="1" x14ac:dyDescent="0.25">
      <c r="A464" s="179" t="s">
        <v>246</v>
      </c>
      <c r="B464" s="194">
        <f>C360</f>
        <v>2730816</v>
      </c>
      <c r="C464" s="194">
        <f>CE74</f>
        <v>2730816</v>
      </c>
      <c r="D464" s="194">
        <f>E142+E148+E154</f>
        <v>2730816</v>
      </c>
    </row>
    <row r="465" spans="1:7" ht="12.6" customHeight="1" x14ac:dyDescent="0.25">
      <c r="A465" s="179" t="s">
        <v>247</v>
      </c>
      <c r="B465" s="194">
        <f>D361</f>
        <v>150670714</v>
      </c>
      <c r="C465" s="194">
        <f>CE75</f>
        <v>150670714</v>
      </c>
      <c r="D465" s="194">
        <f>D463+D464</f>
        <v>150670714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4313939.9000000004</v>
      </c>
      <c r="C468" s="179">
        <f>E195</f>
        <v>4313939.9000000004</v>
      </c>
      <c r="D468" s="179"/>
    </row>
    <row r="469" spans="1:7" ht="12.6" customHeight="1" x14ac:dyDescent="0.25">
      <c r="A469" s="179" t="s">
        <v>333</v>
      </c>
      <c r="B469" s="179">
        <f t="shared" si="14"/>
        <v>2024521.67</v>
      </c>
      <c r="C469" s="179">
        <f>E196</f>
        <v>2024521.6700000002</v>
      </c>
      <c r="D469" s="179"/>
    </row>
    <row r="470" spans="1:7" ht="12.6" customHeight="1" x14ac:dyDescent="0.25">
      <c r="A470" s="179" t="s">
        <v>334</v>
      </c>
      <c r="B470" s="179">
        <f t="shared" si="14"/>
        <v>976895.1</v>
      </c>
      <c r="C470" s="179">
        <f>E197</f>
        <v>976895.1</v>
      </c>
      <c r="D470" s="179"/>
    </row>
    <row r="471" spans="1:7" ht="12.6" customHeight="1" x14ac:dyDescent="0.25">
      <c r="A471" s="179" t="s">
        <v>494</v>
      </c>
      <c r="B471" s="179">
        <f t="shared" si="14"/>
        <v>19918109.91</v>
      </c>
      <c r="C471" s="179">
        <f>E198</f>
        <v>19918109.91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4417499.2199999988</v>
      </c>
      <c r="C473" s="179">
        <f>SUM(E200:E201)</f>
        <v>4417499.2199999988</v>
      </c>
      <c r="D473" s="179"/>
    </row>
    <row r="474" spans="1:7" ht="12.6" customHeight="1" x14ac:dyDescent="0.25">
      <c r="A474" s="179" t="s">
        <v>339</v>
      </c>
      <c r="B474" s="179">
        <f t="shared" si="14"/>
        <v>389752</v>
      </c>
      <c r="C474" s="179">
        <f>E202</f>
        <v>389752</v>
      </c>
      <c r="D474" s="179"/>
    </row>
    <row r="475" spans="1:7" ht="12.6" customHeight="1" x14ac:dyDescent="0.25">
      <c r="A475" s="179" t="s">
        <v>340</v>
      </c>
      <c r="B475" s="179">
        <f t="shared" si="14"/>
        <v>152959</v>
      </c>
      <c r="C475" s="179">
        <f>E203</f>
        <v>152959</v>
      </c>
      <c r="D475" s="179"/>
    </row>
    <row r="476" spans="1:7" ht="12.6" customHeight="1" x14ac:dyDescent="0.25">
      <c r="A476" s="179" t="s">
        <v>203</v>
      </c>
      <c r="B476" s="179">
        <f>D275</f>
        <v>32193676.799999997</v>
      </c>
      <c r="C476" s="179">
        <f>E204</f>
        <v>32193676.799999997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8210790.79</v>
      </c>
      <c r="C478" s="179">
        <f>E217</f>
        <v>8210790.7899999991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90511023.180000007</v>
      </c>
    </row>
    <row r="482" spans="1:12" ht="12.6" customHeight="1" x14ac:dyDescent="0.25">
      <c r="A482" s="180" t="s">
        <v>499</v>
      </c>
      <c r="C482" s="180">
        <f>D339</f>
        <v>90511024.110000014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904</v>
      </c>
      <c r="B493" s="261" t="str">
        <f>RIGHT('Prior Year'!C83,4)</f>
        <v>904</v>
      </c>
      <c r="C493" s="261" t="str">
        <f>RIGHT(C82,4)</f>
        <v>2018</v>
      </c>
      <c r="D493" s="261" t="str">
        <f>RIGHT('Prior Year'!C83,4)</f>
        <v>904</v>
      </c>
      <c r="E493" s="261" t="str">
        <f>RIGHT(C82,4)</f>
        <v>2018</v>
      </c>
      <c r="F493" s="261" t="str">
        <f>RIGHT('Prior Year'!C83,4)</f>
        <v>904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0</v>
      </c>
      <c r="C498" s="240">
        <f>E71</f>
        <v>0</v>
      </c>
      <c r="D498" s="240">
        <f>'Prior Year'!E59</f>
        <v>0</v>
      </c>
      <c r="E498" s="180">
        <f>E59</f>
        <v>0</v>
      </c>
      <c r="F498" s="263" t="str">
        <f t="shared" si="15"/>
        <v/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12997469</v>
      </c>
      <c r="C501" s="240">
        <f>H71</f>
        <v>12594691</v>
      </c>
      <c r="D501" s="240">
        <f>'Prior Year'!H59</f>
        <v>46450</v>
      </c>
      <c r="E501" s="180">
        <f>H59</f>
        <v>49146</v>
      </c>
      <c r="F501" s="263">
        <f t="shared" si="15"/>
        <v>279.81634015069966</v>
      </c>
      <c r="G501" s="263">
        <f t="shared" si="15"/>
        <v>256.27092744068693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0</v>
      </c>
      <c r="C509" s="240">
        <f>P71</f>
        <v>0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0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0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265118.73</v>
      </c>
      <c r="C514" s="240">
        <f>U71</f>
        <v>112083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135192.10999999999</v>
      </c>
      <c r="C515" s="240">
        <f>V71</f>
        <v>45322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30605.55</v>
      </c>
      <c r="C518" s="240">
        <f>Y71</f>
        <v>45209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1012631.4600000001</v>
      </c>
      <c r="C521" s="240">
        <f>AB71</f>
        <v>1084344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0</v>
      </c>
      <c r="C522" s="240">
        <f>AC71</f>
        <v>0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0</v>
      </c>
      <c r="C524" s="240">
        <f>AE71</f>
        <v>0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6263.2</v>
      </c>
      <c r="C526" s="240">
        <f>AG71</f>
        <v>4334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0</v>
      </c>
      <c r="C529" s="240">
        <f>AJ71</f>
        <v>0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291867.08999999997</v>
      </c>
      <c r="C532" s="240">
        <f>AM71</f>
        <v>394154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661358.9800000001</v>
      </c>
      <c r="C540" s="240">
        <f>AU71</f>
        <v>663167</v>
      </c>
      <c r="D540" s="240">
        <f>'Prior Year'!AU59</f>
        <v>4972</v>
      </c>
      <c r="E540" s="180">
        <f>AU59</f>
        <v>4623</v>
      </c>
      <c r="F540" s="263">
        <f t="shared" si="18"/>
        <v>133.01668946098152</v>
      </c>
      <c r="G540" s="263">
        <f t="shared" si="18"/>
        <v>143.4494916720744</v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732266.47</v>
      </c>
      <c r="C541" s="240">
        <f>AV71</f>
        <v>1269204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1409155.59</v>
      </c>
      <c r="C544" s="240">
        <f>AY71</f>
        <v>1679967</v>
      </c>
      <c r="D544" s="240">
        <f>'Prior Year'!AY59</f>
        <v>144322</v>
      </c>
      <c r="E544" s="180">
        <f>AY59</f>
        <v>152061</v>
      </c>
      <c r="F544" s="263">
        <f t="shared" ref="F544:G550" si="19">IF(B544=0,"",IF(D544=0,"",B544/D544))</f>
        <v>9.763969387896509</v>
      </c>
      <c r="G544" s="263">
        <f t="shared" si="19"/>
        <v>11.047980744569614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30354</v>
      </c>
      <c r="C545" s="240">
        <f>AZ71</f>
        <v>28932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144312.68999999997</v>
      </c>
      <c r="C546" s="240">
        <f>BA71</f>
        <v>154300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1353936.97</v>
      </c>
      <c r="C547" s="240">
        <f>BB71</f>
        <v>113084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73821.75</v>
      </c>
      <c r="C548" s="240">
        <f>BC71</f>
        <v>75087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136464.46999999997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1107774.74</v>
      </c>
      <c r="C550" s="240">
        <f>BE71</f>
        <v>1268476</v>
      </c>
      <c r="D550" s="240">
        <f>'Prior Year'!BE59</f>
        <v>77201</v>
      </c>
      <c r="E550" s="180">
        <f>BE59</f>
        <v>77201</v>
      </c>
      <c r="F550" s="263">
        <f t="shared" si="19"/>
        <v>14.349227859742749</v>
      </c>
      <c r="G550" s="263">
        <f t="shared" si="19"/>
        <v>16.4308234349296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466880.80000000005</v>
      </c>
      <c r="C551" s="240">
        <f>BF71</f>
        <v>603658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392430.42000000004</v>
      </c>
      <c r="C552" s="240">
        <f>BG71</f>
        <v>341547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0</v>
      </c>
      <c r="C553" s="240">
        <f>BH71</f>
        <v>2199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5529638</v>
      </c>
      <c r="C554" s="240">
        <f>BI71</f>
        <v>1634857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357399</v>
      </c>
      <c r="C555" s="240">
        <f>BJ71</f>
        <v>454864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450422</v>
      </c>
      <c r="C556" s="240">
        <f>BK71</f>
        <v>506275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1428988</v>
      </c>
      <c r="C557" s="240">
        <f>BL71</f>
        <v>1454935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1141038</v>
      </c>
      <c r="C559" s="240">
        <f>BN71</f>
        <v>1612267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271261</v>
      </c>
      <c r="C561" s="240">
        <f>BP71</f>
        <v>1808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406605</v>
      </c>
      <c r="C563" s="240">
        <f>BR71</f>
        <v>496059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460384</v>
      </c>
      <c r="C567" s="240">
        <f>BV71</f>
        <v>628192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6257715</v>
      </c>
      <c r="C568" s="240">
        <f>BW71</f>
        <v>6284368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593613</v>
      </c>
      <c r="C569" s="240">
        <f>BX71</f>
        <v>630980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1753707</v>
      </c>
      <c r="C570" s="240">
        <f>BY71</f>
        <v>1843936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925228</v>
      </c>
      <c r="C572" s="240">
        <f>CA71</f>
        <v>665870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446344</v>
      </c>
      <c r="C574" s="240">
        <f>CC71</f>
        <v>183686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2019180</v>
      </c>
      <c r="C575" s="240">
        <f>CD71</f>
        <v>13720242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77201</v>
      </c>
      <c r="E612" s="180">
        <f>SUM(C624:D647)+SUM(C668:D713)</f>
        <v>44068660.882410847</v>
      </c>
      <c r="F612" s="180">
        <f>CE64-(AX64+BD64+BE64+BG64+BJ64+BN64+BP64+BQ64+CB64+CC64+CD64)</f>
        <v>2006217</v>
      </c>
      <c r="G612" s="180">
        <f>CE77-(AX77+AY77+BD77+BE77+BG77+BJ77+BN77+BP77+BQ77+CB77+CC77+CD77)</f>
        <v>152061</v>
      </c>
      <c r="H612" s="197">
        <f>CE60-(AX60+AY60+AZ60+BD60+BE60+BG60+BJ60+BN60+BO60+BP60+BQ60+BR60+CB60+CC60+CD60)</f>
        <v>250.11932692307684</v>
      </c>
      <c r="I612" s="180">
        <f>CE78-(AX78+AY78+AZ78+BD78+BE78+BF78+BG78+BJ78+BN78+BO78+BP78+BQ78+BR78+CB78+CC78+CD78)</f>
        <v>16640</v>
      </c>
      <c r="J612" s="180">
        <f>CE79-(AX79+AY79+AZ79+BA79+BD79+BE79+BF79+BG79+BJ79+BN79+BO79+BP79+BQ79+BR79+CB79+CC79+CD79)</f>
        <v>182840.72727272726</v>
      </c>
      <c r="K612" s="180">
        <f>CE75-(AW75+AX75+AY75+AZ75+BA75+BB75+BC75+BD75+BE75+BF75+BG75+BH75+BI75+BJ75+BK75+BL75+BM75+BN75+BO75+BP75+BQ75+BR75+BS75+BT75+BU75+BV75+BW75+BX75+CB75+CC75+CD75)</f>
        <v>150670714</v>
      </c>
      <c r="L612" s="197">
        <f>CE80-(AW80+AX80+AY80+AZ80+BA80+BB80+BC80+BD80+BE80+BF80+BG80+BH80+BI80+BJ80+BK80+BL80+BM80+BN80+BO80+BP80+BQ80+BR80+BS80+BT80+BU80+BV80+BW80+BX80+BY80+BZ80+CA80+CB80+CC80+CD80)</f>
        <v>142.07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1268476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13720242</v>
      </c>
      <c r="D615" s="266">
        <f>SUM(C614:C615)</f>
        <v>14988718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454864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341547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1612267</v>
      </c>
      <c r="D619" s="180">
        <f>(D615/D612)*BN76</f>
        <v>3916625.5387106384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183686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1808</v>
      </c>
      <c r="D621" s="180">
        <f>(D615/D612)*BP76</f>
        <v>18638.578878511937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6529436.1175891506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1679967</v>
      </c>
      <c r="D625" s="180">
        <f>(D615/D612)*AY76</f>
        <v>760298.69675263274</v>
      </c>
      <c r="E625" s="180">
        <f>(E623/E612)*SUM(C625:D625)</f>
        <v>361562.13186069526</v>
      </c>
      <c r="F625" s="180">
        <f>(F624/F612)*AY64</f>
        <v>0</v>
      </c>
      <c r="G625" s="180">
        <f>SUM(C625:F625)</f>
        <v>2801827.8286133283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496059</v>
      </c>
      <c r="D626" s="180">
        <f>(D615/D612)*BR76</f>
        <v>37471.309620341701</v>
      </c>
      <c r="E626" s="180">
        <f>(E623/E612)*SUM(C626:D626)</f>
        <v>79050.554378293207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28932</v>
      </c>
      <c r="D628" s="180">
        <f>(D615/D612)*AZ76</f>
        <v>298217.26205619099</v>
      </c>
      <c r="E628" s="180">
        <f>(E623/E612)*SUM(C628:D628)</f>
        <v>48472.092519718797</v>
      </c>
      <c r="F628" s="180">
        <f>(F624/F612)*AZ64</f>
        <v>0</v>
      </c>
      <c r="G628" s="180">
        <f>(G625/G612)*AZ77</f>
        <v>0</v>
      </c>
      <c r="H628" s="180">
        <f>SUM(C626:G628)</f>
        <v>988202.21857454476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603658</v>
      </c>
      <c r="D629" s="180">
        <f>(D615/D612)*BF76</f>
        <v>0</v>
      </c>
      <c r="E629" s="180">
        <f>(E623/E612)*SUM(C629:D629)</f>
        <v>89441.028362285069</v>
      </c>
      <c r="F629" s="180">
        <f>(F624/F612)*BF64</f>
        <v>0</v>
      </c>
      <c r="G629" s="180">
        <f>(G625/G612)*BF77</f>
        <v>0</v>
      </c>
      <c r="H629" s="180">
        <f>(H628/H612)*BF60</f>
        <v>39351.19376052649</v>
      </c>
      <c r="I629" s="180">
        <f>SUM(C629:H629)</f>
        <v>732450.2221228116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154300</v>
      </c>
      <c r="D630" s="180">
        <f>(D615/D612)*BA76</f>
        <v>99405.754018730324</v>
      </c>
      <c r="E630" s="180">
        <f>(E623/E612)*SUM(C630:D630)</f>
        <v>37590.330188391737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291296.08420712204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113084</v>
      </c>
      <c r="D632" s="180">
        <f>(D615/D612)*BB76</f>
        <v>0</v>
      </c>
      <c r="E632" s="180">
        <f>(E623/E612)*SUM(C632:D632)</f>
        <v>16755.098501669232</v>
      </c>
      <c r="F632" s="180">
        <f>(F624/F612)*BB64</f>
        <v>0</v>
      </c>
      <c r="G632" s="180">
        <f>(G625/G612)*BB77</f>
        <v>0</v>
      </c>
      <c r="H632" s="180">
        <f>(H628/H612)*BB60</f>
        <v>8020.3738287016831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75087</v>
      </c>
      <c r="D633" s="180">
        <f>(D615/D612)*BC76</f>
        <v>0</v>
      </c>
      <c r="E633" s="180">
        <f>(E623/E612)*SUM(C633:D633)</f>
        <v>11125.270429015931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1634857</v>
      </c>
      <c r="D634" s="180">
        <f>(D615/D612)*BI76</f>
        <v>0</v>
      </c>
      <c r="E634" s="180">
        <f>(E623/E612)*SUM(C634:D634)</f>
        <v>242228.69788072101</v>
      </c>
      <c r="F634" s="180">
        <f>(F624/F612)*BI64</f>
        <v>0</v>
      </c>
      <c r="G634" s="180">
        <f>(G625/G612)*BI77</f>
        <v>0</v>
      </c>
      <c r="H634" s="180">
        <f>(H628/H612)*BI60</f>
        <v>48240.770664259886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506275</v>
      </c>
      <c r="D635" s="180">
        <f>(D615/D612)*BK76</f>
        <v>0</v>
      </c>
      <c r="E635" s="180">
        <f>(E623/E612)*SUM(C635:D635)</f>
        <v>75012.269586613402</v>
      </c>
      <c r="F635" s="180">
        <f>(F624/F612)*BK64</f>
        <v>0</v>
      </c>
      <c r="G635" s="180">
        <f>(G625/G612)*BK77</f>
        <v>0</v>
      </c>
      <c r="H635" s="180">
        <f>(H628/H612)*BK60</f>
        <v>20031.179956412579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2199</v>
      </c>
      <c r="D636" s="180">
        <f>(D615/D612)*BH76</f>
        <v>0</v>
      </c>
      <c r="E636" s="180">
        <f>(E623/E612)*SUM(C636:D636)</f>
        <v>325.81498359777368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1454935</v>
      </c>
      <c r="D637" s="180">
        <f>(D615/D612)*BL76</f>
        <v>0</v>
      </c>
      <c r="E637" s="180">
        <f>(E623/E612)*SUM(C637:D637)</f>
        <v>215570.54259246335</v>
      </c>
      <c r="F637" s="180">
        <f>(F624/F612)*BL64</f>
        <v>0</v>
      </c>
      <c r="G637" s="180">
        <f>(G625/G612)*BL77</f>
        <v>0</v>
      </c>
      <c r="H637" s="180">
        <f>(H628/H612)*BL60</f>
        <v>72143.855227631895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628192</v>
      </c>
      <c r="D642" s="180">
        <f>(D615/D612)*BV76</f>
        <v>108725.04345798629</v>
      </c>
      <c r="E642" s="180">
        <f>(E623/E612)*SUM(C642:D642)</f>
        <v>109185.36354123861</v>
      </c>
      <c r="F642" s="180">
        <f>(F624/F612)*BV64</f>
        <v>0</v>
      </c>
      <c r="G642" s="180">
        <f>(G625/G612)*BV77</f>
        <v>0</v>
      </c>
      <c r="H642" s="180">
        <f>(H628/H612)*BV60</f>
        <v>31093.764547725248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6284368</v>
      </c>
      <c r="D643" s="180">
        <f>(D615/D612)*BW76</f>
        <v>130470.05214958356</v>
      </c>
      <c r="E643" s="180">
        <f>(E623/E612)*SUM(C643:D643)</f>
        <v>950454.91348044167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630980</v>
      </c>
      <c r="D644" s="180">
        <f>(D615/D612)*BX76</f>
        <v>0</v>
      </c>
      <c r="E644" s="180">
        <f>(E623/E612)*SUM(C644:D644)</f>
        <v>93489.19433857355</v>
      </c>
      <c r="F644" s="180">
        <f>(F624/F612)*BX64</f>
        <v>0</v>
      </c>
      <c r="G644" s="180">
        <f>(G625/G612)*BX77</f>
        <v>0</v>
      </c>
      <c r="H644" s="180">
        <f>(H628/H612)*BX60</f>
        <v>25059.869250203985</v>
      </c>
      <c r="I644" s="180">
        <f>(I629/I612)*BX78</f>
        <v>0</v>
      </c>
      <c r="J644" s="180">
        <f>(J630/J612)*BX79</f>
        <v>0</v>
      </c>
      <c r="K644" s="180">
        <f>SUM(C631:J644)</f>
        <v>13487909.074416837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1843936</v>
      </c>
      <c r="D645" s="180">
        <f>(D615/D612)*BY76</f>
        <v>18638.578878511937</v>
      </c>
      <c r="E645" s="180">
        <f>(E623/E612)*SUM(C645:D645)</f>
        <v>275968.48834330722</v>
      </c>
      <c r="F645" s="180">
        <f>(F624/F612)*BY64</f>
        <v>0</v>
      </c>
      <c r="G645" s="180">
        <f>(G625/G612)*BY77</f>
        <v>0</v>
      </c>
      <c r="H645" s="180">
        <f>(H628/H612)*BY60</f>
        <v>50058.195275689817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665870</v>
      </c>
      <c r="D647" s="180">
        <f>(D615/D612)*CA76</f>
        <v>0</v>
      </c>
      <c r="E647" s="180">
        <f>(E623/E612)*SUM(C647:D647)</f>
        <v>98658.673546270831</v>
      </c>
      <c r="F647" s="180">
        <f>(F624/F612)*CA64</f>
        <v>0</v>
      </c>
      <c r="G647" s="180">
        <f>(G625/G612)*CA77</f>
        <v>0</v>
      </c>
      <c r="H647" s="180">
        <f>(H628/H612)*CA60</f>
        <v>37138.676842263958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2990268.6128860437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34385589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12594691</v>
      </c>
      <c r="D673" s="180">
        <f>(D615/D612)*H76</f>
        <v>9556737.1680936776</v>
      </c>
      <c r="E673" s="180">
        <f>(E623/E612)*SUM(C673:D673)</f>
        <v>3282067.8514118707</v>
      </c>
      <c r="F673" s="180">
        <f>(F624/F612)*H64</f>
        <v>0</v>
      </c>
      <c r="G673" s="180">
        <f>(G625/G612)*H77</f>
        <v>2716645.8947073342</v>
      </c>
      <c r="H673" s="180">
        <f>(H628/H612)*H60</f>
        <v>539642.90563048224</v>
      </c>
      <c r="I673" s="180">
        <f>(I629/I612)*H78</f>
        <v>732450.2221228116</v>
      </c>
      <c r="J673" s="180">
        <f>(J630/J612)*H79</f>
        <v>291296.08420712204</v>
      </c>
      <c r="K673" s="180">
        <f>(K644/K612)*H75</f>
        <v>13239569.082570458</v>
      </c>
      <c r="L673" s="180">
        <f>(L647/L612)*H80</f>
        <v>2874926.3731548162</v>
      </c>
      <c r="M673" s="180">
        <f t="shared" si="20"/>
        <v>33233336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112083</v>
      </c>
      <c r="D686" s="180">
        <f>(D615/D612)*U76</f>
        <v>0</v>
      </c>
      <c r="E686" s="180">
        <f>(E623/E612)*SUM(C686:D686)</f>
        <v>16606.785269026499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>
        <f>(L647/L612)*U80</f>
        <v>0</v>
      </c>
      <c r="M686" s="180">
        <f t="shared" si="20"/>
        <v>16607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45322</v>
      </c>
      <c r="D687" s="180">
        <f>(D615/D612)*V76</f>
        <v>0</v>
      </c>
      <c r="E687" s="180">
        <f>(E623/E612)*SUM(C687:D687)</f>
        <v>6715.1371926413367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3879.7584730714534</v>
      </c>
      <c r="L687" s="180">
        <f>(L647/L612)*V80</f>
        <v>0</v>
      </c>
      <c r="M687" s="180">
        <f t="shared" si="20"/>
        <v>10595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45209</v>
      </c>
      <c r="D690" s="180">
        <f>(D615/D612)*Y76</f>
        <v>0</v>
      </c>
      <c r="E690" s="180">
        <f>(E623/E612)*SUM(C690:D690)</f>
        <v>6698.3945400053435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0"/>
        <v>6698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1084344</v>
      </c>
      <c r="D693" s="180">
        <f>(D615/D612)*AB76</f>
        <v>43490.017383194514</v>
      </c>
      <c r="E693" s="180">
        <f>(E623/E612)*SUM(C693:D693)</f>
        <v>167105.60339914358</v>
      </c>
      <c r="F693" s="180">
        <f>(F624/F612)*AB64</f>
        <v>0</v>
      </c>
      <c r="G693" s="180">
        <f>(G625/G612)*AB77</f>
        <v>0</v>
      </c>
      <c r="H693" s="180">
        <f>(H628/H612)*AB60</f>
        <v>12247.861511810454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>
        <f>(L647/L612)*AB80</f>
        <v>0</v>
      </c>
      <c r="M693" s="180">
        <f t="shared" si="20"/>
        <v>222843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4334</v>
      </c>
      <c r="D698" s="180">
        <f>(D615/D612)*AG76</f>
        <v>0</v>
      </c>
      <c r="E698" s="180">
        <f>(E623/E612)*SUM(C698:D698)</f>
        <v>642.14740287073721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642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394154</v>
      </c>
      <c r="D704" s="180">
        <f>(D615/D612)*AM76</f>
        <v>0</v>
      </c>
      <c r="E704" s="180">
        <f>(E623/E612)*SUM(C704:D704)</f>
        <v>58399.854045019048</v>
      </c>
      <c r="F704" s="180">
        <f>(F624/F612)*AM64</f>
        <v>0</v>
      </c>
      <c r="G704" s="180">
        <f>(G625/G612)*AM77</f>
        <v>0</v>
      </c>
      <c r="H704" s="180">
        <f>(H628/H612)*AM60</f>
        <v>18016.20919156634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76416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663167</v>
      </c>
      <c r="D712" s="180">
        <f>(D615/D612)*AU76</f>
        <v>0</v>
      </c>
      <c r="E712" s="180">
        <f>(E623/E612)*SUM(C712:D712)</f>
        <v>98258.18336861518</v>
      </c>
      <c r="F712" s="180">
        <f>(F624/F612)*AU64</f>
        <v>0</v>
      </c>
      <c r="G712" s="180">
        <f>(G625/G612)*AU77</f>
        <v>85181.933905994418</v>
      </c>
      <c r="H712" s="180">
        <f>(H628/H612)*AU60</f>
        <v>21651.058414426221</v>
      </c>
      <c r="I712" s="180">
        <f>(I629/I612)*AU78</f>
        <v>0</v>
      </c>
      <c r="J712" s="180">
        <f>(J630/J612)*AU79</f>
        <v>0</v>
      </c>
      <c r="K712" s="180">
        <f>(K644/K612)*AU75</f>
        <v>244460.23337330628</v>
      </c>
      <c r="L712" s="180">
        <f>(L647/L612)*AU80</f>
        <v>115342.23973122772</v>
      </c>
      <c r="M712" s="180">
        <f t="shared" si="20"/>
        <v>564894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1269204</v>
      </c>
      <c r="D713" s="180">
        <f>(D615/D612)*AV76</f>
        <v>0</v>
      </c>
      <c r="E713" s="180">
        <f>(E623/E612)*SUM(C713:D713)</f>
        <v>188051.69642666157</v>
      </c>
      <c r="F713" s="180">
        <f>(F624/F612)*AV64</f>
        <v>0</v>
      </c>
      <c r="G713" s="180">
        <f>(G625/G612)*AV77</f>
        <v>0</v>
      </c>
      <c r="H713" s="180">
        <f>(H628/H612)*AV60</f>
        <v>65506.304472844284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253558</v>
      </c>
      <c r="N713" s="199" t="s">
        <v>741</v>
      </c>
    </row>
    <row r="715" spans="1:15" ht="12.6" customHeight="1" x14ac:dyDescent="0.25">
      <c r="C715" s="180">
        <f>SUM(C614:C647)+SUM(C668:C713)</f>
        <v>50598097</v>
      </c>
      <c r="D715" s="180">
        <f>SUM(D616:D647)+SUM(D668:D713)</f>
        <v>14988717.999999998</v>
      </c>
      <c r="E715" s="180">
        <f>SUM(E624:E647)+SUM(E668:E713)</f>
        <v>6529436.1175891515</v>
      </c>
      <c r="F715" s="180">
        <f>SUM(F625:F648)+SUM(F668:F713)</f>
        <v>0</v>
      </c>
      <c r="G715" s="180">
        <f>SUM(G626:G647)+SUM(G668:G713)</f>
        <v>2801827.8286133287</v>
      </c>
      <c r="H715" s="180">
        <f>SUM(H629:H647)+SUM(H668:H713)</f>
        <v>988202.21857454488</v>
      </c>
      <c r="I715" s="180">
        <f>SUM(I630:I647)+SUM(I668:I713)</f>
        <v>732450.2221228116</v>
      </c>
      <c r="J715" s="180">
        <f>SUM(J631:J647)+SUM(J668:J713)</f>
        <v>291296.08420712204</v>
      </c>
      <c r="K715" s="180">
        <f>SUM(K668:K713)</f>
        <v>13487909.074416837</v>
      </c>
      <c r="L715" s="180">
        <f>SUM(L668:L713)</f>
        <v>2990268.6128860437</v>
      </c>
      <c r="M715" s="180">
        <f>SUM(M668:M713)</f>
        <v>34385589</v>
      </c>
      <c r="N715" s="198" t="s">
        <v>742</v>
      </c>
    </row>
    <row r="716" spans="1:15" ht="12.6" customHeight="1" x14ac:dyDescent="0.25">
      <c r="C716" s="180">
        <f>CE71</f>
        <v>50598097</v>
      </c>
      <c r="D716" s="180">
        <f>D615</f>
        <v>14988718</v>
      </c>
      <c r="E716" s="180">
        <f>E623</f>
        <v>6529436.1175891506</v>
      </c>
      <c r="F716" s="180">
        <f>F624</f>
        <v>0</v>
      </c>
      <c r="G716" s="180">
        <f>G625</f>
        <v>2801827.8286133283</v>
      </c>
      <c r="H716" s="180">
        <f>H628</f>
        <v>988202.21857454476</v>
      </c>
      <c r="I716" s="180">
        <f>I629</f>
        <v>732450.2221228116</v>
      </c>
      <c r="J716" s="180">
        <f>J630</f>
        <v>291296.08420712204</v>
      </c>
      <c r="K716" s="180">
        <f>K644</f>
        <v>13487909.074416837</v>
      </c>
      <c r="L716" s="180">
        <f>L647</f>
        <v>2990268.6128860437</v>
      </c>
      <c r="M716" s="180">
        <f>C648</f>
        <v>34385589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activeCell="H33" sqref="H33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f>3442011+703715</f>
        <v>4145726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1637451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2680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76781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33706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90443</v>
      </c>
      <c r="AV48" s="195">
        <f>ROUND(((B48/CE61)*AV61),0)</f>
        <v>118856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73178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204881</v>
      </c>
      <c r="BC48" s="195">
        <f>ROUND(((B48/CE61)*BC61),0)</f>
        <v>3670</v>
      </c>
      <c r="BD48" s="195">
        <f>ROUND(((B48/CE61)*BD61),0)</f>
        <v>0</v>
      </c>
      <c r="BE48" s="195">
        <f>ROUND(((B48/CE61)*BE61),0)</f>
        <v>47106</v>
      </c>
      <c r="BF48" s="195">
        <f>ROUND(((B48/CE61)*BF61),0)</f>
        <v>43482</v>
      </c>
      <c r="BG48" s="195">
        <f>ROUND(((B48/CE61)*BG61),0)</f>
        <v>38177</v>
      </c>
      <c r="BH48" s="195">
        <f>ROUND(((B48/CE61)*BH61),0)</f>
        <v>0</v>
      </c>
      <c r="BI48" s="195">
        <f>ROUND(((B48/CE61)*BI61),0)</f>
        <v>656742</v>
      </c>
      <c r="BJ48" s="195">
        <f>ROUND(((B48/CE61)*BJ61),0)</f>
        <v>48875</v>
      </c>
      <c r="BK48" s="195">
        <f>ROUND(((B48/CE61)*BK61),0)</f>
        <v>63840</v>
      </c>
      <c r="BL48" s="195">
        <f>ROUND(((B48/CE61)*BL61),0)</f>
        <v>231185</v>
      </c>
      <c r="BM48" s="195">
        <f>ROUND(((B48/CE61)*BM61),0)</f>
        <v>0</v>
      </c>
      <c r="BN48" s="195">
        <f>ROUND(((B48/CE61)*BN61),0)</f>
        <v>88607</v>
      </c>
      <c r="BO48" s="195">
        <f>ROUND(((B48/CE61)*BO61),0)</f>
        <v>0</v>
      </c>
      <c r="BP48" s="195">
        <f>ROUND(((B48/CE61)*BP61),0)</f>
        <v>38956</v>
      </c>
      <c r="BQ48" s="195">
        <f>ROUND(((B48/CE61)*BQ61),0)</f>
        <v>0</v>
      </c>
      <c r="BR48" s="195">
        <f>ROUND(((B48/CE61)*BR61),0)</f>
        <v>48387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39766</v>
      </c>
      <c r="BW48" s="195">
        <f>ROUND(((B48/CE61)*BW61),0)</f>
        <v>0</v>
      </c>
      <c r="BX48" s="195">
        <f>ROUND(((B48/CE61)*BX61),0)</f>
        <v>95172</v>
      </c>
      <c r="BY48" s="195">
        <f>ROUND(((B48/CE61)*BY61),0)</f>
        <v>275135</v>
      </c>
      <c r="BZ48" s="195">
        <f>ROUND(((B48/CE61)*BZ61),0)</f>
        <v>0</v>
      </c>
      <c r="CA48" s="195">
        <f>ROUND(((B48/CE61)*CA61),0)</f>
        <v>148343</v>
      </c>
      <c r="CB48" s="195">
        <f>ROUND(((B48/CE61)*CB61),0)</f>
        <v>0</v>
      </c>
      <c r="CC48" s="195">
        <f>ROUND(((B48/CE61)*CC61),0)</f>
        <v>40308</v>
      </c>
      <c r="CD48" s="195"/>
      <c r="CE48" s="195">
        <f>SUM(C48:CD48)</f>
        <v>4145727</v>
      </c>
    </row>
    <row r="49" spans="1:84" ht="12.6" customHeight="1" x14ac:dyDescent="0.25">
      <c r="A49" s="175" t="s">
        <v>206</v>
      </c>
      <c r="B49" s="195">
        <f>B47+B48</f>
        <v>4145726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1526129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973053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4428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77412</v>
      </c>
      <c r="AZ52" s="195">
        <f>ROUND((B52/(CE76+CF76)*AZ76),0)</f>
        <v>30354</v>
      </c>
      <c r="BA52" s="195">
        <f>ROUND((B52/(CE76+CF76)*BA76),0)</f>
        <v>10121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398775</v>
      </c>
      <c r="BO52" s="195">
        <f>ROUND((B52/(CE76+CF76)*BO76),0)</f>
        <v>0</v>
      </c>
      <c r="BP52" s="195">
        <f>ROUND((B52/(CE76+CF76)*BP76),0)</f>
        <v>1898</v>
      </c>
      <c r="BQ52" s="195">
        <f>ROUND((B52/(CE76+CF76)*BQ76),0)</f>
        <v>0</v>
      </c>
      <c r="BR52" s="195">
        <f>ROUND((B52/(CE76+CF76)*BR76),0)</f>
        <v>3815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11070</v>
      </c>
      <c r="BW52" s="195">
        <f>ROUND((B52/(CE76+CF76)*BW76),0)</f>
        <v>13284</v>
      </c>
      <c r="BX52" s="195">
        <f>ROUND((B52/(CE76+CF76)*BX76),0)</f>
        <v>0</v>
      </c>
      <c r="BY52" s="195">
        <f>ROUND((B52/(CE76+CF76)*BY76),0)</f>
        <v>1918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1526128</v>
      </c>
    </row>
    <row r="53" spans="1:84" ht="12.6" customHeight="1" x14ac:dyDescent="0.25">
      <c r="A53" s="175" t="s">
        <v>206</v>
      </c>
      <c r="B53" s="195">
        <f>B51+B52</f>
        <v>1526129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/>
      <c r="H59" s="184">
        <v>46450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>
        <v>4972</v>
      </c>
      <c r="AV59" s="248"/>
      <c r="AW59" s="248"/>
      <c r="AX59" s="248"/>
      <c r="AY59" s="184">
        <f>46450*3+4972</f>
        <v>144322</v>
      </c>
      <c r="AZ59" s="185"/>
      <c r="BA59" s="248"/>
      <c r="BB59" s="248"/>
      <c r="BC59" s="248"/>
      <c r="BD59" s="248"/>
      <c r="BE59" s="185">
        <v>77201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/>
      <c r="F60" s="223"/>
      <c r="G60" s="223"/>
      <c r="H60" s="187">
        <f>29.33+21.65+6.21+29.97+29.38+17.51</f>
        <v>134.04999999999998</v>
      </c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>
        <v>3.28</v>
      </c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>
        <v>3.01</v>
      </c>
      <c r="AN60" s="221"/>
      <c r="AO60" s="221"/>
      <c r="AP60" s="221"/>
      <c r="AQ60" s="221"/>
      <c r="AR60" s="221"/>
      <c r="AS60" s="221"/>
      <c r="AT60" s="221"/>
      <c r="AU60" s="221">
        <f>5.01+1.65</f>
        <v>6.66</v>
      </c>
      <c r="AV60" s="221">
        <f>4.86+1.19</f>
        <v>6.0500000000000007</v>
      </c>
      <c r="AW60" s="221"/>
      <c r="AX60" s="221"/>
      <c r="AY60" s="221">
        <v>8.6300000000000008</v>
      </c>
      <c r="AZ60" s="221"/>
      <c r="BA60" s="221"/>
      <c r="BB60" s="221">
        <f>16.08+1.88</f>
        <v>17.959999999999997</v>
      </c>
      <c r="BC60" s="221">
        <v>0.54</v>
      </c>
      <c r="BD60" s="221"/>
      <c r="BE60" s="221">
        <v>4.3600000000000003</v>
      </c>
      <c r="BF60" s="221">
        <v>7.98</v>
      </c>
      <c r="BG60" s="221">
        <v>4.71</v>
      </c>
      <c r="BH60" s="221"/>
      <c r="BI60" s="221">
        <v>74.39</v>
      </c>
      <c r="BJ60" s="221">
        <v>2.48</v>
      </c>
      <c r="BK60" s="221">
        <v>5.0599999999999996</v>
      </c>
      <c r="BL60" s="221">
        <f>2.83+15.32</f>
        <v>18.149999999999999</v>
      </c>
      <c r="BM60" s="221"/>
      <c r="BN60" s="221">
        <v>3.14</v>
      </c>
      <c r="BO60" s="221"/>
      <c r="BP60" s="221">
        <v>2.71</v>
      </c>
      <c r="BQ60" s="221"/>
      <c r="BR60" s="221">
        <v>3.46</v>
      </c>
      <c r="BS60" s="221"/>
      <c r="BT60" s="221"/>
      <c r="BU60" s="221"/>
      <c r="BV60" s="221">
        <v>6.79</v>
      </c>
      <c r="BW60" s="221"/>
      <c r="BX60" s="221">
        <v>6.17</v>
      </c>
      <c r="BY60" s="221">
        <v>14.48</v>
      </c>
      <c r="BZ60" s="221"/>
      <c r="CA60" s="221">
        <v>14.17</v>
      </c>
      <c r="CB60" s="221"/>
      <c r="CC60" s="221">
        <f>1.48+1.6</f>
        <v>3.08</v>
      </c>
      <c r="CD60" s="249" t="s">
        <v>221</v>
      </c>
      <c r="CE60" s="251">
        <f t="shared" ref="CE60:CE70" si="0">SUM(C60:CD60)</f>
        <v>351.31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5"/>
      <c r="H61" s="184">
        <f>1198623+504357+1037743+287865+238778+77785+1369828+506815+1529580+472399+961405+263094</f>
        <v>8448272</v>
      </c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>
        <v>13828.66</v>
      </c>
      <c r="W61" s="185"/>
      <c r="X61" s="185"/>
      <c r="Y61" s="185"/>
      <c r="Z61" s="185"/>
      <c r="AA61" s="185"/>
      <c r="AB61" s="185">
        <v>396145.1</v>
      </c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>
        <v>173901.72</v>
      </c>
      <c r="AN61" s="185"/>
      <c r="AO61" s="185"/>
      <c r="AP61" s="185"/>
      <c r="AQ61" s="185"/>
      <c r="AR61" s="185"/>
      <c r="AS61" s="185"/>
      <c r="AT61" s="185"/>
      <c r="AU61" s="185">
        <f>85583+3853+374639+2555</f>
        <v>466630</v>
      </c>
      <c r="AV61" s="185">
        <f>252366+6799+350205+3857</f>
        <v>613227</v>
      </c>
      <c r="AW61" s="185"/>
      <c r="AX61" s="185"/>
      <c r="AY61" s="185">
        <f>324837+52716</f>
        <v>377553</v>
      </c>
      <c r="AZ61" s="185"/>
      <c r="BA61" s="185"/>
      <c r="BB61" s="185">
        <f>963132+5242+86401+2290</f>
        <v>1057065</v>
      </c>
      <c r="BC61" s="185">
        <v>18934.27</v>
      </c>
      <c r="BD61" s="185"/>
      <c r="BE61" s="185">
        <v>243038.3</v>
      </c>
      <c r="BF61" s="185">
        <v>224342.17</v>
      </c>
      <c r="BG61" s="185">
        <v>196972.17</v>
      </c>
      <c r="BH61" s="185"/>
      <c r="BI61" s="185">
        <v>3388395</v>
      </c>
      <c r="BJ61" s="185">
        <f>62298+8082+181784</f>
        <v>252164</v>
      </c>
      <c r="BK61" s="185">
        <f>318374+8778+2225</f>
        <v>329377</v>
      </c>
      <c r="BL61" s="185">
        <f>109544+18468+1275+946028+117462</f>
        <v>1192777</v>
      </c>
      <c r="BM61" s="185"/>
      <c r="BN61" s="185">
        <f>163672+1800+4092+265066+7800+14729</f>
        <v>457159</v>
      </c>
      <c r="BO61" s="185"/>
      <c r="BP61" s="185">
        <f>200964+28</f>
        <v>200992</v>
      </c>
      <c r="BQ61" s="185"/>
      <c r="BR61" s="185">
        <f>244274+5375</f>
        <v>249649</v>
      </c>
      <c r="BS61" s="185"/>
      <c r="BT61" s="185"/>
      <c r="BU61" s="185"/>
      <c r="BV61" s="185">
        <f>193545+11624</f>
        <v>205169</v>
      </c>
      <c r="BW61" s="185"/>
      <c r="BX61" s="185">
        <f>464559+26471</f>
        <v>491030</v>
      </c>
      <c r="BY61" s="185">
        <f>1135986+283545</f>
        <v>1419531</v>
      </c>
      <c r="BZ61" s="185"/>
      <c r="CA61" s="185">
        <f>636219+129141</f>
        <v>765360</v>
      </c>
      <c r="CB61" s="185"/>
      <c r="CC61" s="185">
        <f>48480+1187+156416+1880</f>
        <v>207963</v>
      </c>
      <c r="CD61" s="249" t="s">
        <v>221</v>
      </c>
      <c r="CE61" s="195">
        <f t="shared" si="0"/>
        <v>21389475.390000001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1637451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2680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76781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33706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90443</v>
      </c>
      <c r="AV62" s="195">
        <f t="shared" si="1"/>
        <v>118856</v>
      </c>
      <c r="AW62" s="195">
        <f t="shared" si="1"/>
        <v>0</v>
      </c>
      <c r="AX62" s="195">
        <f t="shared" si="1"/>
        <v>0</v>
      </c>
      <c r="AY62" s="195">
        <f>ROUND(AY47+AY48,0)</f>
        <v>73178</v>
      </c>
      <c r="AZ62" s="195">
        <f>ROUND(AZ47+AZ48,0)</f>
        <v>0</v>
      </c>
      <c r="BA62" s="195">
        <f>ROUND(BA47+BA48,0)</f>
        <v>0</v>
      </c>
      <c r="BB62" s="195">
        <f t="shared" si="1"/>
        <v>204881</v>
      </c>
      <c r="BC62" s="195">
        <f t="shared" si="1"/>
        <v>3670</v>
      </c>
      <c r="BD62" s="195">
        <f t="shared" si="1"/>
        <v>0</v>
      </c>
      <c r="BE62" s="195">
        <f t="shared" si="1"/>
        <v>47106</v>
      </c>
      <c r="BF62" s="195">
        <f t="shared" si="1"/>
        <v>43482</v>
      </c>
      <c r="BG62" s="195">
        <f t="shared" si="1"/>
        <v>38177</v>
      </c>
      <c r="BH62" s="195">
        <f t="shared" si="1"/>
        <v>0</v>
      </c>
      <c r="BI62" s="195">
        <f t="shared" si="1"/>
        <v>656742</v>
      </c>
      <c r="BJ62" s="195">
        <f t="shared" si="1"/>
        <v>48875</v>
      </c>
      <c r="BK62" s="195">
        <f t="shared" si="1"/>
        <v>63840</v>
      </c>
      <c r="BL62" s="195">
        <f t="shared" si="1"/>
        <v>231185</v>
      </c>
      <c r="BM62" s="195">
        <f t="shared" si="1"/>
        <v>0</v>
      </c>
      <c r="BN62" s="195">
        <f t="shared" si="1"/>
        <v>88607</v>
      </c>
      <c r="BO62" s="195">
        <f t="shared" ref="BO62:CC62" si="2">ROUND(BO47+BO48,0)</f>
        <v>0</v>
      </c>
      <c r="BP62" s="195">
        <f t="shared" si="2"/>
        <v>38956</v>
      </c>
      <c r="BQ62" s="195">
        <f t="shared" si="2"/>
        <v>0</v>
      </c>
      <c r="BR62" s="195">
        <f t="shared" si="2"/>
        <v>48387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39766</v>
      </c>
      <c r="BW62" s="195">
        <f t="shared" si="2"/>
        <v>0</v>
      </c>
      <c r="BX62" s="195">
        <f t="shared" si="2"/>
        <v>95172</v>
      </c>
      <c r="BY62" s="195">
        <f t="shared" si="2"/>
        <v>275135</v>
      </c>
      <c r="BZ62" s="195">
        <f t="shared" si="2"/>
        <v>0</v>
      </c>
      <c r="CA62" s="195">
        <f t="shared" si="2"/>
        <v>148343</v>
      </c>
      <c r="CB62" s="195">
        <f t="shared" si="2"/>
        <v>0</v>
      </c>
      <c r="CC62" s="195">
        <f t="shared" si="2"/>
        <v>40308</v>
      </c>
      <c r="CD62" s="249" t="s">
        <v>221</v>
      </c>
      <c r="CE62" s="195">
        <f t="shared" si="0"/>
        <v>4145727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5"/>
      <c r="H63" s="184">
        <f>38000+34800+26000</f>
        <v>98800</v>
      </c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>
        <v>68535</v>
      </c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>
        <v>19400</v>
      </c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>
        <v>25362</v>
      </c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>
        <f>18584+108593+92514+2512761+757013+18770+366829+279250+1821666</f>
        <v>5975980</v>
      </c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6188077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5"/>
      <c r="H64" s="184">
        <f>679+8288+2335+5566+10703+1910+6860+75+579+6923+290+1674</f>
        <v>45882</v>
      </c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f>411301.52+17235.2</f>
        <v>428536.72000000003</v>
      </c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>
        <v>11469.33</v>
      </c>
      <c r="AN64" s="185"/>
      <c r="AO64" s="185"/>
      <c r="AP64" s="185"/>
      <c r="AQ64" s="185"/>
      <c r="AR64" s="185"/>
      <c r="AS64" s="185"/>
      <c r="AT64" s="185"/>
      <c r="AU64" s="185">
        <f>5710.88+22</f>
        <v>5732.88</v>
      </c>
      <c r="AV64" s="185">
        <v>165.47</v>
      </c>
      <c r="AW64" s="185"/>
      <c r="AX64" s="185"/>
      <c r="AY64" s="185">
        <f>791888.44+73631.89</f>
        <v>865520.33</v>
      </c>
      <c r="AZ64" s="185"/>
      <c r="BA64" s="185">
        <v>2040.77</v>
      </c>
      <c r="BB64" s="185">
        <f>1464.21+47</f>
        <v>1511.21</v>
      </c>
      <c r="BC64" s="185">
        <v>45.3</v>
      </c>
      <c r="BD64" s="185">
        <v>132645.46999999997</v>
      </c>
      <c r="BE64" s="185">
        <f>903+47913</f>
        <v>48816</v>
      </c>
      <c r="BF64" s="185">
        <v>68660.350000000006</v>
      </c>
      <c r="BG64" s="185">
        <v>4663.42</v>
      </c>
      <c r="BH64" s="185"/>
      <c r="BI64" s="185">
        <f>306+161491</f>
        <v>161797</v>
      </c>
      <c r="BJ64" s="185">
        <f>985+1623</f>
        <v>2608</v>
      </c>
      <c r="BK64" s="185">
        <f>1468+8787</f>
        <v>10255</v>
      </c>
      <c r="BL64" s="185">
        <f>3808+616+304</f>
        <v>4728</v>
      </c>
      <c r="BM64" s="185"/>
      <c r="BN64" s="185">
        <f>3891+27042+53</f>
        <v>30986</v>
      </c>
      <c r="BO64" s="185"/>
      <c r="BP64" s="185">
        <f>652+12400</f>
        <v>13052</v>
      </c>
      <c r="BQ64" s="185"/>
      <c r="BR64" s="185">
        <f>3003+38229</f>
        <v>41232</v>
      </c>
      <c r="BS64" s="185"/>
      <c r="BT64" s="185"/>
      <c r="BU64" s="185"/>
      <c r="BV64" s="185">
        <f>3147+40621</f>
        <v>43768</v>
      </c>
      <c r="BW64" s="185">
        <f>571+2951+461+2577+142</f>
        <v>6702</v>
      </c>
      <c r="BX64" s="185">
        <f>795+5354</f>
        <v>6149</v>
      </c>
      <c r="BY64" s="185">
        <f>1444+15955</f>
        <v>17399</v>
      </c>
      <c r="BZ64" s="185"/>
      <c r="CA64" s="185">
        <f>48+4920</f>
        <v>4968</v>
      </c>
      <c r="CB64" s="185"/>
      <c r="CC64" s="185">
        <f>242+2152+41198</f>
        <v>43592</v>
      </c>
      <c r="CD64" s="249" t="s">
        <v>221</v>
      </c>
      <c r="CE64" s="195">
        <f t="shared" si="0"/>
        <v>2002925.25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>
        <f>7762.73+5176.92</f>
        <v>12939.65</v>
      </c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277385.51</v>
      </c>
      <c r="BF65" s="185"/>
      <c r="BG65" s="185">
        <v>151590.14000000001</v>
      </c>
      <c r="BH65" s="185"/>
      <c r="BI65" s="185">
        <v>100843</v>
      </c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542758.30000000005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/>
      <c r="H66" s="184">
        <f>21839+26849+3228+22274+21898+26242+1611503</f>
        <v>1733833</v>
      </c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265118.73</v>
      </c>
      <c r="V66" s="185">
        <f>49866.45+282</f>
        <v>50148.45</v>
      </c>
      <c r="W66" s="185"/>
      <c r="X66" s="185"/>
      <c r="Y66" s="185">
        <v>30605.55</v>
      </c>
      <c r="Z66" s="185"/>
      <c r="AA66" s="185"/>
      <c r="AB66" s="185">
        <v>99197.28</v>
      </c>
      <c r="AC66" s="185"/>
      <c r="AD66" s="185"/>
      <c r="AE66" s="185"/>
      <c r="AF66" s="185"/>
      <c r="AG66" s="185">
        <v>6263.2</v>
      </c>
      <c r="AH66" s="185"/>
      <c r="AI66" s="185"/>
      <c r="AJ66" s="185"/>
      <c r="AK66" s="185"/>
      <c r="AL66" s="185"/>
      <c r="AM66" s="185">
        <v>72282.399999999994</v>
      </c>
      <c r="AN66" s="185"/>
      <c r="AO66" s="185"/>
      <c r="AP66" s="185"/>
      <c r="AQ66" s="185"/>
      <c r="AR66" s="185"/>
      <c r="AS66" s="185"/>
      <c r="AT66" s="185"/>
      <c r="AU66" s="185">
        <v>5164.91</v>
      </c>
      <c r="AV66" s="185"/>
      <c r="AW66" s="185"/>
      <c r="AX66" s="185"/>
      <c r="AY66" s="185">
        <v>9032.5</v>
      </c>
      <c r="AZ66" s="185"/>
      <c r="BA66" s="185">
        <v>132130.76999999999</v>
      </c>
      <c r="BB66" s="185">
        <f>18950+71340</f>
        <v>90290</v>
      </c>
      <c r="BC66" s="185"/>
      <c r="BD66" s="185"/>
      <c r="BE66" s="185">
        <v>57211.360000000001</v>
      </c>
      <c r="BF66" s="185">
        <v>129873.83</v>
      </c>
      <c r="BG66" s="185">
        <v>289.77</v>
      </c>
      <c r="BH66" s="185"/>
      <c r="BI66" s="185">
        <v>254926</v>
      </c>
      <c r="BJ66" s="185">
        <v>53482</v>
      </c>
      <c r="BK66" s="185">
        <v>38575</v>
      </c>
      <c r="BL66" s="185">
        <v>286</v>
      </c>
      <c r="BM66" s="185"/>
      <c r="BN66" s="185">
        <v>17029</v>
      </c>
      <c r="BO66" s="185"/>
      <c r="BP66" s="185"/>
      <c r="BQ66" s="185"/>
      <c r="BR66" s="185">
        <v>60177</v>
      </c>
      <c r="BS66" s="185"/>
      <c r="BT66" s="185"/>
      <c r="BU66" s="185"/>
      <c r="BV66" s="185">
        <v>157624</v>
      </c>
      <c r="BW66" s="185">
        <f>1500+12469+134172+12502+81562</f>
        <v>242205</v>
      </c>
      <c r="BX66" s="185">
        <v>507</v>
      </c>
      <c r="BY66" s="185">
        <v>2482</v>
      </c>
      <c r="BZ66" s="185"/>
      <c r="CA66" s="185">
        <v>712</v>
      </c>
      <c r="CB66" s="185"/>
      <c r="CC66" s="185">
        <f>70959+22021</f>
        <v>92980</v>
      </c>
      <c r="CD66" s="249" t="s">
        <v>221</v>
      </c>
      <c r="CE66" s="195">
        <f t="shared" si="0"/>
        <v>3602426.75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973053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4428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77412</v>
      </c>
      <c r="AZ67" s="195">
        <f>ROUND(AZ51+AZ52,0)</f>
        <v>30354</v>
      </c>
      <c r="BA67" s="195">
        <f>ROUND(BA51+BA52,0)</f>
        <v>10121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398775</v>
      </c>
      <c r="BO67" s="195">
        <f t="shared" si="3"/>
        <v>0</v>
      </c>
      <c r="BP67" s="195">
        <f t="shared" si="3"/>
        <v>1898</v>
      </c>
      <c r="BQ67" s="195">
        <f t="shared" ref="BQ67:CC67" si="4">ROUND(BQ51+BQ52,0)</f>
        <v>0</v>
      </c>
      <c r="BR67" s="195">
        <f t="shared" si="4"/>
        <v>3815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11070</v>
      </c>
      <c r="BW67" s="195">
        <f t="shared" si="4"/>
        <v>13284</v>
      </c>
      <c r="BX67" s="195">
        <f t="shared" si="4"/>
        <v>0</v>
      </c>
      <c r="BY67" s="195">
        <f t="shared" si="4"/>
        <v>1918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1526128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>
        <v>59810.64</v>
      </c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39474.86</v>
      </c>
      <c r="BF68" s="185"/>
      <c r="BG68" s="185"/>
      <c r="BH68" s="185"/>
      <c r="BI68" s="185">
        <v>652171</v>
      </c>
      <c r="BJ68" s="185"/>
      <c r="BK68" s="185">
        <v>5985</v>
      </c>
      <c r="BL68" s="185"/>
      <c r="BM68" s="185"/>
      <c r="BN68" s="185">
        <f>60312+3125+9445</f>
        <v>72882</v>
      </c>
      <c r="BO68" s="185"/>
      <c r="BP68" s="185"/>
      <c r="BQ68" s="185"/>
      <c r="BR68" s="185">
        <v>958</v>
      </c>
      <c r="BS68" s="185"/>
      <c r="BT68" s="185"/>
      <c r="BU68" s="185"/>
      <c r="BV68" s="185">
        <v>396</v>
      </c>
      <c r="BW68" s="185"/>
      <c r="BX68" s="185"/>
      <c r="BY68" s="185">
        <v>3901</v>
      </c>
      <c r="BZ68" s="185"/>
      <c r="CA68" s="185"/>
      <c r="CB68" s="185"/>
      <c r="CC68" s="185"/>
      <c r="CD68" s="249" t="s">
        <v>221</v>
      </c>
      <c r="CE68" s="195">
        <f t="shared" si="0"/>
        <v>835578.5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5"/>
      <c r="H69" s="184">
        <f>1059+44551+2839+494+1129+7744+386+337+270+391+375+286+54+263</f>
        <v>60178</v>
      </c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>
        <f>6826.85+716.51</f>
        <v>7543.3600000000006</v>
      </c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>
        <v>507.64</v>
      </c>
      <c r="AN69" s="185"/>
      <c r="AO69" s="184"/>
      <c r="AP69" s="185"/>
      <c r="AQ69" s="184"/>
      <c r="AR69" s="184"/>
      <c r="AS69" s="184"/>
      <c r="AT69" s="184"/>
      <c r="AU69" s="185">
        <f>37.8+1200.1</f>
        <v>1237.8999999999999</v>
      </c>
      <c r="AV69" s="185">
        <f>18</f>
        <v>18</v>
      </c>
      <c r="AW69" s="185"/>
      <c r="AX69" s="185"/>
      <c r="AY69" s="185">
        <f>6319+441-300.24</f>
        <v>6459.76</v>
      </c>
      <c r="AZ69" s="185"/>
      <c r="BA69" s="185">
        <v>20.149999999999999</v>
      </c>
      <c r="BB69" s="185">
        <f>189.76</f>
        <v>189.76</v>
      </c>
      <c r="BC69" s="185">
        <f>1248.65+49923.53</f>
        <v>51172.18</v>
      </c>
      <c r="BD69" s="185">
        <v>3819</v>
      </c>
      <c r="BE69" s="185">
        <f>4281.71+386014+2887+1560</f>
        <v>394742.71</v>
      </c>
      <c r="BF69" s="185">
        <v>522.45000000000005</v>
      </c>
      <c r="BG69" s="185">
        <v>737.92</v>
      </c>
      <c r="BH69" s="224"/>
      <c r="BI69" s="185">
        <f>10+289392</f>
        <v>289402</v>
      </c>
      <c r="BJ69" s="185">
        <v>270</v>
      </c>
      <c r="BK69" s="185">
        <f>657+1733</f>
        <v>2390</v>
      </c>
      <c r="BL69" s="185">
        <v>12</v>
      </c>
      <c r="BM69" s="185"/>
      <c r="BN69" s="185">
        <f>5917+24774+62+1548+38681+4618</f>
        <v>75600</v>
      </c>
      <c r="BO69" s="185"/>
      <c r="BP69" s="185">
        <f>13361+412+1000+1590</f>
        <v>16363</v>
      </c>
      <c r="BQ69" s="185"/>
      <c r="BR69" s="185">
        <f>691+61+381+1254</f>
        <v>2387</v>
      </c>
      <c r="BS69" s="185"/>
      <c r="BT69" s="185"/>
      <c r="BU69" s="185"/>
      <c r="BV69" s="185">
        <v>2591</v>
      </c>
      <c r="BW69" s="185">
        <f>268+1560+4052+1016+3237+3745+560+2632+2474</f>
        <v>19544</v>
      </c>
      <c r="BX69" s="185">
        <v>755</v>
      </c>
      <c r="BY69" s="185">
        <f>35+24701+208+5295+3102</f>
        <v>33341</v>
      </c>
      <c r="BZ69" s="185"/>
      <c r="CA69" s="185">
        <f>1485+4360</f>
        <v>5845</v>
      </c>
      <c r="CB69" s="185"/>
      <c r="CC69" s="185">
        <f>142+57413+1359+742+655+107+199+884</f>
        <v>61501</v>
      </c>
      <c r="CD69" s="188">
        <f>5576295+14853+36042945+14419438-41270246</f>
        <v>14783285</v>
      </c>
      <c r="CE69" s="195">
        <f t="shared" si="0"/>
        <v>15820434.83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12764105</v>
      </c>
      <c r="CE70" s="195">
        <f t="shared" si="0"/>
        <v>12764105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12997469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265118.73</v>
      </c>
      <c r="V71" s="195">
        <f t="shared" si="5"/>
        <v>135192.10999999999</v>
      </c>
      <c r="W71" s="195">
        <f t="shared" si="5"/>
        <v>0</v>
      </c>
      <c r="X71" s="195">
        <f t="shared" si="5"/>
        <v>0</v>
      </c>
      <c r="Y71" s="195">
        <f t="shared" si="5"/>
        <v>30605.55</v>
      </c>
      <c r="Z71" s="195">
        <f t="shared" si="5"/>
        <v>0</v>
      </c>
      <c r="AA71" s="195">
        <f t="shared" si="5"/>
        <v>0</v>
      </c>
      <c r="AB71" s="195">
        <f t="shared" si="5"/>
        <v>1012631.4600000001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6263.2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291867.08999999997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661358.9800000001</v>
      </c>
      <c r="AV71" s="195">
        <f t="shared" si="6"/>
        <v>732266.47</v>
      </c>
      <c r="AW71" s="195">
        <f t="shared" si="6"/>
        <v>0</v>
      </c>
      <c r="AX71" s="195">
        <f t="shared" si="6"/>
        <v>0</v>
      </c>
      <c r="AY71" s="195">
        <f t="shared" si="6"/>
        <v>1409155.59</v>
      </c>
      <c r="AZ71" s="195">
        <f t="shared" si="6"/>
        <v>30354</v>
      </c>
      <c r="BA71" s="195">
        <f t="shared" si="6"/>
        <v>144312.68999999997</v>
      </c>
      <c r="BB71" s="195">
        <f t="shared" si="6"/>
        <v>1353936.97</v>
      </c>
      <c r="BC71" s="195">
        <f t="shared" si="6"/>
        <v>73821.75</v>
      </c>
      <c r="BD71" s="195">
        <f t="shared" si="6"/>
        <v>136464.46999999997</v>
      </c>
      <c r="BE71" s="195">
        <f t="shared" si="6"/>
        <v>1107774.74</v>
      </c>
      <c r="BF71" s="195">
        <f t="shared" si="6"/>
        <v>466880.80000000005</v>
      </c>
      <c r="BG71" s="195">
        <f t="shared" si="6"/>
        <v>392430.42000000004</v>
      </c>
      <c r="BH71" s="195">
        <f t="shared" si="6"/>
        <v>0</v>
      </c>
      <c r="BI71" s="195">
        <f t="shared" si="6"/>
        <v>5529638</v>
      </c>
      <c r="BJ71" s="195">
        <f t="shared" si="6"/>
        <v>357399</v>
      </c>
      <c r="BK71" s="195">
        <f t="shared" si="6"/>
        <v>450422</v>
      </c>
      <c r="BL71" s="195">
        <f t="shared" si="6"/>
        <v>1428988</v>
      </c>
      <c r="BM71" s="195">
        <f t="shared" si="6"/>
        <v>0</v>
      </c>
      <c r="BN71" s="195">
        <f t="shared" si="6"/>
        <v>1141038</v>
      </c>
      <c r="BO71" s="195">
        <f t="shared" si="6"/>
        <v>0</v>
      </c>
      <c r="BP71" s="195">
        <f t="shared" ref="BP71:CC71" si="7">SUM(BP61:BP69)-BP70</f>
        <v>271261</v>
      </c>
      <c r="BQ71" s="195">
        <f t="shared" si="7"/>
        <v>0</v>
      </c>
      <c r="BR71" s="195">
        <f t="shared" si="7"/>
        <v>406605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460384</v>
      </c>
      <c r="BW71" s="195">
        <f t="shared" si="7"/>
        <v>6257715</v>
      </c>
      <c r="BX71" s="195">
        <f t="shared" si="7"/>
        <v>593613</v>
      </c>
      <c r="BY71" s="195">
        <f t="shared" si="7"/>
        <v>1753707</v>
      </c>
      <c r="BZ71" s="195">
        <f t="shared" si="7"/>
        <v>0</v>
      </c>
      <c r="CA71" s="195">
        <f t="shared" si="7"/>
        <v>925228</v>
      </c>
      <c r="CB71" s="195">
        <f t="shared" si="7"/>
        <v>0</v>
      </c>
      <c r="CC71" s="195">
        <f t="shared" si="7"/>
        <v>446344</v>
      </c>
      <c r="CD71" s="245">
        <f>CD69-CD70</f>
        <v>2019180</v>
      </c>
      <c r="CE71" s="195">
        <f>SUM(CE61:CE69)-CE70</f>
        <v>43289426.019999996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/>
      <c r="F73" s="185"/>
      <c r="G73" s="185"/>
      <c r="H73" s="184">
        <f>130026400+7174995+2017592+194950</f>
        <v>139413937</v>
      </c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>
        <v>94950</v>
      </c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139508887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/>
      <c r="F74" s="185"/>
      <c r="G74" s="185"/>
      <c r="H74" s="184">
        <f>1920+2973400</f>
        <v>2975320</v>
      </c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>
        <f>954200+2019200+1920</f>
        <v>2975320</v>
      </c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5950640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142389257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94950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2975320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145459527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/>
      <c r="F76" s="185"/>
      <c r="G76" s="185"/>
      <c r="H76" s="184">
        <v>49223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>
        <v>224</v>
      </c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3916</v>
      </c>
      <c r="AZ76" s="185">
        <v>1535.5</v>
      </c>
      <c r="BA76" s="185">
        <v>512</v>
      </c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>
        <v>20172.5</v>
      </c>
      <c r="BO76" s="185"/>
      <c r="BP76" s="185">
        <v>96</v>
      </c>
      <c r="BQ76" s="185"/>
      <c r="BR76" s="185">
        <v>193</v>
      </c>
      <c r="BS76" s="185"/>
      <c r="BT76" s="185"/>
      <c r="BU76" s="185"/>
      <c r="BV76" s="185">
        <v>560</v>
      </c>
      <c r="BW76" s="185">
        <v>672</v>
      </c>
      <c r="BX76" s="185"/>
      <c r="BY76" s="185">
        <v>97</v>
      </c>
      <c r="BZ76" s="185"/>
      <c r="CA76" s="185"/>
      <c r="CB76" s="185"/>
      <c r="CC76" s="185"/>
      <c r="CD76" s="249" t="s">
        <v>221</v>
      </c>
      <c r="CE76" s="195">
        <f t="shared" si="8"/>
        <v>77201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/>
      <c r="H77" s="184">
        <f>46450*3</f>
        <v>139350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5">
        <v>4972</v>
      </c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144322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184">
        <f>8*2080</f>
        <v>16640</v>
      </c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16640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/>
      <c r="F79" s="184"/>
      <c r="G79" s="184"/>
      <c r="H79" s="184">
        <f>16228+15015+17572+15506+14926+15419+12485+16278+17937+16143+17325+16959</f>
        <v>191793</v>
      </c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191793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/>
      <c r="F80" s="187"/>
      <c r="G80" s="187"/>
      <c r="H80" s="187">
        <v>85.4</v>
      </c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>
        <v>1</v>
      </c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86.4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1266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1267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1268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71" t="s">
        <v>1268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1276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1277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1278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/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1270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87" t="s">
        <v>1271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>
        <v>1</v>
      </c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f>4133-906</f>
        <v>3227</v>
      </c>
      <c r="D111" s="174">
        <f>46450-6027</f>
        <v>40423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906</v>
      </c>
      <c r="D113" s="174">
        <v>6027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145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12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157</v>
      </c>
    </row>
    <row r="128" spans="1:5" ht="12.6" customHeight="1" x14ac:dyDescent="0.25">
      <c r="A128" s="173" t="s">
        <v>292</v>
      </c>
      <c r="B128" s="172" t="s">
        <v>256</v>
      </c>
      <c r="C128" s="189">
        <v>157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508</v>
      </c>
      <c r="C138" s="189">
        <v>1492</v>
      </c>
      <c r="D138" s="174">
        <f>4133-508-1492</f>
        <v>2133</v>
      </c>
      <c r="E138" s="175">
        <f>SUM(B138:D138)</f>
        <v>4133</v>
      </c>
    </row>
    <row r="139" spans="1:6" ht="12.6" customHeight="1" x14ac:dyDescent="0.25">
      <c r="A139" s="173" t="s">
        <v>215</v>
      </c>
      <c r="B139" s="174">
        <v>8536</v>
      </c>
      <c r="C139" s="189">
        <v>19637</v>
      </c>
      <c r="D139" s="174">
        <f>79+18198</f>
        <v>18277</v>
      </c>
      <c r="E139" s="175">
        <f>SUM(B139:D139)</f>
        <v>46450</v>
      </c>
    </row>
    <row r="140" spans="1:6" ht="12.6" customHeight="1" x14ac:dyDescent="0.25">
      <c r="A140" s="173" t="s">
        <v>298</v>
      </c>
      <c r="B140" s="174">
        <v>112</v>
      </c>
      <c r="C140" s="174">
        <v>0</v>
      </c>
      <c r="D140" s="174">
        <f>4972-112</f>
        <v>4860</v>
      </c>
      <c r="E140" s="175">
        <f>SUM(B140:D140)</f>
        <v>4972</v>
      </c>
    </row>
    <row r="141" spans="1:6" ht="12.6" customHeight="1" x14ac:dyDescent="0.25">
      <c r="A141" s="173" t="s">
        <v>245</v>
      </c>
      <c r="B141" s="174">
        <v>23898000</v>
      </c>
      <c r="C141" s="189">
        <v>54961200</v>
      </c>
      <c r="D141" s="174">
        <f>139313937-B141-C141</f>
        <v>60454737</v>
      </c>
      <c r="E141" s="175">
        <f>SUM(B141:D141)</f>
        <v>139313937</v>
      </c>
      <c r="F141" s="199"/>
    </row>
    <row r="142" spans="1:6" ht="12.6" customHeight="1" x14ac:dyDescent="0.25">
      <c r="A142" s="173" t="s">
        <v>246</v>
      </c>
      <c r="B142" s="174">
        <v>66500</v>
      </c>
      <c r="C142" s="189"/>
      <c r="D142" s="174">
        <f>42600+2866220</f>
        <v>2908820</v>
      </c>
      <c r="E142" s="175">
        <f>SUM(B142:D142)</f>
        <v>2975320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f>1418284+259212</f>
        <v>1677496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f>-45570+104585+23719+3388</f>
        <v>86122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f>417926+95118</f>
        <v>513044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1461137+105148+25400-26164+389848+27735</f>
        <v>1983104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58760+23732</f>
        <v>82492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/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234491+6335+8302+122274-552067-109107+188546+58701-147768-28456+22217</f>
        <v>-196532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4145726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f>120122+648577</f>
        <v>768699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60159+3125+3595</f>
        <v>66879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835578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f>297516+12615+23045</f>
        <v>333176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10318+43278</f>
        <v>53596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386772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f>124978+3670</f>
        <v>128648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f>903068+204559</f>
        <v>1107627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1236275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4313939.9000000004</v>
      </c>
      <c r="C195" s="189">
        <v>0</v>
      </c>
      <c r="D195" s="174"/>
      <c r="E195" s="175">
        <f t="shared" ref="E195:E203" si="10">SUM(B195:C195)-D195</f>
        <v>4313939.9000000004</v>
      </c>
    </row>
    <row r="196" spans="1:8" ht="12.6" customHeight="1" x14ac:dyDescent="0.25">
      <c r="A196" s="173" t="s">
        <v>333</v>
      </c>
      <c r="B196" s="174">
        <v>2001991</v>
      </c>
      <c r="C196" s="189">
        <v>11657</v>
      </c>
      <c r="D196" s="174"/>
      <c r="E196" s="175">
        <f t="shared" si="10"/>
        <v>2013648</v>
      </c>
    </row>
    <row r="197" spans="1:8" ht="12.6" customHeight="1" x14ac:dyDescent="0.25">
      <c r="A197" s="173" t="s">
        <v>334</v>
      </c>
      <c r="B197" s="174">
        <v>757454</v>
      </c>
      <c r="C197" s="189">
        <f>86502-18800</f>
        <v>67702</v>
      </c>
      <c r="D197" s="174">
        <v>0</v>
      </c>
      <c r="E197" s="175">
        <f t="shared" si="10"/>
        <v>825156</v>
      </c>
    </row>
    <row r="198" spans="1:8" ht="12.6" customHeight="1" x14ac:dyDescent="0.25">
      <c r="A198" s="173" t="s">
        <v>335</v>
      </c>
      <c r="B198" s="174">
        <v>19913852</v>
      </c>
      <c r="C198" s="189">
        <v>4258</v>
      </c>
      <c r="D198" s="174"/>
      <c r="E198" s="175">
        <f t="shared" si="10"/>
        <v>19918110</v>
      </c>
    </row>
    <row r="199" spans="1:8" ht="12.6" customHeight="1" x14ac:dyDescent="0.25">
      <c r="A199" s="173" t="s">
        <v>336</v>
      </c>
      <c r="B199" s="174">
        <v>3512</v>
      </c>
      <c r="C199" s="189"/>
      <c r="D199" s="174"/>
      <c r="E199" s="175">
        <f t="shared" si="10"/>
        <v>3512</v>
      </c>
    </row>
    <row r="200" spans="1:8" ht="12.6" customHeight="1" x14ac:dyDescent="0.25">
      <c r="A200" s="173" t="s">
        <v>337</v>
      </c>
      <c r="B200" s="174">
        <v>3989753</v>
      </c>
      <c r="C200" s="189">
        <f>218195+835</f>
        <v>219030</v>
      </c>
      <c r="D200" s="174">
        <v>0</v>
      </c>
      <c r="E200" s="175">
        <f t="shared" si="10"/>
        <v>4208783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219085</v>
      </c>
      <c r="C202" s="189">
        <v>167155</v>
      </c>
      <c r="D202" s="174"/>
      <c r="E202" s="175">
        <f t="shared" si="10"/>
        <v>386240</v>
      </c>
    </row>
    <row r="203" spans="1:8" ht="12.6" customHeight="1" x14ac:dyDescent="0.25">
      <c r="A203" s="173" t="s">
        <v>340</v>
      </c>
      <c r="B203" s="174">
        <v>9858</v>
      </c>
      <c r="C203" s="189">
        <f>363</f>
        <v>363</v>
      </c>
      <c r="D203" s="174">
        <f>9858</f>
        <v>9858</v>
      </c>
      <c r="E203" s="175">
        <f t="shared" si="10"/>
        <v>363</v>
      </c>
    </row>
    <row r="204" spans="1:8" ht="12.6" customHeight="1" x14ac:dyDescent="0.25">
      <c r="A204" s="173" t="s">
        <v>203</v>
      </c>
      <c r="B204" s="175">
        <f>SUM(B195:B203)</f>
        <v>31209444.899999999</v>
      </c>
      <c r="C204" s="191">
        <f>SUM(C195:C203)</f>
        <v>470165</v>
      </c>
      <c r="D204" s="175">
        <f>SUM(D195:D203)</f>
        <v>9858</v>
      </c>
      <c r="E204" s="175">
        <f>SUM(E195:E203)</f>
        <v>31669751.899999999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596424</v>
      </c>
      <c r="C209" s="189">
        <v>148458</v>
      </c>
      <c r="D209" s="174"/>
      <c r="E209" s="175">
        <f t="shared" ref="E209:E216" si="11">SUM(B209:C209)-D209</f>
        <v>744882</v>
      </c>
      <c r="H209" s="259"/>
    </row>
    <row r="210" spans="1:8" ht="12.6" customHeight="1" x14ac:dyDescent="0.25">
      <c r="A210" s="173" t="s">
        <v>334</v>
      </c>
      <c r="B210" s="174">
        <v>161966</v>
      </c>
      <c r="C210" s="189">
        <v>61329</v>
      </c>
      <c r="D210" s="174"/>
      <c r="E210" s="175">
        <f t="shared" si="11"/>
        <v>223295</v>
      </c>
      <c r="H210" s="259"/>
    </row>
    <row r="211" spans="1:8" ht="12.6" customHeight="1" x14ac:dyDescent="0.25">
      <c r="A211" s="173" t="s">
        <v>335</v>
      </c>
      <c r="B211" s="174">
        <v>2526334</v>
      </c>
      <c r="C211" s="189">
        <v>651579</v>
      </c>
      <c r="D211" s="174"/>
      <c r="E211" s="175">
        <f t="shared" si="11"/>
        <v>3177913</v>
      </c>
      <c r="H211" s="259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1906459</v>
      </c>
      <c r="C213" s="189">
        <v>578904</v>
      </c>
      <c r="D213" s="174"/>
      <c r="E213" s="175">
        <f t="shared" si="11"/>
        <v>2485363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55050</v>
      </c>
      <c r="C215" s="189">
        <v>72023</v>
      </c>
      <c r="D215" s="174">
        <v>333</v>
      </c>
      <c r="E215" s="175">
        <f t="shared" si="11"/>
        <v>126740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5246233</v>
      </c>
      <c r="C217" s="191">
        <f>SUM(C208:C216)</f>
        <v>1512293</v>
      </c>
      <c r="D217" s="175">
        <f>SUM(D208:D216)</f>
        <v>333</v>
      </c>
      <c r="E217" s="175">
        <f>SUM(E208:E216)</f>
        <v>6758193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962185</v>
      </c>
      <c r="D221" s="172">
        <f>C221</f>
        <v>962185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f>15357093+4462732+1220</f>
        <v>19821045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41201788-1137615</f>
        <v>40064173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f>58659+10443</f>
        <v>69102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f>405945+1850545+32302</f>
        <v>2288792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95339811-C223-C224-C225-C226-232082-397091</f>
        <v>32467526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94710638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204950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27132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232082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379934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17157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397091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96301996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f>-773074.23-78973.28</f>
        <v>-852047.51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f>14124120.66+3206504.09</f>
        <v>17330624.75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852589.64+1417030.92+11215.92+9000.72+4814951.44</f>
        <v>7104788.6400000006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f>140832.64+886674.44</f>
        <v>1027507.08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219683.04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f>161112.98+126771.54</f>
        <v>287884.52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10908863.24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4313939.9000000004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2013648.16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>843955.88-18800</f>
        <v>825155.88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19918109.91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3512.37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4207948.2999999989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386240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1198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31669752.520000003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6758192.1299999999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24911560.390000004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f>1114720+159+120552.75</f>
        <v>1235431.75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1235431.75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56670018.130000003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56670018.130000003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93725873.510000005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f>1810437.41+85555.21</f>
        <v>1895992.6199999999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f>2023556.55+12000</f>
        <v>2035556.55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f>100188.5+601.87</f>
        <v>100790.37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267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4032339.54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f>8919290.28+1734850.33+325450.21-3344572.95</f>
        <v>7635017.8700000001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7635017.8700000001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7635017.8700000001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f>75780734.62+6277781.62</f>
        <v>82058516.24000001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93725873.650000006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93725873.510000005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139313937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2975320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142289257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962185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f>95339811-232082-397091</f>
        <v>94710638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232082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379934+17157</f>
        <v>397091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96301996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45987261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f>923933+11840172</f>
        <v>12764105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12764105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58751366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f>18001082+3388395</f>
        <v>21389477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f>3442011+703715</f>
        <v>4145726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f>6142713+25362</f>
        <v>6168075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f>1841432+161491</f>
        <v>2002923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f>441915+100843</f>
        <v>542758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1735996+254926</f>
        <v>1990922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1526129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f>183406+652171</f>
        <v>835577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386772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124978+903068+208229</f>
        <v>1236275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8">
        <f>5576295+14853+36042945+14419738-40224634</f>
        <v>15829197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56053831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2697535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2697535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2697535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BHC Fairfax Hospital Inc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3227</v>
      </c>
      <c r="C414" s="194">
        <f>E138</f>
        <v>4133</v>
      </c>
      <c r="D414" s="179"/>
    </row>
    <row r="415" spans="1:5" ht="12.6" customHeight="1" x14ac:dyDescent="0.25">
      <c r="A415" s="179" t="s">
        <v>464</v>
      </c>
      <c r="B415" s="179">
        <f>D111</f>
        <v>40423</v>
      </c>
      <c r="C415" s="179">
        <f>E139</f>
        <v>46450</v>
      </c>
      <c r="D415" s="194">
        <f>SUM(C59:H59)+N59</f>
        <v>46450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906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6027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21389477</v>
      </c>
      <c r="C427" s="179">
        <f t="shared" ref="C427:C434" si="13">CE61</f>
        <v>21389475.390000001</v>
      </c>
      <c r="D427" s="179"/>
    </row>
    <row r="428" spans="1:7" ht="12.6" customHeight="1" x14ac:dyDescent="0.25">
      <c r="A428" s="179" t="s">
        <v>3</v>
      </c>
      <c r="B428" s="179">
        <f t="shared" si="12"/>
        <v>4145726</v>
      </c>
      <c r="C428" s="179">
        <f t="shared" si="13"/>
        <v>4145727</v>
      </c>
      <c r="D428" s="179">
        <f>D173</f>
        <v>4145726</v>
      </c>
    </row>
    <row r="429" spans="1:7" ht="12.6" customHeight="1" x14ac:dyDescent="0.25">
      <c r="A429" s="179" t="s">
        <v>236</v>
      </c>
      <c r="B429" s="179">
        <f t="shared" si="12"/>
        <v>6168075</v>
      </c>
      <c r="C429" s="179">
        <f t="shared" si="13"/>
        <v>6188077</v>
      </c>
      <c r="D429" s="179"/>
    </row>
    <row r="430" spans="1:7" ht="12.6" customHeight="1" x14ac:dyDescent="0.25">
      <c r="A430" s="179" t="s">
        <v>237</v>
      </c>
      <c r="B430" s="179">
        <f t="shared" si="12"/>
        <v>2002923</v>
      </c>
      <c r="C430" s="179">
        <f t="shared" si="13"/>
        <v>2002925.25</v>
      </c>
      <c r="D430" s="179"/>
    </row>
    <row r="431" spans="1:7" ht="12.6" customHeight="1" x14ac:dyDescent="0.25">
      <c r="A431" s="179" t="s">
        <v>444</v>
      </c>
      <c r="B431" s="179">
        <f t="shared" si="12"/>
        <v>542758</v>
      </c>
      <c r="C431" s="179">
        <f t="shared" si="13"/>
        <v>542758.30000000005</v>
      </c>
      <c r="D431" s="179"/>
    </row>
    <row r="432" spans="1:7" ht="12.6" customHeight="1" x14ac:dyDescent="0.25">
      <c r="A432" s="179" t="s">
        <v>445</v>
      </c>
      <c r="B432" s="179">
        <f t="shared" si="12"/>
        <v>1990922</v>
      </c>
      <c r="C432" s="179">
        <f t="shared" si="13"/>
        <v>3602426.75</v>
      </c>
      <c r="D432" s="179"/>
    </row>
    <row r="433" spans="1:7" ht="12.6" customHeight="1" x14ac:dyDescent="0.25">
      <c r="A433" s="179" t="s">
        <v>6</v>
      </c>
      <c r="B433" s="179">
        <f t="shared" si="12"/>
        <v>1526129</v>
      </c>
      <c r="C433" s="179">
        <f t="shared" si="13"/>
        <v>1526128</v>
      </c>
      <c r="D433" s="179">
        <f>C217</f>
        <v>1512293</v>
      </c>
    </row>
    <row r="434" spans="1:7" ht="12.6" customHeight="1" x14ac:dyDescent="0.25">
      <c r="A434" s="179" t="s">
        <v>474</v>
      </c>
      <c r="B434" s="179">
        <f t="shared" si="12"/>
        <v>835577</v>
      </c>
      <c r="C434" s="179">
        <f t="shared" si="13"/>
        <v>835578.5</v>
      </c>
      <c r="D434" s="179">
        <f>D177</f>
        <v>835578</v>
      </c>
    </row>
    <row r="435" spans="1:7" ht="12.6" customHeight="1" x14ac:dyDescent="0.25">
      <c r="A435" s="179" t="s">
        <v>447</v>
      </c>
      <c r="B435" s="179">
        <f t="shared" si="12"/>
        <v>386772</v>
      </c>
      <c r="C435" s="179"/>
      <c r="D435" s="179">
        <f>D181</f>
        <v>386772</v>
      </c>
    </row>
    <row r="436" spans="1:7" ht="12.6" customHeight="1" x14ac:dyDescent="0.25">
      <c r="A436" s="179" t="s">
        <v>475</v>
      </c>
      <c r="B436" s="179">
        <f t="shared" si="12"/>
        <v>1236275</v>
      </c>
      <c r="C436" s="179"/>
      <c r="D436" s="179">
        <f>D186</f>
        <v>1236275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1623047</v>
      </c>
      <c r="C438" s="194">
        <f>CD69</f>
        <v>14783285</v>
      </c>
      <c r="D438" s="194">
        <f>D181+D186+D190</f>
        <v>1623047</v>
      </c>
    </row>
    <row r="439" spans="1:7" ht="12.6" customHeight="1" x14ac:dyDescent="0.25">
      <c r="A439" s="179" t="s">
        <v>451</v>
      </c>
      <c r="B439" s="194">
        <f>C389</f>
        <v>15829197</v>
      </c>
      <c r="C439" s="194">
        <f>SUM(C69:CC69)</f>
        <v>1037149.83</v>
      </c>
      <c r="D439" s="179"/>
    </row>
    <row r="440" spans="1:7" ht="12.6" customHeight="1" x14ac:dyDescent="0.25">
      <c r="A440" s="179" t="s">
        <v>477</v>
      </c>
      <c r="B440" s="194">
        <f>B438+B439</f>
        <v>17452244</v>
      </c>
      <c r="C440" s="194">
        <f>CE69</f>
        <v>15820434.83</v>
      </c>
      <c r="D440" s="179"/>
    </row>
    <row r="441" spans="1:7" ht="12.6" customHeight="1" x14ac:dyDescent="0.25">
      <c r="A441" s="179" t="s">
        <v>478</v>
      </c>
      <c r="B441" s="179">
        <f>D390</f>
        <v>56053831</v>
      </c>
      <c r="C441" s="179">
        <f>SUM(C427:C437)+C440</f>
        <v>56053531.019999996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962185</v>
      </c>
      <c r="C444" s="179">
        <f>C363</f>
        <v>962185</v>
      </c>
      <c r="D444" s="179"/>
    </row>
    <row r="445" spans="1:7" ht="12.6" customHeight="1" x14ac:dyDescent="0.25">
      <c r="A445" s="179" t="s">
        <v>343</v>
      </c>
      <c r="B445" s="179">
        <f>D229</f>
        <v>94710638</v>
      </c>
      <c r="C445" s="179">
        <f>C364</f>
        <v>94710638</v>
      </c>
      <c r="D445" s="179"/>
    </row>
    <row r="446" spans="1:7" ht="12.6" customHeight="1" x14ac:dyDescent="0.25">
      <c r="A446" s="179" t="s">
        <v>351</v>
      </c>
      <c r="B446" s="179">
        <f>D236</f>
        <v>232082</v>
      </c>
      <c r="C446" s="179">
        <f>C365</f>
        <v>232082</v>
      </c>
      <c r="D446" s="179"/>
    </row>
    <row r="447" spans="1:7" ht="12.6" customHeight="1" x14ac:dyDescent="0.25">
      <c r="A447" s="179" t="s">
        <v>356</v>
      </c>
      <c r="B447" s="179">
        <f>D240</f>
        <v>397091</v>
      </c>
      <c r="C447" s="179">
        <f>C366</f>
        <v>397091</v>
      </c>
      <c r="D447" s="179"/>
    </row>
    <row r="448" spans="1:7" ht="12.6" customHeight="1" x14ac:dyDescent="0.25">
      <c r="A448" s="179" t="s">
        <v>358</v>
      </c>
      <c r="B448" s="179">
        <f>D242</f>
        <v>96301996</v>
      </c>
      <c r="C448" s="179">
        <f>D367</f>
        <v>96301996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204950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27132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12764105</v>
      </c>
      <c r="C458" s="194">
        <f>CE70</f>
        <v>12764105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139313937</v>
      </c>
      <c r="C463" s="194">
        <f>CE73</f>
        <v>139508887</v>
      </c>
      <c r="D463" s="194">
        <f>E141+E147+E153</f>
        <v>139313937</v>
      </c>
    </row>
    <row r="464" spans="1:7" ht="12.6" customHeight="1" x14ac:dyDescent="0.25">
      <c r="A464" s="179" t="s">
        <v>246</v>
      </c>
      <c r="B464" s="194">
        <f>C360</f>
        <v>2975320</v>
      </c>
      <c r="C464" s="194">
        <f>CE74</f>
        <v>5950640</v>
      </c>
      <c r="D464" s="194">
        <f>E142+E148+E154</f>
        <v>2975320</v>
      </c>
    </row>
    <row r="465" spans="1:7" ht="12.6" customHeight="1" x14ac:dyDescent="0.25">
      <c r="A465" s="179" t="s">
        <v>247</v>
      </c>
      <c r="B465" s="194">
        <f>D361</f>
        <v>142289257</v>
      </c>
      <c r="C465" s="194">
        <f>CE75</f>
        <v>145459527</v>
      </c>
      <c r="D465" s="194">
        <f>D463+D464</f>
        <v>142289257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4313939.9000000004</v>
      </c>
      <c r="C468" s="179">
        <f>E195</f>
        <v>4313939.9000000004</v>
      </c>
      <c r="D468" s="179"/>
    </row>
    <row r="469" spans="1:7" ht="12.6" customHeight="1" x14ac:dyDescent="0.25">
      <c r="A469" s="179" t="s">
        <v>333</v>
      </c>
      <c r="B469" s="179">
        <f t="shared" si="14"/>
        <v>2013648.16</v>
      </c>
      <c r="C469" s="179">
        <f>E196</f>
        <v>2013648</v>
      </c>
      <c r="D469" s="179"/>
    </row>
    <row r="470" spans="1:7" ht="12.6" customHeight="1" x14ac:dyDescent="0.25">
      <c r="A470" s="179" t="s">
        <v>334</v>
      </c>
      <c r="B470" s="179">
        <f t="shared" si="14"/>
        <v>825155.88</v>
      </c>
      <c r="C470" s="179">
        <f>E197</f>
        <v>825156</v>
      </c>
      <c r="D470" s="179"/>
    </row>
    <row r="471" spans="1:7" ht="12.6" customHeight="1" x14ac:dyDescent="0.25">
      <c r="A471" s="179" t="s">
        <v>494</v>
      </c>
      <c r="B471" s="179">
        <f t="shared" si="14"/>
        <v>19918109.91</v>
      </c>
      <c r="C471" s="179">
        <f>E198</f>
        <v>19918110</v>
      </c>
      <c r="D471" s="179"/>
    </row>
    <row r="472" spans="1:7" ht="12.6" customHeight="1" x14ac:dyDescent="0.25">
      <c r="A472" s="179" t="s">
        <v>377</v>
      </c>
      <c r="B472" s="179">
        <f t="shared" si="14"/>
        <v>3512.37</v>
      </c>
      <c r="C472" s="179">
        <f>E199</f>
        <v>3512</v>
      </c>
      <c r="D472" s="179"/>
    </row>
    <row r="473" spans="1:7" ht="12.6" customHeight="1" x14ac:dyDescent="0.25">
      <c r="A473" s="179" t="s">
        <v>495</v>
      </c>
      <c r="B473" s="179">
        <f t="shared" si="14"/>
        <v>4207948.2999999989</v>
      </c>
      <c r="C473" s="179">
        <f>SUM(E200:E201)</f>
        <v>4208783</v>
      </c>
      <c r="D473" s="179"/>
    </row>
    <row r="474" spans="1:7" ht="12.6" customHeight="1" x14ac:dyDescent="0.25">
      <c r="A474" s="179" t="s">
        <v>339</v>
      </c>
      <c r="B474" s="179">
        <f t="shared" si="14"/>
        <v>386240</v>
      </c>
      <c r="C474" s="179">
        <f>E202</f>
        <v>386240</v>
      </c>
      <c r="D474" s="179"/>
    </row>
    <row r="475" spans="1:7" ht="12.6" customHeight="1" x14ac:dyDescent="0.25">
      <c r="A475" s="179" t="s">
        <v>340</v>
      </c>
      <c r="B475" s="179">
        <f t="shared" si="14"/>
        <v>1198</v>
      </c>
      <c r="C475" s="179">
        <f>E203</f>
        <v>363</v>
      </c>
      <c r="D475" s="179"/>
    </row>
    <row r="476" spans="1:7" ht="12.6" customHeight="1" x14ac:dyDescent="0.25">
      <c r="A476" s="179" t="s">
        <v>203</v>
      </c>
      <c r="B476" s="179">
        <f>D275</f>
        <v>31669752.520000003</v>
      </c>
      <c r="C476" s="179">
        <f>E204</f>
        <v>31669751.899999999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6758192.1299999999</v>
      </c>
      <c r="C478" s="179">
        <f>E217</f>
        <v>6758193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93725873.510000005</v>
      </c>
    </row>
    <row r="482" spans="1:12" ht="12.6" customHeight="1" x14ac:dyDescent="0.25">
      <c r="A482" s="180" t="s">
        <v>499</v>
      </c>
      <c r="C482" s="180">
        <f>D339</f>
        <v>93725873.650000006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904</v>
      </c>
      <c r="B493" s="261" t="s">
        <v>1279</v>
      </c>
      <c r="C493" s="261" t="str">
        <f>RIGHT(C82,4)</f>
        <v>2017</v>
      </c>
      <c r="D493" s="261" t="s">
        <v>1279</v>
      </c>
      <c r="E493" s="261" t="str">
        <f>RIGHT(C82,4)</f>
        <v>2017</v>
      </c>
      <c r="F493" s="261" t="s">
        <v>1279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0</v>
      </c>
      <c r="C496" s="240">
        <f>C71</f>
        <v>0</v>
      </c>
      <c r="D496" s="240"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0</v>
      </c>
      <c r="C498" s="240">
        <f>E71</f>
        <v>0</v>
      </c>
      <c r="D498" s="240">
        <v>0</v>
      </c>
      <c r="E498" s="180">
        <f>E59</f>
        <v>0</v>
      </c>
      <c r="F498" s="263" t="str">
        <f t="shared" si="15"/>
        <v/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10230714</v>
      </c>
      <c r="C501" s="240">
        <f>H71</f>
        <v>12997469</v>
      </c>
      <c r="D501" s="240">
        <v>44586</v>
      </c>
      <c r="E501" s="180">
        <f>H59</f>
        <v>46450</v>
      </c>
      <c r="F501" s="263">
        <f t="shared" si="15"/>
        <v>229.46023415421882</v>
      </c>
      <c r="G501" s="263">
        <f t="shared" si="15"/>
        <v>279.81634015069966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0</v>
      </c>
      <c r="C509" s="240">
        <f>P71</f>
        <v>0</v>
      </c>
      <c r="D509" s="240"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0</v>
      </c>
      <c r="C511" s="240">
        <f>R71</f>
        <v>0</v>
      </c>
      <c r="D511" s="240"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0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212194</v>
      </c>
      <c r="C514" s="240">
        <f>U71</f>
        <v>265118.73</v>
      </c>
      <c r="D514" s="240"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67000</v>
      </c>
      <c r="C515" s="240">
        <f>V71</f>
        <v>135192.10999999999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0</v>
      </c>
      <c r="C516" s="240">
        <f>W71</f>
        <v>0</v>
      </c>
      <c r="D516" s="240"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0</v>
      </c>
      <c r="C517" s="240">
        <f>X71</f>
        <v>0</v>
      </c>
      <c r="D517" s="240"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27305</v>
      </c>
      <c r="C518" s="240">
        <f>Y71</f>
        <v>30605.55</v>
      </c>
      <c r="D518" s="240"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0</v>
      </c>
      <c r="C520" s="240">
        <f>AA71</f>
        <v>0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1063931</v>
      </c>
      <c r="C521" s="240">
        <f>AB71</f>
        <v>1012631.4600000001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0</v>
      </c>
      <c r="C522" s="240">
        <f>AC71</f>
        <v>0</v>
      </c>
      <c r="D522" s="240"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0</v>
      </c>
      <c r="C524" s="240">
        <f>AE71</f>
        <v>0</v>
      </c>
      <c r="D524" s="240"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3775</v>
      </c>
      <c r="C526" s="240">
        <f>AG71</f>
        <v>6263.2</v>
      </c>
      <c r="D526" s="240"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0</v>
      </c>
      <c r="C529" s="240">
        <f>AJ71</f>
        <v>0</v>
      </c>
      <c r="D529" s="240"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0</v>
      </c>
      <c r="C530" s="240">
        <f>AK71</f>
        <v>0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0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254184</v>
      </c>
      <c r="C532" s="240">
        <f>AM71</f>
        <v>291867.08999999997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445634</v>
      </c>
      <c r="C540" s="240">
        <f>AU71</f>
        <v>661358.9800000001</v>
      </c>
      <c r="D540" s="240">
        <v>3974</v>
      </c>
      <c r="E540" s="180">
        <f>AU59</f>
        <v>4972</v>
      </c>
      <c r="F540" s="263">
        <f t="shared" si="18"/>
        <v>112.13739305485657</v>
      </c>
      <c r="G540" s="263">
        <f t="shared" si="18"/>
        <v>133.01668946098152</v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496151</v>
      </c>
      <c r="C541" s="240">
        <f>AV71</f>
        <v>732266.47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1314951</v>
      </c>
      <c r="C544" s="240">
        <f>AY71</f>
        <v>1409155.59</v>
      </c>
      <c r="D544" s="240">
        <v>137732</v>
      </c>
      <c r="E544" s="180">
        <f>AY59</f>
        <v>144322</v>
      </c>
      <c r="F544" s="263">
        <f t="shared" ref="F544:G550" si="19">IF(B544=0,"",IF(D544=0,"",B544/D544))</f>
        <v>9.5471713182121807</v>
      </c>
      <c r="G544" s="263">
        <f t="shared" si="19"/>
        <v>9.763969387896509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23173</v>
      </c>
      <c r="C545" s="240">
        <f>AZ71</f>
        <v>30354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121903</v>
      </c>
      <c r="C546" s="240">
        <f>BA71</f>
        <v>144312.68999999997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1078650</v>
      </c>
      <c r="C547" s="240">
        <f>BB71</f>
        <v>1353936.97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173708</v>
      </c>
      <c r="C548" s="240">
        <f>BC71</f>
        <v>73821.75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94391</v>
      </c>
      <c r="C549" s="240">
        <f>BD71</f>
        <v>136464.46999999997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944871.5</v>
      </c>
      <c r="C550" s="240">
        <f>BE71</f>
        <v>1107774.74</v>
      </c>
      <c r="D550" s="240">
        <v>77201</v>
      </c>
      <c r="E550" s="180">
        <f>BE59</f>
        <v>77201</v>
      </c>
      <c r="F550" s="263">
        <f t="shared" si="19"/>
        <v>12.239109597025946</v>
      </c>
      <c r="G550" s="263">
        <f t="shared" si="19"/>
        <v>14.349227859742749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347836</v>
      </c>
      <c r="C551" s="240">
        <f>BF71</f>
        <v>466880.80000000005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361545</v>
      </c>
      <c r="C552" s="240">
        <f>BG71</f>
        <v>392430.42000000004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3606817</v>
      </c>
      <c r="C554" s="240">
        <f>BI71</f>
        <v>5529638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321728</v>
      </c>
      <c r="C555" s="240">
        <f>BJ71</f>
        <v>357399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445058</v>
      </c>
      <c r="C556" s="240">
        <f>BK71</f>
        <v>450422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1190414</v>
      </c>
      <c r="C557" s="240">
        <f>BL71</f>
        <v>1428988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1060290</v>
      </c>
      <c r="C559" s="240">
        <f>BN71</f>
        <v>1141038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339713</v>
      </c>
      <c r="C561" s="240">
        <f>BP71</f>
        <v>271261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282891</v>
      </c>
      <c r="C563" s="240">
        <f>BR71</f>
        <v>406605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446959</v>
      </c>
      <c r="C567" s="240">
        <f>BV71</f>
        <v>460384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4507643</v>
      </c>
      <c r="C568" s="240">
        <f>BW71</f>
        <v>6257715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475852</v>
      </c>
      <c r="C569" s="240">
        <f>BX71</f>
        <v>593613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1316386</v>
      </c>
      <c r="C570" s="240">
        <f>BY71</f>
        <v>1753707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564754</v>
      </c>
      <c r="C572" s="240">
        <f>CA71</f>
        <v>925228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317455</v>
      </c>
      <c r="C574" s="240">
        <f>CC71</f>
        <v>446344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1743354</v>
      </c>
      <c r="C575" s="240">
        <f>CD71</f>
        <v>2019180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77201</v>
      </c>
      <c r="E612" s="180">
        <f>SUM(C624:D647)+SUM(C668:D713)</f>
        <v>39859996.848822035</v>
      </c>
      <c r="F612" s="180">
        <f>CE64-(AX64+BD64+BE64+BG64+BJ64+BN64+BP64+BQ64+CB64+CC64+CD64)</f>
        <v>1726562.3599999999</v>
      </c>
      <c r="G612" s="180">
        <f>CE77-(AX77+AY77+BD77+BE77+BG77+BJ77+BN77+BP77+BQ77+CB77+CC77+CD77)</f>
        <v>144322</v>
      </c>
      <c r="H612" s="197">
        <f>CE60-(AX60+AY60+AZ60+BD60+BE60+BG60+BJ60+BN60+BO60+BP60+BQ60+BR60+CB60+CC60+CD60)</f>
        <v>318.74</v>
      </c>
      <c r="I612" s="180">
        <f>CE78-(AX78+AY78+AZ78+BD78+BE78+BF78+BG78+BJ78+BN78+BO78+BP78+BQ78+BR78+CB78+CC78+CD78)</f>
        <v>16640</v>
      </c>
      <c r="J612" s="180">
        <f>CE79-(AX79+AY79+AZ79+BA79+BD79+BE79+BF79+BG79+BJ79+BN79+BO79+BP79+BQ79+BR79+CB79+CC79+CD79)</f>
        <v>191793</v>
      </c>
      <c r="K612" s="180">
        <f>CE75-(AW75+AX75+AY75+AZ75+BA75+BB75+BC75+BD75+BE75+BF75+BG75+BH75+BI75+BJ75+BK75+BL75+BM75+BN75+BO75+BP75+BQ75+BR75+BS75+BT75+BU75+BV75+BW75+BX75+CB75+CC75+CD75)</f>
        <v>145459527</v>
      </c>
      <c r="L612" s="197">
        <f>CE80-(AW80+AX80+AY80+AZ80+BA80+BB80+BC80+BD80+BE80+BF80+BG80+BH80+BI80+BJ80+BK80+BL80+BM80+BN80+BO80+BP80+BQ80+BR80+BS80+BT80+BU80+BV80+BW80+BX80+BY80+BZ80+CA80+CB80+CC80+CD80)</f>
        <v>86.4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1107774.74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2019180</v>
      </c>
      <c r="D615" s="266">
        <f>SUM(C614:C615)</f>
        <v>3126954.74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357399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392430.42000000004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1141038</v>
      </c>
      <c r="D619" s="180">
        <f>(D615/D612)*BN76</f>
        <v>817068.36041825893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446344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271261</v>
      </c>
      <c r="D621" s="180">
        <f>(D615/D612)*BP76</f>
        <v>3888.3907597051857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3429429.1711779642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136464.46999999997</v>
      </c>
      <c r="D624" s="180">
        <f>(D615/D612)*BD76</f>
        <v>0</v>
      </c>
      <c r="E624" s="180">
        <f>(E623/E612)*SUM(C624:D624)</f>
        <v>11740.97519431115</v>
      </c>
      <c r="F624" s="180">
        <f>SUM(C624:E624)</f>
        <v>148205.44519431112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1409155.59</v>
      </c>
      <c r="D625" s="180">
        <f>(D615/D612)*AY76</f>
        <v>158613.93973964069</v>
      </c>
      <c r="E625" s="180">
        <f>(E623/E612)*SUM(C625:D625)</f>
        <v>134885.97551487197</v>
      </c>
      <c r="F625" s="180">
        <f>(F624/F612)*AY64</f>
        <v>74294.927773345582</v>
      </c>
      <c r="G625" s="180">
        <f>SUM(C625:F625)</f>
        <v>1776950.4330278581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406605</v>
      </c>
      <c r="D626" s="180">
        <f>(D615/D612)*BR76</f>
        <v>7817.2855898239668</v>
      </c>
      <c r="E626" s="180">
        <f>(E623/E612)*SUM(C626:D626)</f>
        <v>35655.594273585317</v>
      </c>
      <c r="F626" s="180">
        <f>(F624/F612)*BR64</f>
        <v>3539.2911706078412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30354</v>
      </c>
      <c r="D628" s="180">
        <f>(D615/D612)*AZ76</f>
        <v>62194.000120076176</v>
      </c>
      <c r="E628" s="180">
        <f>(E623/E612)*SUM(C628:D628)</f>
        <v>7962.5398002345946</v>
      </c>
      <c r="F628" s="180">
        <f>(F624/F612)*AZ64</f>
        <v>0</v>
      </c>
      <c r="G628" s="180">
        <f>(G625/G612)*AZ77</f>
        <v>0</v>
      </c>
      <c r="H628" s="180">
        <f>SUM(C626:G628)</f>
        <v>554127.71095432783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466880.80000000005</v>
      </c>
      <c r="D629" s="180">
        <f>(D615/D612)*BF76</f>
        <v>0</v>
      </c>
      <c r="E629" s="180">
        <f>(E623/E612)*SUM(C629:D629)</f>
        <v>40168.96040046282</v>
      </c>
      <c r="F629" s="180">
        <f>(F624/F612)*BF64</f>
        <v>5893.698353847597</v>
      </c>
      <c r="G629" s="180">
        <f>(G625/G612)*BF77</f>
        <v>0</v>
      </c>
      <c r="H629" s="180">
        <f>(H628/H612)*BF60</f>
        <v>13873.185459671005</v>
      </c>
      <c r="I629" s="180">
        <f>SUM(C629:H629)</f>
        <v>526816.64421398146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144312.68999999997</v>
      </c>
      <c r="D630" s="180">
        <f>(D615/D612)*BA76</f>
        <v>20738.08405176099</v>
      </c>
      <c r="E630" s="180">
        <f>(E623/E612)*SUM(C630:D630)</f>
        <v>14200.45117929656</v>
      </c>
      <c r="F630" s="180">
        <f>(F624/F612)*BA64</f>
        <v>175.17654351574902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179426.40177457329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1353936.97</v>
      </c>
      <c r="D632" s="180">
        <f>(D615/D612)*BB76</f>
        <v>0</v>
      </c>
      <c r="E632" s="180">
        <f>(E623/E612)*SUM(C632:D632)</f>
        <v>116488.49242173292</v>
      </c>
      <c r="F632" s="180">
        <f>(F624/F612)*BB64</f>
        <v>129.71993136239513</v>
      </c>
      <c r="G632" s="180">
        <f>(G625/G612)*BB77</f>
        <v>0</v>
      </c>
      <c r="H632" s="180">
        <f>(H628/H612)*BB60</f>
        <v>31223.359756352282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73821.75</v>
      </c>
      <c r="D633" s="180">
        <f>(D615/D612)*BC76</f>
        <v>0</v>
      </c>
      <c r="E633" s="180">
        <f>(E623/E612)*SUM(C633:D633)</f>
        <v>6351.3919451021884</v>
      </c>
      <c r="F633" s="180">
        <f>(F624/F612)*BC64</f>
        <v>3.8884820049605935</v>
      </c>
      <c r="G633" s="180">
        <f>(G625/G612)*BC77</f>
        <v>0</v>
      </c>
      <c r="H633" s="180">
        <f>(H628/H612)*BC60</f>
        <v>938.78698599277482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5529638</v>
      </c>
      <c r="D634" s="180">
        <f>(D615/D612)*BI76</f>
        <v>0</v>
      </c>
      <c r="E634" s="180">
        <f>(E623/E612)*SUM(C634:D634)</f>
        <v>475752.71857590717</v>
      </c>
      <c r="F634" s="180">
        <f>(F624/F612)*BI64</f>
        <v>13888.404480278348</v>
      </c>
      <c r="G634" s="180">
        <f>(G625/G612)*BI77</f>
        <v>0</v>
      </c>
      <c r="H634" s="180">
        <f>(H628/H612)*BI60</f>
        <v>129326.59979259725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450422</v>
      </c>
      <c r="D635" s="180">
        <f>(D615/D612)*BK76</f>
        <v>0</v>
      </c>
      <c r="E635" s="180">
        <f>(E623/E612)*SUM(C635:D635)</f>
        <v>38752.896845398784</v>
      </c>
      <c r="F635" s="180">
        <f>(F624/F612)*BK64</f>
        <v>880.27335454461127</v>
      </c>
      <c r="G635" s="180">
        <f>(G625/G612)*BK77</f>
        <v>0</v>
      </c>
      <c r="H635" s="180">
        <f>(H628/H612)*BK60</f>
        <v>8796.7817576359994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1428988</v>
      </c>
      <c r="D637" s="180">
        <f>(D615/D612)*BL76</f>
        <v>0</v>
      </c>
      <c r="E637" s="180">
        <f>(E623/E612)*SUM(C637:D637)</f>
        <v>122945.64776434704</v>
      </c>
      <c r="F637" s="180">
        <f>(F624/F612)*BL64</f>
        <v>405.84421455747656</v>
      </c>
      <c r="G637" s="180">
        <f>(G625/G612)*BL77</f>
        <v>0</v>
      </c>
      <c r="H637" s="180">
        <f>(H628/H612)*BL60</f>
        <v>31553.67369586826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460384</v>
      </c>
      <c r="D642" s="180">
        <f>(D615/D612)*BV76</f>
        <v>22682.279431613584</v>
      </c>
      <c r="E642" s="180">
        <f>(E623/E612)*SUM(C642:D642)</f>
        <v>41561.50831065957</v>
      </c>
      <c r="F642" s="180">
        <f>(F624/F612)*BV64</f>
        <v>3756.9774921217499</v>
      </c>
      <c r="G642" s="180">
        <f>(G625/G612)*BV77</f>
        <v>0</v>
      </c>
      <c r="H642" s="180">
        <f>(H628/H612)*BV60</f>
        <v>11804.37710164989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6257715</v>
      </c>
      <c r="D643" s="180">
        <f>(D615/D612)*BW76</f>
        <v>27218.735317936298</v>
      </c>
      <c r="E643" s="180">
        <f>(E623/E612)*SUM(C643:D643)</f>
        <v>540735.99585487135</v>
      </c>
      <c r="F643" s="180">
        <f>(F624/F612)*BW64</f>
        <v>575.28932444251438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593613</v>
      </c>
      <c r="D644" s="180">
        <f>(D615/D612)*BX76</f>
        <v>0</v>
      </c>
      <c r="E644" s="180">
        <f>(E623/E612)*SUM(C644:D644)</f>
        <v>51072.601593811378</v>
      </c>
      <c r="F644" s="180">
        <f>(F624/F612)*BX64</f>
        <v>527.82065890734418</v>
      </c>
      <c r="G644" s="180">
        <f>(G625/G612)*BX77</f>
        <v>0</v>
      </c>
      <c r="H644" s="180">
        <f>(H628/H612)*BX60</f>
        <v>10726.510562176703</v>
      </c>
      <c r="I644" s="180">
        <f>(I629/I612)*BX78</f>
        <v>0</v>
      </c>
      <c r="J644" s="180">
        <f>(J630/J612)*BX79</f>
        <v>0</v>
      </c>
      <c r="K644" s="180">
        <f>SUM(C631:J644)</f>
        <v>17836619.295651872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1753707</v>
      </c>
      <c r="D645" s="180">
        <f>(D615/D612)*BY76</f>
        <v>3928.8948301187816</v>
      </c>
      <c r="E645" s="180">
        <f>(E623/E612)*SUM(C645:D645)</f>
        <v>151221.48235237575</v>
      </c>
      <c r="F645" s="180">
        <f>(F624/F612)*BY64</f>
        <v>1493.5032760333195</v>
      </c>
      <c r="G645" s="180">
        <f>(G625/G612)*BY77</f>
        <v>0</v>
      </c>
      <c r="H645" s="180">
        <f>(H628/H612)*BY60</f>
        <v>25173.399179954406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925228</v>
      </c>
      <c r="D647" s="180">
        <f>(D615/D612)*CA76</f>
        <v>0</v>
      </c>
      <c r="E647" s="180">
        <f>(E623/E612)*SUM(C647:D647)</f>
        <v>79603.716609034702</v>
      </c>
      <c r="F647" s="180">
        <f>(F624/F612)*CA64</f>
        <v>426.4454437228307</v>
      </c>
      <c r="G647" s="180">
        <f>(G625/G612)*CA77</f>
        <v>0</v>
      </c>
      <c r="H647" s="180">
        <f>(H628/H612)*CA60</f>
        <v>24634.465910217812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2965416.9076014576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27156653.43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12997469</v>
      </c>
      <c r="D673" s="180">
        <f>(D615/D612)*H76</f>
        <v>1993731.8579684205</v>
      </c>
      <c r="E673" s="180">
        <f>(E623/E612)*SUM(C673:D673)</f>
        <v>1289795.9256819249</v>
      </c>
      <c r="F673" s="180">
        <f>(F624/F612)*H64</f>
        <v>3938.4399856865775</v>
      </c>
      <c r="G673" s="180">
        <f>(G625/G612)*H77</f>
        <v>1715733.1719518304</v>
      </c>
      <c r="H673" s="180">
        <f>(H628/H612)*H60</f>
        <v>233045.17680061376</v>
      </c>
      <c r="I673" s="180">
        <f>(I629/I612)*H78</f>
        <v>526816.64421398146</v>
      </c>
      <c r="J673" s="180">
        <f>(J630/J612)*H79</f>
        <v>179426.40177457329</v>
      </c>
      <c r="K673" s="180">
        <f>(K644/K612)*H75</f>
        <v>17460134.93430192</v>
      </c>
      <c r="L673" s="180">
        <f>(L647/L612)*H80</f>
        <v>2931094.9526523664</v>
      </c>
      <c r="M673" s="180">
        <f t="shared" si="20"/>
        <v>26333718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265118.73</v>
      </c>
      <c r="D686" s="180">
        <f>(D615/D612)*U76</f>
        <v>0</v>
      </c>
      <c r="E686" s="180">
        <f>(E623/E612)*SUM(C686:D686)</f>
        <v>22809.984404565344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>
        <f>(L647/L612)*U80</f>
        <v>0</v>
      </c>
      <c r="M686" s="180">
        <f t="shared" si="20"/>
        <v>22810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135192.10999999999</v>
      </c>
      <c r="D687" s="180">
        <f>(D615/D612)*V76</f>
        <v>0</v>
      </c>
      <c r="E687" s="180">
        <f>(E623/E612)*SUM(C687:D687)</f>
        <v>11631.505328651365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11643.011888263223</v>
      </c>
      <c r="L687" s="180">
        <f>(L647/L612)*V80</f>
        <v>0</v>
      </c>
      <c r="M687" s="180">
        <f t="shared" si="20"/>
        <v>23275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30605.55</v>
      </c>
      <c r="D690" s="180">
        <f>(D615/D612)*Y76</f>
        <v>0</v>
      </c>
      <c r="E690" s="180">
        <f>(E623/E612)*SUM(C690:D690)</f>
        <v>2633.2055762078558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0"/>
        <v>2633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1012631.4600000001</v>
      </c>
      <c r="D693" s="180">
        <f>(D615/D612)*AB76</f>
        <v>9072.9117726454333</v>
      </c>
      <c r="E693" s="180">
        <f>(E623/E612)*SUM(C693:D693)</f>
        <v>87904.241191145862</v>
      </c>
      <c r="F693" s="180">
        <f>(F624/F612)*AB64</f>
        <v>36784.929893705004</v>
      </c>
      <c r="G693" s="180">
        <f>(G625/G612)*AB77</f>
        <v>0</v>
      </c>
      <c r="H693" s="180">
        <f>(H628/H612)*AB60</f>
        <v>5702.2616926968531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>
        <f>(L647/L612)*AB80</f>
        <v>0</v>
      </c>
      <c r="M693" s="180">
        <f t="shared" si="20"/>
        <v>139464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6263.2</v>
      </c>
      <c r="D698" s="180">
        <f>(D615/D612)*AG76</f>
        <v>0</v>
      </c>
      <c r="E698" s="180">
        <f>(E623/E612)*SUM(C698:D698)</f>
        <v>538.86609340152495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539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291867.08999999997</v>
      </c>
      <c r="D704" s="180">
        <f>(D615/D612)*AM76</f>
        <v>0</v>
      </c>
      <c r="E704" s="180">
        <f>(E623/E612)*SUM(C704:D704)</f>
        <v>25111.329445135278</v>
      </c>
      <c r="F704" s="180">
        <f>(F624/F612)*AM64</f>
        <v>984.50956542946324</v>
      </c>
      <c r="G704" s="180">
        <f>(G625/G612)*AM77</f>
        <v>0</v>
      </c>
      <c r="H704" s="180">
        <f>(H628/H612)*AM60</f>
        <v>5232.868199700466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31329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661358.9800000001</v>
      </c>
      <c r="D712" s="180">
        <f>(D615/D612)*AU76</f>
        <v>0</v>
      </c>
      <c r="E712" s="180">
        <f>(E623/E612)*SUM(C712:D712)</f>
        <v>56901.25333513497</v>
      </c>
      <c r="F712" s="180">
        <f>(F624/F612)*AU64</f>
        <v>492.10156107281432</v>
      </c>
      <c r="G712" s="180">
        <f>(G625/G612)*AU77</f>
        <v>61217.261076027986</v>
      </c>
      <c r="H712" s="180">
        <f>(H628/H612)*AU60</f>
        <v>11578.372827244222</v>
      </c>
      <c r="I712" s="180">
        <f>(I629/I612)*AU78</f>
        <v>0</v>
      </c>
      <c r="J712" s="180">
        <f>(J630/J612)*AU79</f>
        <v>0</v>
      </c>
      <c r="K712" s="180">
        <f>(K644/K612)*AU75</f>
        <v>364841.3494616886</v>
      </c>
      <c r="L712" s="180">
        <f>(L647/L612)*AU80</f>
        <v>34321.954949090941</v>
      </c>
      <c r="M712" s="180">
        <f t="shared" si="20"/>
        <v>529352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732266.47</v>
      </c>
      <c r="D713" s="180">
        <f>(D615/D612)*AV76</f>
        <v>0</v>
      </c>
      <c r="E713" s="180">
        <f>(E623/E612)*SUM(C713:D713)</f>
        <v>63001.911485794</v>
      </c>
      <c r="F713" s="180">
        <f>(F624/F612)*AV64</f>
        <v>14.203689124963123</v>
      </c>
      <c r="G713" s="180">
        <f>(G625/G612)*AV77</f>
        <v>0</v>
      </c>
      <c r="H713" s="180">
        <f>(H628/H612)*AV60</f>
        <v>10517.891231956088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73534</v>
      </c>
      <c r="N713" s="199" t="s">
        <v>741</v>
      </c>
    </row>
    <row r="715" spans="1:83" ht="12.6" customHeight="1" x14ac:dyDescent="0.25">
      <c r="C715" s="180">
        <f>SUM(C614:C647)+SUM(C668:C713)</f>
        <v>43289426.020000003</v>
      </c>
      <c r="D715" s="180">
        <f>SUM(D616:D647)+SUM(D668:D713)</f>
        <v>3126954.7400000012</v>
      </c>
      <c r="E715" s="180">
        <f>SUM(E624:E647)+SUM(E668:E713)</f>
        <v>3429429.1711779647</v>
      </c>
      <c r="F715" s="180">
        <f>SUM(F625:F648)+SUM(F668:F713)</f>
        <v>148205.44519431112</v>
      </c>
      <c r="G715" s="180">
        <f>SUM(G626:G647)+SUM(G668:G713)</f>
        <v>1776950.4330278584</v>
      </c>
      <c r="H715" s="180">
        <f>SUM(H629:H647)+SUM(H668:H713)</f>
        <v>554127.71095432772</v>
      </c>
      <c r="I715" s="180">
        <f>SUM(I630:I647)+SUM(I668:I713)</f>
        <v>526816.64421398146</v>
      </c>
      <c r="J715" s="180">
        <f>SUM(J631:J647)+SUM(J668:J713)</f>
        <v>179426.40177457329</v>
      </c>
      <c r="K715" s="180">
        <f>SUM(K668:K713)</f>
        <v>17836619.295651872</v>
      </c>
      <c r="L715" s="180">
        <f>SUM(L668:L713)</f>
        <v>2965416.9076014571</v>
      </c>
      <c r="M715" s="180">
        <f>SUM(M668:M713)</f>
        <v>27156654</v>
      </c>
      <c r="N715" s="198" t="s">
        <v>742</v>
      </c>
    </row>
    <row r="716" spans="1:83" ht="12.6" customHeight="1" x14ac:dyDescent="0.25">
      <c r="C716" s="180">
        <f>CE71</f>
        <v>43289426.019999996</v>
      </c>
      <c r="D716" s="180">
        <f>D615</f>
        <v>3126954.74</v>
      </c>
      <c r="E716" s="180">
        <f>E623</f>
        <v>3429429.1711779642</v>
      </c>
      <c r="F716" s="180">
        <f>F624</f>
        <v>148205.44519431112</v>
      </c>
      <c r="G716" s="180">
        <f>G625</f>
        <v>1776950.4330278581</v>
      </c>
      <c r="H716" s="180">
        <f>H628</f>
        <v>554127.71095432783</v>
      </c>
      <c r="I716" s="180">
        <f>I629</f>
        <v>526816.64421398146</v>
      </c>
      <c r="J716" s="180">
        <f>J630</f>
        <v>179426.40177457329</v>
      </c>
      <c r="K716" s="180">
        <f>K644</f>
        <v>17836619.295651872</v>
      </c>
      <c r="L716" s="180">
        <f>L647</f>
        <v>2965416.9076014576</v>
      </c>
      <c r="M716" s="180">
        <f>C648</f>
        <v>27156653.43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904*2017*A</v>
      </c>
      <c r="B722" s="276">
        <f>ROUND(C165,0)</f>
        <v>1677496</v>
      </c>
      <c r="C722" s="276">
        <f>ROUND(C166,0)</f>
        <v>86122</v>
      </c>
      <c r="D722" s="276">
        <f>ROUND(C167,0)</f>
        <v>513044</v>
      </c>
      <c r="E722" s="276">
        <f>ROUND(C168,0)</f>
        <v>1983104</v>
      </c>
      <c r="F722" s="276">
        <f>ROUND(C169,0)</f>
        <v>82492</v>
      </c>
      <c r="G722" s="276">
        <f>ROUND(C170,0)</f>
        <v>0</v>
      </c>
      <c r="H722" s="276">
        <f>ROUND(C171+C172,0)</f>
        <v>-196532</v>
      </c>
      <c r="I722" s="276">
        <f>ROUND(C175,0)</f>
        <v>768699</v>
      </c>
      <c r="J722" s="276">
        <f>ROUND(C176,0)</f>
        <v>66879</v>
      </c>
      <c r="K722" s="276">
        <f>ROUND(C179,0)</f>
        <v>333176</v>
      </c>
      <c r="L722" s="276">
        <f>ROUND(C180,0)</f>
        <v>53596</v>
      </c>
      <c r="M722" s="276">
        <f>ROUND(C183,0)</f>
        <v>128648</v>
      </c>
      <c r="N722" s="276">
        <f>ROUND(C184,0)</f>
        <v>1107627</v>
      </c>
      <c r="O722" s="276">
        <f>ROUND(C185,0)</f>
        <v>0</v>
      </c>
      <c r="P722" s="276">
        <f>ROUND(C188,0)</f>
        <v>0</v>
      </c>
      <c r="Q722" s="276">
        <f>ROUND(C189,0)</f>
        <v>0</v>
      </c>
      <c r="R722" s="276">
        <f>ROUND(B195,0)</f>
        <v>4313940</v>
      </c>
      <c r="S722" s="276">
        <f>ROUND(C195,0)</f>
        <v>0</v>
      </c>
      <c r="T722" s="276">
        <f>ROUND(D195,0)</f>
        <v>0</v>
      </c>
      <c r="U722" s="276">
        <f>ROUND(B196,0)</f>
        <v>2001991</v>
      </c>
      <c r="V722" s="276">
        <f>ROUND(C196,0)</f>
        <v>11657</v>
      </c>
      <c r="W722" s="276">
        <f>ROUND(D196,0)</f>
        <v>0</v>
      </c>
      <c r="X722" s="276">
        <f>ROUND(B197,0)</f>
        <v>757454</v>
      </c>
      <c r="Y722" s="276">
        <f>ROUND(C197,0)</f>
        <v>67702</v>
      </c>
      <c r="Z722" s="276">
        <f>ROUND(D197,0)</f>
        <v>0</v>
      </c>
      <c r="AA722" s="276">
        <f>ROUND(B198,0)</f>
        <v>19913852</v>
      </c>
      <c r="AB722" s="276">
        <f>ROUND(C198,0)</f>
        <v>4258</v>
      </c>
      <c r="AC722" s="276">
        <f>ROUND(D198,0)</f>
        <v>0</v>
      </c>
      <c r="AD722" s="276">
        <f>ROUND(B199,0)</f>
        <v>3512</v>
      </c>
      <c r="AE722" s="276">
        <f>ROUND(C199,0)</f>
        <v>0</v>
      </c>
      <c r="AF722" s="276">
        <f>ROUND(D199,0)</f>
        <v>0</v>
      </c>
      <c r="AG722" s="276">
        <f>ROUND(B200,0)</f>
        <v>3989753</v>
      </c>
      <c r="AH722" s="276">
        <f>ROUND(C200,0)</f>
        <v>219030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219085</v>
      </c>
      <c r="AN722" s="276">
        <f>ROUND(C202,0)</f>
        <v>167155</v>
      </c>
      <c r="AO722" s="276">
        <f>ROUND(D202,0)</f>
        <v>0</v>
      </c>
      <c r="AP722" s="276">
        <f>ROUND(B203,0)</f>
        <v>9858</v>
      </c>
      <c r="AQ722" s="276">
        <f>ROUND(C203,0)</f>
        <v>363</v>
      </c>
      <c r="AR722" s="276">
        <f>ROUND(D203,0)</f>
        <v>9858</v>
      </c>
      <c r="AS722" s="276"/>
      <c r="AT722" s="276"/>
      <c r="AU722" s="276"/>
      <c r="AV722" s="276">
        <f>ROUND(B209,0)</f>
        <v>596424</v>
      </c>
      <c r="AW722" s="276">
        <f>ROUND(C209,0)</f>
        <v>148458</v>
      </c>
      <c r="AX722" s="276">
        <f>ROUND(D209,0)</f>
        <v>0</v>
      </c>
      <c r="AY722" s="276">
        <f>ROUND(B210,0)</f>
        <v>161966</v>
      </c>
      <c r="AZ722" s="276">
        <f>ROUND(C210,0)</f>
        <v>61329</v>
      </c>
      <c r="BA722" s="276">
        <f>ROUND(D210,0)</f>
        <v>0</v>
      </c>
      <c r="BB722" s="276">
        <f>ROUND(B211,0)</f>
        <v>2526334</v>
      </c>
      <c r="BC722" s="276">
        <f>ROUND(C211,0)</f>
        <v>651579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1906459</v>
      </c>
      <c r="BI722" s="276">
        <f>ROUND(C213,0)</f>
        <v>578904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55050</v>
      </c>
      <c r="BO722" s="276">
        <f>ROUND(C215,0)</f>
        <v>72023</v>
      </c>
      <c r="BP722" s="276">
        <f>ROUND(D215,0)</f>
        <v>333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19821045</v>
      </c>
      <c r="BU722" s="276">
        <f>ROUND(C224,0)</f>
        <v>40064173</v>
      </c>
      <c r="BV722" s="276">
        <f>ROUND(C225,0)</f>
        <v>69102</v>
      </c>
      <c r="BW722" s="276">
        <f>ROUND(C226,0)</f>
        <v>2288792</v>
      </c>
      <c r="BX722" s="276">
        <f>ROUND(C227,0)</f>
        <v>0</v>
      </c>
      <c r="BY722" s="276">
        <f>ROUND(C228,0)</f>
        <v>32467526</v>
      </c>
      <c r="BZ722" s="276">
        <f>ROUND(C231,0)</f>
        <v>0</v>
      </c>
      <c r="CA722" s="276">
        <f>ROUND(C233,0)</f>
        <v>204950</v>
      </c>
      <c r="CB722" s="276">
        <f>ROUND(C234,0)</f>
        <v>27132</v>
      </c>
      <c r="CC722" s="276">
        <f>ROUND(C238+C239,0)</f>
        <v>397091</v>
      </c>
      <c r="CD722" s="276">
        <f>D221</f>
        <v>962185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904*2017*A</v>
      </c>
      <c r="B726" s="276">
        <f>ROUND(C111,0)</f>
        <v>3227</v>
      </c>
      <c r="C726" s="276">
        <f>ROUND(C112,0)</f>
        <v>0</v>
      </c>
      <c r="D726" s="276">
        <f>ROUND(C113,0)</f>
        <v>906</v>
      </c>
      <c r="E726" s="276">
        <f>ROUND(C114,0)</f>
        <v>0</v>
      </c>
      <c r="F726" s="276">
        <f>ROUND(D111,0)</f>
        <v>40423</v>
      </c>
      <c r="G726" s="276">
        <f>ROUND(D112,0)</f>
        <v>0</v>
      </c>
      <c r="H726" s="276">
        <f>ROUND(D113,0)</f>
        <v>6027</v>
      </c>
      <c r="I726" s="276">
        <f>ROUND(D114,0)</f>
        <v>0</v>
      </c>
      <c r="J726" s="276">
        <f>ROUND(C116,0)</f>
        <v>0</v>
      </c>
      <c r="K726" s="276">
        <f>ROUND(C117,0)</f>
        <v>0</v>
      </c>
      <c r="L726" s="276">
        <f>ROUND(C118,0)</f>
        <v>0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145</v>
      </c>
      <c r="Q726" s="276">
        <f>ROUND(C123,0)</f>
        <v>0</v>
      </c>
      <c r="R726" s="276">
        <f>ROUND(C124,0)</f>
        <v>0</v>
      </c>
      <c r="S726" s="276">
        <f>ROUND(C125,0)</f>
        <v>12</v>
      </c>
      <c r="T726" s="276"/>
      <c r="U726" s="276">
        <f>ROUND(C126,0)</f>
        <v>0</v>
      </c>
      <c r="V726" s="276">
        <f>ROUND(C128,0)</f>
        <v>157</v>
      </c>
      <c r="W726" s="276">
        <f>ROUND(C129,0)</f>
        <v>0</v>
      </c>
      <c r="X726" s="276">
        <f>ROUND(B138,0)</f>
        <v>508</v>
      </c>
      <c r="Y726" s="276">
        <f>ROUND(B139,0)</f>
        <v>8536</v>
      </c>
      <c r="Z726" s="276">
        <f>ROUND(B140,0)</f>
        <v>112</v>
      </c>
      <c r="AA726" s="276">
        <f>ROUND(B141,0)</f>
        <v>23898000</v>
      </c>
      <c r="AB726" s="276">
        <f>ROUND(B142,0)</f>
        <v>66500</v>
      </c>
      <c r="AC726" s="276">
        <f>ROUND(C138,0)</f>
        <v>1492</v>
      </c>
      <c r="AD726" s="276">
        <f>ROUND(C139,0)</f>
        <v>19637</v>
      </c>
      <c r="AE726" s="276">
        <f>ROUND(C140,0)</f>
        <v>0</v>
      </c>
      <c r="AF726" s="276">
        <f>ROUND(C141,0)</f>
        <v>54961200</v>
      </c>
      <c r="AG726" s="276">
        <f>ROUND(C142,0)</f>
        <v>0</v>
      </c>
      <c r="AH726" s="276">
        <f>ROUND(D138,0)</f>
        <v>2133</v>
      </c>
      <c r="AI726" s="276">
        <f>ROUND(D139,0)</f>
        <v>18277</v>
      </c>
      <c r="AJ726" s="276">
        <f>ROUND(D140,0)</f>
        <v>4860</v>
      </c>
      <c r="AK726" s="276">
        <f>ROUND(D141,0)</f>
        <v>60454737</v>
      </c>
      <c r="AL726" s="276">
        <f>ROUND(D142,0)</f>
        <v>2908820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904*2017*A</v>
      </c>
      <c r="B730" s="276">
        <f>ROUND(C250,0)</f>
        <v>-852048</v>
      </c>
      <c r="C730" s="276">
        <f>ROUND(C251,0)</f>
        <v>0</v>
      </c>
      <c r="D730" s="276">
        <f>ROUND(C252,0)</f>
        <v>17330625</v>
      </c>
      <c r="E730" s="276">
        <f>ROUND(C253,0)</f>
        <v>7104789</v>
      </c>
      <c r="F730" s="276">
        <f>ROUND(C254,0)</f>
        <v>1027507</v>
      </c>
      <c r="G730" s="276">
        <f>ROUND(C255,0)</f>
        <v>0</v>
      </c>
      <c r="H730" s="276">
        <f>ROUND(C256,0)</f>
        <v>0</v>
      </c>
      <c r="I730" s="276">
        <f>ROUND(C257,0)</f>
        <v>219683</v>
      </c>
      <c r="J730" s="276">
        <f>ROUND(C258,0)</f>
        <v>287885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4313940</v>
      </c>
      <c r="P730" s="276">
        <f>ROUND(C268,0)</f>
        <v>2013648</v>
      </c>
      <c r="Q730" s="276">
        <f>ROUND(C269,0)</f>
        <v>825156</v>
      </c>
      <c r="R730" s="276">
        <f>ROUND(C270,0)</f>
        <v>19918110</v>
      </c>
      <c r="S730" s="276">
        <f>ROUND(C271,0)</f>
        <v>3512</v>
      </c>
      <c r="T730" s="276">
        <f>ROUND(C272,0)</f>
        <v>4207948</v>
      </c>
      <c r="U730" s="276">
        <f>ROUND(C273,0)</f>
        <v>386240</v>
      </c>
      <c r="V730" s="276">
        <f>ROUND(C274,0)</f>
        <v>1198</v>
      </c>
      <c r="W730" s="276">
        <f>ROUND(C275,0)</f>
        <v>0</v>
      </c>
      <c r="X730" s="276">
        <f>ROUND(C276,0)</f>
        <v>6758192</v>
      </c>
      <c r="Y730" s="276">
        <f>ROUND(C279,0)</f>
        <v>0</v>
      </c>
      <c r="Z730" s="276">
        <f>ROUND(C280,0)</f>
        <v>0</v>
      </c>
      <c r="AA730" s="276">
        <f>ROUND(C281,0)</f>
        <v>1235432</v>
      </c>
      <c r="AB730" s="276">
        <f>ROUND(C282,0)</f>
        <v>0</v>
      </c>
      <c r="AC730" s="276">
        <f>ROUND(C286,0)</f>
        <v>56670018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1895993</v>
      </c>
      <c r="AI730" s="276">
        <f>ROUND(C306,0)</f>
        <v>2035557</v>
      </c>
      <c r="AJ730" s="276">
        <f>ROUND(C307,0)</f>
        <v>100790</v>
      </c>
      <c r="AK730" s="276">
        <f>ROUND(C308,0)</f>
        <v>0</v>
      </c>
      <c r="AL730" s="276">
        <f>ROUND(C327,0)</f>
        <v>7635018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 t="e">
        <f>ROUND(#REF!,0)</f>
        <v>#REF!</v>
      </c>
      <c r="BA730" s="276">
        <f>ROUND(C328,0)</f>
        <v>0</v>
      </c>
      <c r="BB730" s="276">
        <f>ROUND(C332,0)</f>
        <v>0</v>
      </c>
      <c r="BC730" s="276"/>
      <c r="BD730" s="276"/>
      <c r="BE730" s="276">
        <f>ROUND(C337,0)</f>
        <v>82058516</v>
      </c>
      <c r="BF730" s="276">
        <f>ROUND(C336,0)</f>
        <v>0</v>
      </c>
      <c r="BG730" s="276"/>
      <c r="BH730" s="276"/>
      <c r="BI730" s="276">
        <f>ROUND(CE60,2)</f>
        <v>351.31</v>
      </c>
      <c r="BJ730" s="276">
        <f>ROUND(C359,0)</f>
        <v>139313937</v>
      </c>
      <c r="BK730" s="276">
        <f>ROUND(C360,0)</f>
        <v>2975320</v>
      </c>
      <c r="BL730" s="276">
        <f>ROUND(C364,0)</f>
        <v>94710638</v>
      </c>
      <c r="BM730" s="276">
        <f>ROUND(C365,0)</f>
        <v>232082</v>
      </c>
      <c r="BN730" s="276">
        <f>ROUND(C366,0)</f>
        <v>397091</v>
      </c>
      <c r="BO730" s="276">
        <f>ROUND(C370,0)</f>
        <v>12764105</v>
      </c>
      <c r="BP730" s="276">
        <f>ROUND(C371,0)</f>
        <v>0</v>
      </c>
      <c r="BQ730" s="276">
        <f>ROUND(C378,0)</f>
        <v>21389477</v>
      </c>
      <c r="BR730" s="276">
        <f>ROUND(C379,0)</f>
        <v>4145726</v>
      </c>
      <c r="BS730" s="276">
        <f>ROUND(C380,0)</f>
        <v>6168075</v>
      </c>
      <c r="BT730" s="276">
        <f>ROUND(C381,0)</f>
        <v>2002923</v>
      </c>
      <c r="BU730" s="276">
        <f>ROUND(C382,0)</f>
        <v>542758</v>
      </c>
      <c r="BV730" s="276">
        <f>ROUND(C383,0)</f>
        <v>1990922</v>
      </c>
      <c r="BW730" s="276">
        <f>ROUND(C384,0)</f>
        <v>1526129</v>
      </c>
      <c r="BX730" s="276">
        <f>ROUND(C385,0)</f>
        <v>835577</v>
      </c>
      <c r="BY730" s="276">
        <f>ROUND(C386,0)</f>
        <v>386772</v>
      </c>
      <c r="BZ730" s="276">
        <f>ROUND(C387,0)</f>
        <v>1236275</v>
      </c>
      <c r="CA730" s="276">
        <f>ROUND(C388,0)</f>
        <v>0</v>
      </c>
      <c r="CB730" s="276">
        <f>C363</f>
        <v>962185</v>
      </c>
      <c r="CC730" s="276">
        <f>ROUND(C389,0)</f>
        <v>15829197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904*2017*6010*A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904*2017*6030*A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904*2017*6070*A</v>
      </c>
      <c r="B736" s="276">
        <f>ROUND(E59,0)</f>
        <v>0</v>
      </c>
      <c r="C736" s="278">
        <f>ROUND(E60,2)</f>
        <v>0</v>
      </c>
      <c r="D736" s="276">
        <f>ROUND(E61,0)</f>
        <v>0</v>
      </c>
      <c r="E736" s="276">
        <f>ROUND(E62,0)</f>
        <v>0</v>
      </c>
      <c r="F736" s="276">
        <f>ROUND(E63,0)</f>
        <v>0</v>
      </c>
      <c r="G736" s="276">
        <f>ROUND(E64,0)</f>
        <v>0</v>
      </c>
      <c r="H736" s="276">
        <f>ROUND(E65,0)</f>
        <v>0</v>
      </c>
      <c r="I736" s="276">
        <f>ROUND(E66,0)</f>
        <v>0</v>
      </c>
      <c r="J736" s="276">
        <f>ROUND(E67,0)</f>
        <v>0</v>
      </c>
      <c r="K736" s="276">
        <f>ROUND(E68,0)</f>
        <v>0</v>
      </c>
      <c r="L736" s="276">
        <f>ROUND(E69,0)</f>
        <v>0</v>
      </c>
      <c r="M736" s="276">
        <f>ROUND(E70,0)</f>
        <v>0</v>
      </c>
      <c r="N736" s="276">
        <f>ROUND(E75,0)</f>
        <v>0</v>
      </c>
      <c r="O736" s="276">
        <f>ROUND(E73,0)</f>
        <v>0</v>
      </c>
      <c r="P736" s="276">
        <f>IF(E76&gt;0,ROUND(E76,0),0)</f>
        <v>0</v>
      </c>
      <c r="Q736" s="276">
        <f>IF(E77&gt;0,ROUND(E77,0),0)</f>
        <v>0</v>
      </c>
      <c r="R736" s="276">
        <f>IF(E78&gt;0,ROUND(E78,0),0)</f>
        <v>0</v>
      </c>
      <c r="S736" s="276">
        <f>IF(E79&gt;0,ROUND(E79,0),0)</f>
        <v>0</v>
      </c>
      <c r="T736" s="278">
        <f>IF(E80&gt;0,ROUND(E80,2),0)</f>
        <v>0</v>
      </c>
      <c r="U736" s="276"/>
      <c r="V736" s="277"/>
      <c r="W736" s="276"/>
      <c r="X736" s="276"/>
      <c r="Y736" s="276">
        <f t="shared" si="21"/>
        <v>0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904*2017*6100*A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904*2017*6120*A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904*2017*6140*A</v>
      </c>
      <c r="B739" s="276">
        <f>ROUND(H59,0)</f>
        <v>46450</v>
      </c>
      <c r="C739" s="278">
        <f>ROUND(H60,2)</f>
        <v>134.05000000000001</v>
      </c>
      <c r="D739" s="276">
        <f>ROUND(H61,0)</f>
        <v>8448272</v>
      </c>
      <c r="E739" s="276">
        <f>ROUND(H62,0)</f>
        <v>1637451</v>
      </c>
      <c r="F739" s="276">
        <f>ROUND(H63,0)</f>
        <v>98800</v>
      </c>
      <c r="G739" s="276">
        <f>ROUND(H64,0)</f>
        <v>45882</v>
      </c>
      <c r="H739" s="276">
        <f>ROUND(H65,0)</f>
        <v>0</v>
      </c>
      <c r="I739" s="276">
        <f>ROUND(H66,0)</f>
        <v>1733833</v>
      </c>
      <c r="J739" s="276">
        <f>ROUND(H67,0)</f>
        <v>973053</v>
      </c>
      <c r="K739" s="276">
        <f>ROUND(H68,0)</f>
        <v>0</v>
      </c>
      <c r="L739" s="276">
        <f>ROUND(H69,0)</f>
        <v>60178</v>
      </c>
      <c r="M739" s="276">
        <f>ROUND(H70,0)</f>
        <v>0</v>
      </c>
      <c r="N739" s="276">
        <f>ROUND(H75,0)</f>
        <v>142389257</v>
      </c>
      <c r="O739" s="276">
        <f>ROUND(H73,0)</f>
        <v>139413937</v>
      </c>
      <c r="P739" s="276">
        <f>IF(H76&gt;0,ROUND(H76,0),0)</f>
        <v>49223</v>
      </c>
      <c r="Q739" s="276">
        <f>IF(H77&gt;0,ROUND(H77,0),0)</f>
        <v>139350</v>
      </c>
      <c r="R739" s="276">
        <f>IF(H78&gt;0,ROUND(H78,0),0)</f>
        <v>16640</v>
      </c>
      <c r="S739" s="276">
        <f>IF(H79&gt;0,ROUND(H79,0),0)</f>
        <v>191793</v>
      </c>
      <c r="T739" s="278">
        <f>IF(H80&gt;0,ROUND(H80,2),0)</f>
        <v>85.4</v>
      </c>
      <c r="U739" s="276"/>
      <c r="V739" s="277"/>
      <c r="W739" s="276"/>
      <c r="X739" s="276"/>
      <c r="Y739" s="276">
        <f t="shared" si="21"/>
        <v>26333718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904*2017*6150*A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904*2017*6170*A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904*2017*6200*A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904*2017*6210*A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904*2017*6330*A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904*2017*6400*A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904*2017*7010*A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904*2017*7020*A</v>
      </c>
      <c r="B747" s="276">
        <f>ROUND(P59,0)</f>
        <v>0</v>
      </c>
      <c r="C747" s="278">
        <f>ROUND(P60,2)</f>
        <v>0</v>
      </c>
      <c r="D747" s="276">
        <f>ROUND(P61,0)</f>
        <v>0</v>
      </c>
      <c r="E747" s="276">
        <f>ROUND(P62,0)</f>
        <v>0</v>
      </c>
      <c r="F747" s="276">
        <f>ROUND(P63,0)</f>
        <v>0</v>
      </c>
      <c r="G747" s="276">
        <f>ROUND(P64,0)</f>
        <v>0</v>
      </c>
      <c r="H747" s="276">
        <f>ROUND(P65,0)</f>
        <v>0</v>
      </c>
      <c r="I747" s="276">
        <f>ROUND(P66,0)</f>
        <v>0</v>
      </c>
      <c r="J747" s="276">
        <f>ROUND(P67,0)</f>
        <v>0</v>
      </c>
      <c r="K747" s="276">
        <f>ROUND(P68,0)</f>
        <v>0</v>
      </c>
      <c r="L747" s="276">
        <f>ROUND(P69,0)</f>
        <v>0</v>
      </c>
      <c r="M747" s="276">
        <f>ROUND(P70,0)</f>
        <v>0</v>
      </c>
      <c r="N747" s="276">
        <f>ROUND(P75,0)</f>
        <v>0</v>
      </c>
      <c r="O747" s="276">
        <f>ROUND(P73,0)</f>
        <v>0</v>
      </c>
      <c r="P747" s="276">
        <f>IF(P76&gt;0,ROUND(P76,0),0)</f>
        <v>0</v>
      </c>
      <c r="Q747" s="276">
        <f>IF(P77&gt;0,ROUND(P77,0),0)</f>
        <v>0</v>
      </c>
      <c r="R747" s="276">
        <f>IF(P78&gt;0,ROUND(P78,0),0)</f>
        <v>0</v>
      </c>
      <c r="S747" s="276">
        <f>IF(P79&gt;0,ROUND(P79,0),0)</f>
        <v>0</v>
      </c>
      <c r="T747" s="278">
        <f>IF(P80&gt;0,ROUND(P80,2),0)</f>
        <v>0</v>
      </c>
      <c r="U747" s="276"/>
      <c r="V747" s="277"/>
      <c r="W747" s="276"/>
      <c r="X747" s="276"/>
      <c r="Y747" s="276">
        <f t="shared" si="21"/>
        <v>0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904*2017*7030*A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904*2017*7040*A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0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904*2017*7050*A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0</v>
      </c>
      <c r="H750" s="276">
        <f>ROUND(S65,0)</f>
        <v>0</v>
      </c>
      <c r="I750" s="276">
        <f>ROUND(S66,0)</f>
        <v>0</v>
      </c>
      <c r="J750" s="276">
        <f>ROUND(S67,0)</f>
        <v>0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0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904*2017*7060*A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904*2017*7070*A</v>
      </c>
      <c r="B752" s="276">
        <f>ROUND(U59,0)</f>
        <v>0</v>
      </c>
      <c r="C752" s="278">
        <f>ROUND(U60,2)</f>
        <v>0</v>
      </c>
      <c r="D752" s="276">
        <f>ROUND(U61,0)</f>
        <v>0</v>
      </c>
      <c r="E752" s="276">
        <f>ROUND(U62,0)</f>
        <v>0</v>
      </c>
      <c r="F752" s="276">
        <f>ROUND(U63,0)</f>
        <v>0</v>
      </c>
      <c r="G752" s="276">
        <f>ROUND(U64,0)</f>
        <v>0</v>
      </c>
      <c r="H752" s="276">
        <f>ROUND(U65,0)</f>
        <v>0</v>
      </c>
      <c r="I752" s="276">
        <f>ROUND(U66,0)</f>
        <v>265119</v>
      </c>
      <c r="J752" s="276">
        <f>ROUND(U67,0)</f>
        <v>0</v>
      </c>
      <c r="K752" s="276">
        <f>ROUND(U68,0)</f>
        <v>0</v>
      </c>
      <c r="L752" s="276">
        <f>ROUND(U69,0)</f>
        <v>0</v>
      </c>
      <c r="M752" s="276">
        <f>ROUND(U70,0)</f>
        <v>0</v>
      </c>
      <c r="N752" s="276">
        <f>ROUND(U75,0)</f>
        <v>0</v>
      </c>
      <c r="O752" s="276">
        <f>ROUND(U73,0)</f>
        <v>0</v>
      </c>
      <c r="P752" s="276">
        <f>IF(U76&gt;0,ROUND(U76,0),0)</f>
        <v>0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22810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904*2017*7110*A</v>
      </c>
      <c r="B753" s="276">
        <f>ROUND(V59,0)</f>
        <v>0</v>
      </c>
      <c r="C753" s="278">
        <f>ROUND(V60,2)</f>
        <v>0</v>
      </c>
      <c r="D753" s="276">
        <f>ROUND(V61,0)</f>
        <v>13829</v>
      </c>
      <c r="E753" s="276">
        <f>ROUND(V62,0)</f>
        <v>2680</v>
      </c>
      <c r="F753" s="276">
        <f>ROUND(V63,0)</f>
        <v>68535</v>
      </c>
      <c r="G753" s="276">
        <f>ROUND(V64,0)</f>
        <v>0</v>
      </c>
      <c r="H753" s="276">
        <f>ROUND(V65,0)</f>
        <v>0</v>
      </c>
      <c r="I753" s="276">
        <f>ROUND(V66,0)</f>
        <v>50148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94950</v>
      </c>
      <c r="O753" s="276">
        <f>ROUND(V73,0)</f>
        <v>94950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23275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904*2017*7120*A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904*2017*7130*A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904*2017*7140*A</v>
      </c>
      <c r="B756" s="276">
        <f>ROUND(Y59,0)</f>
        <v>0</v>
      </c>
      <c r="C756" s="278">
        <f>ROUND(Y60,2)</f>
        <v>0</v>
      </c>
      <c r="D756" s="276">
        <f>ROUND(Y61,0)</f>
        <v>0</v>
      </c>
      <c r="E756" s="276">
        <f>ROUND(Y62,0)</f>
        <v>0</v>
      </c>
      <c r="F756" s="276">
        <f>ROUND(Y63,0)</f>
        <v>0</v>
      </c>
      <c r="G756" s="276">
        <f>ROUND(Y64,0)</f>
        <v>0</v>
      </c>
      <c r="H756" s="276">
        <f>ROUND(Y65,0)</f>
        <v>0</v>
      </c>
      <c r="I756" s="276">
        <f>ROUND(Y66,0)</f>
        <v>30606</v>
      </c>
      <c r="J756" s="276">
        <f>ROUND(Y67,0)</f>
        <v>0</v>
      </c>
      <c r="K756" s="276">
        <f>ROUND(Y68,0)</f>
        <v>0</v>
      </c>
      <c r="L756" s="276">
        <f>ROUND(Y69,0)</f>
        <v>0</v>
      </c>
      <c r="M756" s="276">
        <f>ROUND(Y70,0)</f>
        <v>0</v>
      </c>
      <c r="N756" s="276">
        <f>ROUND(Y75,0)</f>
        <v>0</v>
      </c>
      <c r="O756" s="276">
        <f>ROUND(Y73,0)</f>
        <v>0</v>
      </c>
      <c r="P756" s="276">
        <f>IF(Y76&gt;0,ROUND(Y76,0),0)</f>
        <v>0</v>
      </c>
      <c r="Q756" s="276">
        <f>IF(Y77&gt;0,ROUND(Y77,0),0)</f>
        <v>0</v>
      </c>
      <c r="R756" s="276">
        <f>IF(Y78&gt;0,ROUND(Y78,0),0)</f>
        <v>0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2633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904*2017*7150*A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904*2017*7160*A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904*2017*7170*A</v>
      </c>
      <c r="B759" s="276"/>
      <c r="C759" s="278">
        <f>ROUND(AB60,2)</f>
        <v>3.28</v>
      </c>
      <c r="D759" s="276">
        <f>ROUND(AB61,0)</f>
        <v>396145</v>
      </c>
      <c r="E759" s="276">
        <f>ROUND(AB62,0)</f>
        <v>76781</v>
      </c>
      <c r="F759" s="276">
        <f>ROUND(AB63,0)</f>
        <v>0</v>
      </c>
      <c r="G759" s="276">
        <f>ROUND(AB64,0)</f>
        <v>428537</v>
      </c>
      <c r="H759" s="276">
        <f>ROUND(AB65,0)</f>
        <v>0</v>
      </c>
      <c r="I759" s="276">
        <f>ROUND(AB66,0)</f>
        <v>99197</v>
      </c>
      <c r="J759" s="276">
        <f>ROUND(AB67,0)</f>
        <v>4428</v>
      </c>
      <c r="K759" s="276">
        <f>ROUND(AB68,0)</f>
        <v>0</v>
      </c>
      <c r="L759" s="276">
        <f>ROUND(AB69,0)</f>
        <v>7543</v>
      </c>
      <c r="M759" s="276">
        <f>ROUND(AB70,0)</f>
        <v>0</v>
      </c>
      <c r="N759" s="276">
        <f>ROUND(AB75,0)</f>
        <v>0</v>
      </c>
      <c r="O759" s="276">
        <f>ROUND(AB73,0)</f>
        <v>0</v>
      </c>
      <c r="P759" s="276">
        <f>IF(AB76&gt;0,ROUND(AB76,0),0)</f>
        <v>224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139464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904*2017*7180*A</v>
      </c>
      <c r="B760" s="276">
        <f>ROUND(AC59,0)</f>
        <v>0</v>
      </c>
      <c r="C760" s="278">
        <f>ROUND(AC60,2)</f>
        <v>0</v>
      </c>
      <c r="D760" s="276">
        <f>ROUND(AC61,0)</f>
        <v>0</v>
      </c>
      <c r="E760" s="276">
        <f>ROUND(AC62,0)</f>
        <v>0</v>
      </c>
      <c r="F760" s="276">
        <f>ROUND(AC63,0)</f>
        <v>0</v>
      </c>
      <c r="G760" s="276">
        <f>ROUND(AC64,0)</f>
        <v>0</v>
      </c>
      <c r="H760" s="276">
        <f>ROUND(AC65,0)</f>
        <v>0</v>
      </c>
      <c r="I760" s="276">
        <f>ROUND(AC66,0)</f>
        <v>0</v>
      </c>
      <c r="J760" s="276">
        <f>ROUND(AC67,0)</f>
        <v>0</v>
      </c>
      <c r="K760" s="276">
        <f>ROUND(AC68,0)</f>
        <v>0</v>
      </c>
      <c r="L760" s="276">
        <f>ROUND(AC69,0)</f>
        <v>0</v>
      </c>
      <c r="M760" s="276">
        <f>ROUND(AC70,0)</f>
        <v>0</v>
      </c>
      <c r="N760" s="276">
        <f>ROUND(AC75,0)</f>
        <v>0</v>
      </c>
      <c r="O760" s="276">
        <f>ROUND(AC73,0)</f>
        <v>0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0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904*2017*7190*A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904*2017*7200*A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0</v>
      </c>
      <c r="H762" s="276">
        <f>ROUND(AE65,0)</f>
        <v>0</v>
      </c>
      <c r="I762" s="276">
        <f>ROUND(AE66,0)</f>
        <v>0</v>
      </c>
      <c r="J762" s="276">
        <f>ROUND(AE67,0)</f>
        <v>0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0</v>
      </c>
      <c r="O762" s="276">
        <f>ROUND(AE73,0)</f>
        <v>0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0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904*2017*7220*A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904*2017*7230*A</v>
      </c>
      <c r="B764" s="276">
        <f>ROUND(AG59,0)</f>
        <v>0</v>
      </c>
      <c r="C764" s="278">
        <f>ROUND(AG60,2)</f>
        <v>0</v>
      </c>
      <c r="D764" s="276">
        <f>ROUND(AG61,0)</f>
        <v>0</v>
      </c>
      <c r="E764" s="276">
        <f>ROUND(AG62,0)</f>
        <v>0</v>
      </c>
      <c r="F764" s="276">
        <f>ROUND(AG63,0)</f>
        <v>0</v>
      </c>
      <c r="G764" s="276">
        <f>ROUND(AG64,0)</f>
        <v>0</v>
      </c>
      <c r="H764" s="276">
        <f>ROUND(AG65,0)</f>
        <v>0</v>
      </c>
      <c r="I764" s="276">
        <f>ROUND(AG66,0)</f>
        <v>6263</v>
      </c>
      <c r="J764" s="276">
        <f>ROUND(AG67,0)</f>
        <v>0</v>
      </c>
      <c r="K764" s="276">
        <f>ROUND(AG68,0)</f>
        <v>0</v>
      </c>
      <c r="L764" s="276">
        <f>ROUND(AG69,0)</f>
        <v>0</v>
      </c>
      <c r="M764" s="276">
        <f>ROUND(AG70,0)</f>
        <v>0</v>
      </c>
      <c r="N764" s="276">
        <f>ROUND(AG75,0)</f>
        <v>0</v>
      </c>
      <c r="O764" s="276">
        <f>ROUND(AG73,0)</f>
        <v>0</v>
      </c>
      <c r="P764" s="276">
        <f>IF(AG76&gt;0,ROUND(AG76,0),0)</f>
        <v>0</v>
      </c>
      <c r="Q764" s="276">
        <f>IF(AG77&gt;0,ROUND(AG77,0),0)</f>
        <v>0</v>
      </c>
      <c r="R764" s="276">
        <f>IF(AG78&gt;0,ROUND(AG78,0),0)</f>
        <v>0</v>
      </c>
      <c r="S764" s="276">
        <f>IF(AG79&gt;0,ROUND(AG79,0),0)</f>
        <v>0</v>
      </c>
      <c r="T764" s="278">
        <f>IF(AG80&gt;0,ROUND(AG80,2),0)</f>
        <v>0</v>
      </c>
      <c r="U764" s="276"/>
      <c r="V764" s="277"/>
      <c r="W764" s="276"/>
      <c r="X764" s="276"/>
      <c r="Y764" s="276">
        <f t="shared" si="21"/>
        <v>539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904*2017*7240*A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904*2017*7250*A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904*2017*7260*A</v>
      </c>
      <c r="B767" s="276">
        <f>ROUND(AJ59,0)</f>
        <v>0</v>
      </c>
      <c r="C767" s="278">
        <f>ROUND(AJ60,2)</f>
        <v>0</v>
      </c>
      <c r="D767" s="276">
        <f>ROUND(AJ61,0)</f>
        <v>0</v>
      </c>
      <c r="E767" s="276">
        <f>ROUND(AJ62,0)</f>
        <v>0</v>
      </c>
      <c r="F767" s="276">
        <f>ROUND(AJ63,0)</f>
        <v>0</v>
      </c>
      <c r="G767" s="276">
        <f>ROUND(AJ64,0)</f>
        <v>0</v>
      </c>
      <c r="H767" s="276">
        <f>ROUND(AJ65,0)</f>
        <v>0</v>
      </c>
      <c r="I767" s="276">
        <f>ROUND(AJ66,0)</f>
        <v>0</v>
      </c>
      <c r="J767" s="276">
        <f>ROUND(AJ67,0)</f>
        <v>0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0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0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904*2017*7310*A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904*2017*7320*A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904*2017*7330*A</v>
      </c>
      <c r="B770" s="276">
        <f>ROUND(AM59,0)</f>
        <v>0</v>
      </c>
      <c r="C770" s="278">
        <f>ROUND(AM60,2)</f>
        <v>3.01</v>
      </c>
      <c r="D770" s="276">
        <f>ROUND(AM61,0)</f>
        <v>173902</v>
      </c>
      <c r="E770" s="276">
        <f>ROUND(AM62,0)</f>
        <v>33706</v>
      </c>
      <c r="F770" s="276">
        <f>ROUND(AM63,0)</f>
        <v>0</v>
      </c>
      <c r="G770" s="276">
        <f>ROUND(AM64,0)</f>
        <v>11469</v>
      </c>
      <c r="H770" s="276">
        <f>ROUND(AM65,0)</f>
        <v>0</v>
      </c>
      <c r="I770" s="276">
        <f>ROUND(AM66,0)</f>
        <v>72282</v>
      </c>
      <c r="J770" s="276">
        <f>ROUND(AM67,0)</f>
        <v>0</v>
      </c>
      <c r="K770" s="276">
        <f>ROUND(AM68,0)</f>
        <v>0</v>
      </c>
      <c r="L770" s="276">
        <f>ROUND(AM69,0)</f>
        <v>508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31329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904*2017*7340*A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904*2017*7350*A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904*2017*7380*A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904*2017*7390*A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904*2017*7400*A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904*2017*7410*A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904*2017*7420*A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904*2017*7430*A</v>
      </c>
      <c r="B778" s="276">
        <f>ROUND(AU59,0)</f>
        <v>4972</v>
      </c>
      <c r="C778" s="278">
        <f>ROUND(AU60,2)</f>
        <v>6.66</v>
      </c>
      <c r="D778" s="276">
        <f>ROUND(AU61,0)</f>
        <v>466630</v>
      </c>
      <c r="E778" s="276">
        <f>ROUND(AU62,0)</f>
        <v>90443</v>
      </c>
      <c r="F778" s="276">
        <f>ROUND(AU63,0)</f>
        <v>19400</v>
      </c>
      <c r="G778" s="276">
        <f>ROUND(AU64,0)</f>
        <v>5733</v>
      </c>
      <c r="H778" s="276">
        <f>ROUND(AU65,0)</f>
        <v>12940</v>
      </c>
      <c r="I778" s="276">
        <f>ROUND(AU66,0)</f>
        <v>5165</v>
      </c>
      <c r="J778" s="276">
        <f>ROUND(AU67,0)</f>
        <v>0</v>
      </c>
      <c r="K778" s="276">
        <f>ROUND(AU68,0)</f>
        <v>59811</v>
      </c>
      <c r="L778" s="276">
        <f>ROUND(AU69,0)</f>
        <v>1238</v>
      </c>
      <c r="M778" s="276">
        <f>ROUND(AU70,0)</f>
        <v>0</v>
      </c>
      <c r="N778" s="276">
        <f>ROUND(AU75,0)</f>
        <v>2975320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4972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1</v>
      </c>
      <c r="U778" s="276"/>
      <c r="V778" s="277"/>
      <c r="W778" s="276"/>
      <c r="X778" s="276"/>
      <c r="Y778" s="276">
        <f t="shared" si="21"/>
        <v>529352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904*2017*7490*A</v>
      </c>
      <c r="B779" s="276"/>
      <c r="C779" s="278">
        <f>ROUND(AV60,2)</f>
        <v>6.05</v>
      </c>
      <c r="D779" s="276">
        <f>ROUND(AV61,0)</f>
        <v>613227</v>
      </c>
      <c r="E779" s="276">
        <f>ROUND(AV62,0)</f>
        <v>118856</v>
      </c>
      <c r="F779" s="276">
        <f>ROUND(AV63,0)</f>
        <v>0</v>
      </c>
      <c r="G779" s="276">
        <f>ROUND(AV64,0)</f>
        <v>165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18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73534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904*2017*8200*A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904*2017*8310*A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904*2017*8320*A</v>
      </c>
      <c r="B782" s="276">
        <f>ROUND(AY59,0)</f>
        <v>144322</v>
      </c>
      <c r="C782" s="278">
        <f>ROUND(AY60,2)</f>
        <v>8.6300000000000008</v>
      </c>
      <c r="D782" s="276">
        <f>ROUND(AY61,0)</f>
        <v>377553</v>
      </c>
      <c r="E782" s="276">
        <f>ROUND(AY62,0)</f>
        <v>73178</v>
      </c>
      <c r="F782" s="276">
        <f>ROUND(AY63,0)</f>
        <v>0</v>
      </c>
      <c r="G782" s="276">
        <f>ROUND(AY64,0)</f>
        <v>865520</v>
      </c>
      <c r="H782" s="276">
        <f>ROUND(AY65,0)</f>
        <v>0</v>
      </c>
      <c r="I782" s="276">
        <f>ROUND(AY66,0)</f>
        <v>9033</v>
      </c>
      <c r="J782" s="276">
        <f>ROUND(AY67,0)</f>
        <v>77412</v>
      </c>
      <c r="K782" s="276">
        <f>ROUND(AY68,0)</f>
        <v>0</v>
      </c>
      <c r="L782" s="276">
        <f>ROUND(AY69,0)</f>
        <v>6460</v>
      </c>
      <c r="M782" s="276">
        <f>ROUND(AY70,0)</f>
        <v>0</v>
      </c>
      <c r="N782" s="276"/>
      <c r="O782" s="276"/>
      <c r="P782" s="276">
        <f>IF(AY76&gt;0,ROUND(AY76,0),0)</f>
        <v>3916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904*2017*8330*A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30354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1536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904*2017*8350*A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2041</v>
      </c>
      <c r="H784" s="276">
        <f>ROUND(BA65,0)</f>
        <v>0</v>
      </c>
      <c r="I784" s="276">
        <f>ROUND(BA66,0)</f>
        <v>132131</v>
      </c>
      <c r="J784" s="276">
        <f>ROUND(BA67,0)</f>
        <v>10121</v>
      </c>
      <c r="K784" s="276">
        <f>ROUND(BA68,0)</f>
        <v>0</v>
      </c>
      <c r="L784" s="276">
        <f>ROUND(BA69,0)</f>
        <v>20</v>
      </c>
      <c r="M784" s="276">
        <f>ROUND(BA70,0)</f>
        <v>0</v>
      </c>
      <c r="N784" s="276"/>
      <c r="O784" s="276"/>
      <c r="P784" s="276">
        <f>IF(BA76&gt;0,ROUND(BA76,0),0)</f>
        <v>512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904*2017*8360*A</v>
      </c>
      <c r="B785" s="276"/>
      <c r="C785" s="278">
        <f>ROUND(BB60,2)</f>
        <v>17.96</v>
      </c>
      <c r="D785" s="276">
        <f>ROUND(BB61,0)</f>
        <v>1057065</v>
      </c>
      <c r="E785" s="276">
        <f>ROUND(BB62,0)</f>
        <v>204881</v>
      </c>
      <c r="F785" s="276">
        <f>ROUND(BB63,0)</f>
        <v>0</v>
      </c>
      <c r="G785" s="276">
        <f>ROUND(BB64,0)</f>
        <v>1511</v>
      </c>
      <c r="H785" s="276">
        <f>ROUND(BB65,0)</f>
        <v>0</v>
      </c>
      <c r="I785" s="276">
        <f>ROUND(BB66,0)</f>
        <v>90290</v>
      </c>
      <c r="J785" s="276">
        <f>ROUND(BB67,0)</f>
        <v>0</v>
      </c>
      <c r="K785" s="276">
        <f>ROUND(BB68,0)</f>
        <v>0</v>
      </c>
      <c r="L785" s="276">
        <f>ROUND(BB69,0)</f>
        <v>190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904*2017*8370*A</v>
      </c>
      <c r="B786" s="276"/>
      <c r="C786" s="278">
        <f>ROUND(BC60,2)</f>
        <v>0.54</v>
      </c>
      <c r="D786" s="276">
        <f>ROUND(BC61,0)</f>
        <v>18934</v>
      </c>
      <c r="E786" s="276">
        <f>ROUND(BC62,0)</f>
        <v>3670</v>
      </c>
      <c r="F786" s="276">
        <f>ROUND(BC63,0)</f>
        <v>0</v>
      </c>
      <c r="G786" s="276">
        <f>ROUND(BC64,0)</f>
        <v>45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51172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904*2017*8420*A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132645</v>
      </c>
      <c r="H787" s="276">
        <f>ROUND(BD65,0)</f>
        <v>0</v>
      </c>
      <c r="I787" s="276">
        <f>ROUND(BD66,0)</f>
        <v>0</v>
      </c>
      <c r="J787" s="276">
        <f>ROUND(BD67,0)</f>
        <v>0</v>
      </c>
      <c r="K787" s="276">
        <f>ROUND(BD68,0)</f>
        <v>0</v>
      </c>
      <c r="L787" s="276">
        <f>ROUND(BD69,0)</f>
        <v>3819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904*2017*8430*A</v>
      </c>
      <c r="B788" s="276">
        <f>ROUND(BE59,0)</f>
        <v>77201</v>
      </c>
      <c r="C788" s="278">
        <f>ROUND(BE60,2)</f>
        <v>4.3600000000000003</v>
      </c>
      <c r="D788" s="276">
        <f>ROUND(BE61,0)</f>
        <v>243038</v>
      </c>
      <c r="E788" s="276">
        <f>ROUND(BE62,0)</f>
        <v>47106</v>
      </c>
      <c r="F788" s="276">
        <f>ROUND(BE63,0)</f>
        <v>0</v>
      </c>
      <c r="G788" s="276">
        <f>ROUND(BE64,0)</f>
        <v>48816</v>
      </c>
      <c r="H788" s="276">
        <f>ROUND(BE65,0)</f>
        <v>277386</v>
      </c>
      <c r="I788" s="276">
        <f>ROUND(BE66,0)</f>
        <v>57211</v>
      </c>
      <c r="J788" s="276">
        <f>ROUND(BE67,0)</f>
        <v>0</v>
      </c>
      <c r="K788" s="276">
        <f>ROUND(BE68,0)</f>
        <v>39475</v>
      </c>
      <c r="L788" s="276">
        <f>ROUND(BE69,0)</f>
        <v>394743</v>
      </c>
      <c r="M788" s="276">
        <f>ROUND(BE70,0)</f>
        <v>0</v>
      </c>
      <c r="N788" s="276"/>
      <c r="O788" s="276"/>
      <c r="P788" s="276">
        <f>IF(BE76&gt;0,ROUND(BE76,0),0)</f>
        <v>0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904*2017*8460*A</v>
      </c>
      <c r="B789" s="276"/>
      <c r="C789" s="278">
        <f>ROUND(BF60,2)</f>
        <v>7.98</v>
      </c>
      <c r="D789" s="276">
        <f>ROUND(BF61,0)</f>
        <v>224342</v>
      </c>
      <c r="E789" s="276">
        <f>ROUND(BF62,0)</f>
        <v>43482</v>
      </c>
      <c r="F789" s="276">
        <f>ROUND(BF63,0)</f>
        <v>0</v>
      </c>
      <c r="G789" s="276">
        <f>ROUND(BF64,0)</f>
        <v>68660</v>
      </c>
      <c r="H789" s="276">
        <f>ROUND(BF65,0)</f>
        <v>0</v>
      </c>
      <c r="I789" s="276">
        <f>ROUND(BF66,0)</f>
        <v>129874</v>
      </c>
      <c r="J789" s="276">
        <f>ROUND(BF67,0)</f>
        <v>0</v>
      </c>
      <c r="K789" s="276">
        <f>ROUND(BF68,0)</f>
        <v>0</v>
      </c>
      <c r="L789" s="276">
        <f>ROUND(BF69,0)</f>
        <v>522</v>
      </c>
      <c r="M789" s="276">
        <f>ROUND(BF70,0)</f>
        <v>0</v>
      </c>
      <c r="N789" s="276"/>
      <c r="O789" s="276"/>
      <c r="P789" s="276">
        <f>IF(BF76&gt;0,ROUND(BF76,0),0)</f>
        <v>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904*2017*8470*A</v>
      </c>
      <c r="B790" s="276"/>
      <c r="C790" s="278">
        <f>ROUND(BG60,2)</f>
        <v>4.71</v>
      </c>
      <c r="D790" s="276">
        <f>ROUND(BG61,0)</f>
        <v>196972</v>
      </c>
      <c r="E790" s="276">
        <f>ROUND(BG62,0)</f>
        <v>38177</v>
      </c>
      <c r="F790" s="276">
        <f>ROUND(BG63,0)</f>
        <v>0</v>
      </c>
      <c r="G790" s="276">
        <f>ROUND(BG64,0)</f>
        <v>4663</v>
      </c>
      <c r="H790" s="276">
        <f>ROUND(BG65,0)</f>
        <v>151590</v>
      </c>
      <c r="I790" s="276">
        <f>ROUND(BG66,0)</f>
        <v>290</v>
      </c>
      <c r="J790" s="276">
        <f>ROUND(BG67,0)</f>
        <v>0</v>
      </c>
      <c r="K790" s="276">
        <f>ROUND(BG68,0)</f>
        <v>0</v>
      </c>
      <c r="L790" s="276">
        <f>ROUND(BG69,0)</f>
        <v>738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904*2017*8480*A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904*2017*8490*A</v>
      </c>
      <c r="B792" s="276"/>
      <c r="C792" s="278">
        <f>ROUND(BI60,2)</f>
        <v>74.39</v>
      </c>
      <c r="D792" s="276">
        <f>ROUND(BI61,0)</f>
        <v>3388395</v>
      </c>
      <c r="E792" s="276">
        <f>ROUND(BI62,0)</f>
        <v>656742</v>
      </c>
      <c r="F792" s="276">
        <f>ROUND(BI63,0)</f>
        <v>25362</v>
      </c>
      <c r="G792" s="276">
        <f>ROUND(BI64,0)</f>
        <v>161797</v>
      </c>
      <c r="H792" s="276">
        <f>ROUND(BI65,0)</f>
        <v>100843</v>
      </c>
      <c r="I792" s="276">
        <f>ROUND(BI66,0)</f>
        <v>254926</v>
      </c>
      <c r="J792" s="276">
        <f>ROUND(BI67,0)</f>
        <v>0</v>
      </c>
      <c r="K792" s="276">
        <f>ROUND(BI68,0)</f>
        <v>652171</v>
      </c>
      <c r="L792" s="276">
        <f>ROUND(BI69,0)</f>
        <v>289402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904*2017*8510*A</v>
      </c>
      <c r="B793" s="276"/>
      <c r="C793" s="278">
        <f>ROUND(BJ60,2)</f>
        <v>2.48</v>
      </c>
      <c r="D793" s="276">
        <f>ROUND(BJ61,0)</f>
        <v>252164</v>
      </c>
      <c r="E793" s="276">
        <f>ROUND(BJ62,0)</f>
        <v>48875</v>
      </c>
      <c r="F793" s="276">
        <f>ROUND(BJ63,0)</f>
        <v>0</v>
      </c>
      <c r="G793" s="276">
        <f>ROUND(BJ64,0)</f>
        <v>2608</v>
      </c>
      <c r="H793" s="276">
        <f>ROUND(BJ65,0)</f>
        <v>0</v>
      </c>
      <c r="I793" s="276">
        <f>ROUND(BJ66,0)</f>
        <v>53482</v>
      </c>
      <c r="J793" s="276">
        <f>ROUND(BJ67,0)</f>
        <v>0</v>
      </c>
      <c r="K793" s="276">
        <f>ROUND(BJ68,0)</f>
        <v>0</v>
      </c>
      <c r="L793" s="276">
        <f>ROUND(BJ69,0)</f>
        <v>270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904*2017*8530*A</v>
      </c>
      <c r="B794" s="276"/>
      <c r="C794" s="278">
        <f>ROUND(BK60,2)</f>
        <v>5.0599999999999996</v>
      </c>
      <c r="D794" s="276">
        <f>ROUND(BK61,0)</f>
        <v>329377</v>
      </c>
      <c r="E794" s="276">
        <f>ROUND(BK62,0)</f>
        <v>63840</v>
      </c>
      <c r="F794" s="276">
        <f>ROUND(BK63,0)</f>
        <v>0</v>
      </c>
      <c r="G794" s="276">
        <f>ROUND(BK64,0)</f>
        <v>10255</v>
      </c>
      <c r="H794" s="276">
        <f>ROUND(BK65,0)</f>
        <v>0</v>
      </c>
      <c r="I794" s="276">
        <f>ROUND(BK66,0)</f>
        <v>38575</v>
      </c>
      <c r="J794" s="276">
        <f>ROUND(BK67,0)</f>
        <v>0</v>
      </c>
      <c r="K794" s="276">
        <f>ROUND(BK68,0)</f>
        <v>5985</v>
      </c>
      <c r="L794" s="276">
        <f>ROUND(BK69,0)</f>
        <v>2390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904*2017*8560*A</v>
      </c>
      <c r="B795" s="276"/>
      <c r="C795" s="278">
        <f>ROUND(BL60,2)</f>
        <v>18.149999999999999</v>
      </c>
      <c r="D795" s="276">
        <f>ROUND(BL61,0)</f>
        <v>1192777</v>
      </c>
      <c r="E795" s="276">
        <f>ROUND(BL62,0)</f>
        <v>231185</v>
      </c>
      <c r="F795" s="276">
        <f>ROUND(BL63,0)</f>
        <v>0</v>
      </c>
      <c r="G795" s="276">
        <f>ROUND(BL64,0)</f>
        <v>4728</v>
      </c>
      <c r="H795" s="276">
        <f>ROUND(BL65,0)</f>
        <v>0</v>
      </c>
      <c r="I795" s="276">
        <f>ROUND(BL66,0)</f>
        <v>286</v>
      </c>
      <c r="J795" s="276">
        <f>ROUND(BL67,0)</f>
        <v>0</v>
      </c>
      <c r="K795" s="276">
        <f>ROUND(BL68,0)</f>
        <v>0</v>
      </c>
      <c r="L795" s="276">
        <f>ROUND(BL69,0)</f>
        <v>12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904*2017*8590*A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904*2017*8610*A</v>
      </c>
      <c r="B797" s="276"/>
      <c r="C797" s="278">
        <f>ROUND(BN60,2)</f>
        <v>3.14</v>
      </c>
      <c r="D797" s="276">
        <f>ROUND(BN61,0)</f>
        <v>457159</v>
      </c>
      <c r="E797" s="276">
        <f>ROUND(BN62,0)</f>
        <v>88607</v>
      </c>
      <c r="F797" s="276">
        <f>ROUND(BN63,0)</f>
        <v>0</v>
      </c>
      <c r="G797" s="276">
        <f>ROUND(BN64,0)</f>
        <v>30986</v>
      </c>
      <c r="H797" s="276">
        <f>ROUND(BN65,0)</f>
        <v>0</v>
      </c>
      <c r="I797" s="276">
        <f>ROUND(BN66,0)</f>
        <v>17029</v>
      </c>
      <c r="J797" s="276">
        <f>ROUND(BN67,0)</f>
        <v>398775</v>
      </c>
      <c r="K797" s="276">
        <f>ROUND(BN68,0)</f>
        <v>72882</v>
      </c>
      <c r="L797" s="276">
        <f>ROUND(BN69,0)</f>
        <v>75600</v>
      </c>
      <c r="M797" s="276">
        <f>ROUND(BN70,0)</f>
        <v>0</v>
      </c>
      <c r="N797" s="276"/>
      <c r="O797" s="276"/>
      <c r="P797" s="276">
        <f>IF(BN76&gt;0,ROUND(BN76,0),0)</f>
        <v>20173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904*2017*8620*A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904*2017*8630*A</v>
      </c>
      <c r="B799" s="276"/>
      <c r="C799" s="278">
        <f>ROUND(BP60,2)</f>
        <v>2.71</v>
      </c>
      <c r="D799" s="276">
        <f>ROUND(BP61,0)</f>
        <v>200992</v>
      </c>
      <c r="E799" s="276">
        <f>ROUND(BP62,0)</f>
        <v>38956</v>
      </c>
      <c r="F799" s="276">
        <f>ROUND(BP63,0)</f>
        <v>0</v>
      </c>
      <c r="G799" s="276">
        <f>ROUND(BP64,0)</f>
        <v>13052</v>
      </c>
      <c r="H799" s="276">
        <f>ROUND(BP65,0)</f>
        <v>0</v>
      </c>
      <c r="I799" s="276">
        <f>ROUND(BP66,0)</f>
        <v>0</v>
      </c>
      <c r="J799" s="276">
        <f>ROUND(BP67,0)</f>
        <v>1898</v>
      </c>
      <c r="K799" s="276">
        <f>ROUND(BP68,0)</f>
        <v>0</v>
      </c>
      <c r="L799" s="276">
        <f>ROUND(BP69,0)</f>
        <v>16363</v>
      </c>
      <c r="M799" s="276">
        <f>ROUND(BP70,0)</f>
        <v>0</v>
      </c>
      <c r="N799" s="276"/>
      <c r="O799" s="276"/>
      <c r="P799" s="276">
        <f>IF(BP76&gt;0,ROUND(BP76,0),0)</f>
        <v>96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904*2017*8640*A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904*2017*8650*A</v>
      </c>
      <c r="B801" s="276"/>
      <c r="C801" s="278">
        <f>ROUND(BR60,2)</f>
        <v>3.46</v>
      </c>
      <c r="D801" s="276">
        <f>ROUND(BR61,0)</f>
        <v>249649</v>
      </c>
      <c r="E801" s="276">
        <f>ROUND(BR62,0)</f>
        <v>48387</v>
      </c>
      <c r="F801" s="276">
        <f>ROUND(BR63,0)</f>
        <v>0</v>
      </c>
      <c r="G801" s="276">
        <f>ROUND(BR64,0)</f>
        <v>41232</v>
      </c>
      <c r="H801" s="276">
        <f>ROUND(BR65,0)</f>
        <v>0</v>
      </c>
      <c r="I801" s="276">
        <f>ROUND(BR66,0)</f>
        <v>60177</v>
      </c>
      <c r="J801" s="276">
        <f>ROUND(BR67,0)</f>
        <v>3815</v>
      </c>
      <c r="K801" s="276">
        <f>ROUND(BR68,0)</f>
        <v>958</v>
      </c>
      <c r="L801" s="276">
        <f>ROUND(BR69,0)</f>
        <v>2387</v>
      </c>
      <c r="M801" s="276">
        <f>ROUND(BR70,0)</f>
        <v>0</v>
      </c>
      <c r="N801" s="276"/>
      <c r="O801" s="276"/>
      <c r="P801" s="276">
        <f>IF(BR76&gt;0,ROUND(BR76,0),0)</f>
        <v>193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904*2017*8660*A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904*2017*8670*A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904*2017*8680*A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904*2017*8690*A</v>
      </c>
      <c r="B805" s="276"/>
      <c r="C805" s="278">
        <f>ROUND(BV60,2)</f>
        <v>6.79</v>
      </c>
      <c r="D805" s="276">
        <f>ROUND(BV61,0)</f>
        <v>205169</v>
      </c>
      <c r="E805" s="276">
        <f>ROUND(BV62,0)</f>
        <v>39766</v>
      </c>
      <c r="F805" s="276">
        <f>ROUND(BV63,0)</f>
        <v>0</v>
      </c>
      <c r="G805" s="276">
        <f>ROUND(BV64,0)</f>
        <v>43768</v>
      </c>
      <c r="H805" s="276">
        <f>ROUND(BV65,0)</f>
        <v>0</v>
      </c>
      <c r="I805" s="276">
        <f>ROUND(BV66,0)</f>
        <v>157624</v>
      </c>
      <c r="J805" s="276">
        <f>ROUND(BV67,0)</f>
        <v>11070</v>
      </c>
      <c r="K805" s="276">
        <f>ROUND(BV68,0)</f>
        <v>396</v>
      </c>
      <c r="L805" s="276">
        <f>ROUND(BV69,0)</f>
        <v>2591</v>
      </c>
      <c r="M805" s="276">
        <f>ROUND(BV70,0)</f>
        <v>0</v>
      </c>
      <c r="N805" s="276"/>
      <c r="O805" s="276"/>
      <c r="P805" s="276">
        <f>IF(BV76&gt;0,ROUND(BV76,0),0)</f>
        <v>560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904*2017*8700*A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5975980</v>
      </c>
      <c r="G806" s="276">
        <f>ROUND(BW64,0)</f>
        <v>6702</v>
      </c>
      <c r="H806" s="276">
        <f>ROUND(BW65,0)</f>
        <v>0</v>
      </c>
      <c r="I806" s="276">
        <f>ROUND(BW66,0)</f>
        <v>242205</v>
      </c>
      <c r="J806" s="276">
        <f>ROUND(BW67,0)</f>
        <v>13284</v>
      </c>
      <c r="K806" s="276">
        <f>ROUND(BW68,0)</f>
        <v>0</v>
      </c>
      <c r="L806" s="276">
        <f>ROUND(BW69,0)</f>
        <v>19544</v>
      </c>
      <c r="M806" s="276">
        <f>ROUND(BW70,0)</f>
        <v>0</v>
      </c>
      <c r="N806" s="276"/>
      <c r="O806" s="276"/>
      <c r="P806" s="276">
        <f>IF(BW76&gt;0,ROUND(BW76,0),0)</f>
        <v>672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904*2017*8710*A</v>
      </c>
      <c r="B807" s="276"/>
      <c r="C807" s="278">
        <f>ROUND(BX60,2)</f>
        <v>6.17</v>
      </c>
      <c r="D807" s="276">
        <f>ROUND(BX61,0)</f>
        <v>491030</v>
      </c>
      <c r="E807" s="276">
        <f>ROUND(BX62,0)</f>
        <v>95172</v>
      </c>
      <c r="F807" s="276">
        <f>ROUND(BX63,0)</f>
        <v>0</v>
      </c>
      <c r="G807" s="276">
        <f>ROUND(BX64,0)</f>
        <v>6149</v>
      </c>
      <c r="H807" s="276">
        <f>ROUND(BX65,0)</f>
        <v>0</v>
      </c>
      <c r="I807" s="276">
        <f>ROUND(BX66,0)</f>
        <v>507</v>
      </c>
      <c r="J807" s="276">
        <f>ROUND(BX67,0)</f>
        <v>0</v>
      </c>
      <c r="K807" s="276">
        <f>ROUND(BX68,0)</f>
        <v>0</v>
      </c>
      <c r="L807" s="276">
        <f>ROUND(BX69,0)</f>
        <v>755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904*2017*8720*A</v>
      </c>
      <c r="B808" s="276"/>
      <c r="C808" s="278">
        <f>ROUND(BY60,2)</f>
        <v>14.48</v>
      </c>
      <c r="D808" s="276">
        <f>ROUND(BY61,0)</f>
        <v>1419531</v>
      </c>
      <c r="E808" s="276">
        <f>ROUND(BY62,0)</f>
        <v>275135</v>
      </c>
      <c r="F808" s="276">
        <f>ROUND(BY63,0)</f>
        <v>0</v>
      </c>
      <c r="G808" s="276">
        <f>ROUND(BY64,0)</f>
        <v>17399</v>
      </c>
      <c r="H808" s="276">
        <f>ROUND(BY65,0)</f>
        <v>0</v>
      </c>
      <c r="I808" s="276">
        <f>ROUND(BY66,0)</f>
        <v>2482</v>
      </c>
      <c r="J808" s="276">
        <f>ROUND(BY67,0)</f>
        <v>1918</v>
      </c>
      <c r="K808" s="276">
        <f>ROUND(BY68,0)</f>
        <v>3901</v>
      </c>
      <c r="L808" s="276">
        <f>ROUND(BY69,0)</f>
        <v>33341</v>
      </c>
      <c r="M808" s="276">
        <f>ROUND(BY70,0)</f>
        <v>0</v>
      </c>
      <c r="N808" s="276"/>
      <c r="O808" s="276"/>
      <c r="P808" s="276">
        <f>IF(BY76&gt;0,ROUND(BY76,0),0)</f>
        <v>97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904*2017*8730*A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904*2017*8740*A</v>
      </c>
      <c r="B810" s="276"/>
      <c r="C810" s="278">
        <f>ROUND(CA60,2)</f>
        <v>14.17</v>
      </c>
      <c r="D810" s="276">
        <f>ROUND(CA61,0)</f>
        <v>765360</v>
      </c>
      <c r="E810" s="276">
        <f>ROUND(CA62,0)</f>
        <v>148343</v>
      </c>
      <c r="F810" s="276">
        <f>ROUND(CA63,0)</f>
        <v>0</v>
      </c>
      <c r="G810" s="276">
        <f>ROUND(CA64,0)</f>
        <v>4968</v>
      </c>
      <c r="H810" s="276">
        <f>ROUND(CA65,0)</f>
        <v>0</v>
      </c>
      <c r="I810" s="276">
        <f>ROUND(CA66,0)</f>
        <v>712</v>
      </c>
      <c r="J810" s="276">
        <f>ROUND(CA67,0)</f>
        <v>0</v>
      </c>
      <c r="K810" s="276">
        <f>ROUND(CA68,0)</f>
        <v>0</v>
      </c>
      <c r="L810" s="276">
        <f>ROUND(CA69,0)</f>
        <v>5845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904*2017*8770*A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904*2017*8790*A</v>
      </c>
      <c r="B812" s="276"/>
      <c r="C812" s="278">
        <f>ROUND(CC60,2)</f>
        <v>3.08</v>
      </c>
      <c r="D812" s="276">
        <f>ROUND(CC61,0)</f>
        <v>207963</v>
      </c>
      <c r="E812" s="276">
        <f>ROUND(CC62,0)</f>
        <v>40308</v>
      </c>
      <c r="F812" s="276">
        <f>ROUND(CC63,0)</f>
        <v>0</v>
      </c>
      <c r="G812" s="276">
        <f>ROUND(CC64,0)</f>
        <v>43592</v>
      </c>
      <c r="H812" s="276">
        <f>ROUND(CC65,0)</f>
        <v>0</v>
      </c>
      <c r="I812" s="276">
        <f>ROUND(CC66,0)</f>
        <v>92980</v>
      </c>
      <c r="J812" s="276">
        <f>ROUND(CC67,0)</f>
        <v>0</v>
      </c>
      <c r="K812" s="276">
        <f>ROUND(CC68,0)</f>
        <v>0</v>
      </c>
      <c r="L812" s="276">
        <f>ROUND(CC69,0)</f>
        <v>61501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904*2017*9000*A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14783285</v>
      </c>
      <c r="V813" s="277">
        <f>ROUND(CD70,0)</f>
        <v>12764105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351.31</v>
      </c>
      <c r="D815" s="277">
        <f t="shared" si="22"/>
        <v>21389475</v>
      </c>
      <c r="E815" s="277">
        <f t="shared" si="22"/>
        <v>4145727</v>
      </c>
      <c r="F815" s="277">
        <f t="shared" si="22"/>
        <v>6188077</v>
      </c>
      <c r="G815" s="277">
        <f t="shared" si="22"/>
        <v>2002923</v>
      </c>
      <c r="H815" s="277">
        <f t="shared" si="22"/>
        <v>542759</v>
      </c>
      <c r="I815" s="277">
        <f t="shared" si="22"/>
        <v>3602427</v>
      </c>
      <c r="J815" s="277">
        <f t="shared" si="22"/>
        <v>1526128</v>
      </c>
      <c r="K815" s="277">
        <f t="shared" si="22"/>
        <v>835579</v>
      </c>
      <c r="L815" s="277">
        <f>SUM(L734:L813)+SUM(U734:U813)</f>
        <v>15820435</v>
      </c>
      <c r="M815" s="277">
        <f>SUM(M734:M813)+SUM(V734:V813)</f>
        <v>12764105</v>
      </c>
      <c r="N815" s="277">
        <f t="shared" ref="N815:Y815" si="23">SUM(N734:N813)</f>
        <v>145459527</v>
      </c>
      <c r="O815" s="277">
        <f t="shared" si="23"/>
        <v>139508887</v>
      </c>
      <c r="P815" s="277">
        <f t="shared" si="23"/>
        <v>77202</v>
      </c>
      <c r="Q815" s="277">
        <f t="shared" si="23"/>
        <v>144322</v>
      </c>
      <c r="R815" s="277">
        <f t="shared" si="23"/>
        <v>16640</v>
      </c>
      <c r="S815" s="277">
        <f t="shared" si="23"/>
        <v>191793</v>
      </c>
      <c r="T815" s="281">
        <f t="shared" si="23"/>
        <v>86.4</v>
      </c>
      <c r="U815" s="277">
        <f t="shared" si="23"/>
        <v>14783285</v>
      </c>
      <c r="V815" s="277">
        <f t="shared" si="23"/>
        <v>12764105</v>
      </c>
      <c r="W815" s="277">
        <f t="shared" si="23"/>
        <v>0</v>
      </c>
      <c r="X815" s="277">
        <f t="shared" si="23"/>
        <v>0</v>
      </c>
      <c r="Y815" s="277">
        <f t="shared" si="23"/>
        <v>27156654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351.31</v>
      </c>
      <c r="D816" s="277">
        <f>CE61</f>
        <v>21389475.390000001</v>
      </c>
      <c r="E816" s="277">
        <f>CE62</f>
        <v>4145727</v>
      </c>
      <c r="F816" s="277">
        <f>CE63</f>
        <v>6188077</v>
      </c>
      <c r="G816" s="277">
        <f>CE64</f>
        <v>2002925.25</v>
      </c>
      <c r="H816" s="280">
        <f>CE65</f>
        <v>542758.30000000005</v>
      </c>
      <c r="I816" s="280">
        <f>CE66</f>
        <v>3602426.75</v>
      </c>
      <c r="J816" s="280">
        <f>CE67</f>
        <v>1526128</v>
      </c>
      <c r="K816" s="280">
        <f>CE68</f>
        <v>835578.5</v>
      </c>
      <c r="L816" s="280">
        <f>CE69</f>
        <v>15820434.83</v>
      </c>
      <c r="M816" s="280">
        <f>CE70</f>
        <v>12764105</v>
      </c>
      <c r="N816" s="277">
        <f>CE75</f>
        <v>145459527</v>
      </c>
      <c r="O816" s="277">
        <f>CE73</f>
        <v>139508887</v>
      </c>
      <c r="P816" s="277">
        <f>CE76</f>
        <v>77201</v>
      </c>
      <c r="Q816" s="277">
        <f>CE77</f>
        <v>144322</v>
      </c>
      <c r="R816" s="277">
        <f>CE78</f>
        <v>16640</v>
      </c>
      <c r="S816" s="277">
        <f>CE79</f>
        <v>191793</v>
      </c>
      <c r="T816" s="281">
        <f>CE80</f>
        <v>86.4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27156653.43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21389477</v>
      </c>
      <c r="E817" s="180">
        <f>C379</f>
        <v>4145726</v>
      </c>
      <c r="F817" s="180">
        <f>C380</f>
        <v>6168075</v>
      </c>
      <c r="G817" s="240">
        <f>C381</f>
        <v>2002923</v>
      </c>
      <c r="H817" s="240">
        <f>C382</f>
        <v>542758</v>
      </c>
      <c r="I817" s="240">
        <f>C383</f>
        <v>1990922</v>
      </c>
      <c r="J817" s="240">
        <f>C384</f>
        <v>1526129</v>
      </c>
      <c r="K817" s="240">
        <f>C385</f>
        <v>835577</v>
      </c>
      <c r="L817" s="240">
        <f>C386+C387+C388+C389</f>
        <v>17452244</v>
      </c>
      <c r="M817" s="240">
        <f>C370</f>
        <v>12764105</v>
      </c>
      <c r="N817" s="180">
        <f>D361</f>
        <v>142289257</v>
      </c>
      <c r="O817" s="180">
        <f>C359</f>
        <v>139313937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topLeftCell="A16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BHC Fairfax Hospital Inc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H-904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10200 NE 132nd St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10200 NE 132nd St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Kirkland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H-904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BHC Fairfax Hospital Inc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Rebecca Shauinger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Heather Tuck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425-821-2000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425-284-6090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 xml:space="preserve"> X</v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3370</v>
      </c>
      <c r="G23" s="21">
        <f>data!D111</f>
        <v>44419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726</v>
      </c>
      <c r="G25" s="21">
        <f>data!D113</f>
        <v>4727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12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157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145</v>
      </c>
      <c r="E36" s="49" t="s">
        <v>292</v>
      </c>
      <c r="F36" s="24"/>
      <c r="G36" s="21">
        <f>data!C128</f>
        <v>157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B7" sqref="B7:B8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BHC Fairfax Hospital Inc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744</v>
      </c>
      <c r="C7" s="48">
        <f>data!B139</f>
        <v>11690</v>
      </c>
      <c r="D7" s="48">
        <f>data!B140</f>
        <v>331</v>
      </c>
      <c r="E7" s="48">
        <f>data!B141</f>
        <v>32726400</v>
      </c>
      <c r="F7" s="48">
        <f>data!B142</f>
        <v>186750</v>
      </c>
      <c r="G7" s="48">
        <f>data!B141+data!B142</f>
        <v>32913150</v>
      </c>
    </row>
    <row r="8" spans="1:13" ht="20.100000000000001" customHeight="1" x14ac:dyDescent="0.25">
      <c r="A8" s="23" t="s">
        <v>297</v>
      </c>
      <c r="B8" s="48">
        <f>data!C138</f>
        <v>1778</v>
      </c>
      <c r="C8" s="48">
        <f>data!C139</f>
        <v>24188</v>
      </c>
      <c r="D8" s="48">
        <f>data!C140</f>
        <v>3</v>
      </c>
      <c r="E8" s="48">
        <f>data!C141</f>
        <v>67720800</v>
      </c>
      <c r="F8" s="48">
        <f>data!C142</f>
        <v>1800</v>
      </c>
      <c r="G8" s="48">
        <f>data!C141+data!C142</f>
        <v>67722600</v>
      </c>
    </row>
    <row r="9" spans="1:13" ht="20.100000000000001" customHeight="1" x14ac:dyDescent="0.25">
      <c r="A9" s="23" t="s">
        <v>1058</v>
      </c>
      <c r="B9" s="48">
        <f>data!D138</f>
        <v>1574</v>
      </c>
      <c r="C9" s="48">
        <f>data!D139</f>
        <v>13271</v>
      </c>
      <c r="D9" s="48">
        <f>data!D140</f>
        <v>4289</v>
      </c>
      <c r="E9" s="48">
        <f>data!D141</f>
        <v>47492698</v>
      </c>
      <c r="F9" s="48">
        <f>data!D142</f>
        <v>2542266</v>
      </c>
      <c r="G9" s="48">
        <f>data!D141+data!D142</f>
        <v>50034964</v>
      </c>
    </row>
    <row r="10" spans="1:13" ht="20.100000000000001" customHeight="1" x14ac:dyDescent="0.25">
      <c r="A10" s="111" t="s">
        <v>203</v>
      </c>
      <c r="B10" s="48">
        <f>data!E138</f>
        <v>4096</v>
      </c>
      <c r="C10" s="48">
        <f>data!E139</f>
        <v>49149</v>
      </c>
      <c r="D10" s="48">
        <f>data!E140</f>
        <v>4623</v>
      </c>
      <c r="E10" s="48">
        <f>data!E141</f>
        <v>147939898</v>
      </c>
      <c r="F10" s="48">
        <f>data!E142</f>
        <v>2730816</v>
      </c>
      <c r="G10" s="48">
        <f>data!E141+data!E142</f>
        <v>150670714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BHC Fairfax Hospital Inc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1674043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41331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478865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1613233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56322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276077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-236272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3903599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122629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49503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172132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249397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82633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332030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130845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971172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51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1102068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0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BHC Fairfax Hospital Inc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4313939.9000000004</v>
      </c>
      <c r="D7" s="21">
        <f>data!C195</f>
        <v>0</v>
      </c>
      <c r="E7" s="21">
        <f>data!D195</f>
        <v>0</v>
      </c>
      <c r="F7" s="21">
        <f>data!E195</f>
        <v>4313939.9000000004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2013648.1600000001</v>
      </c>
      <c r="D8" s="21">
        <f>data!C196</f>
        <v>10873.51</v>
      </c>
      <c r="E8" s="21">
        <f>data!D196</f>
        <v>0</v>
      </c>
      <c r="F8" s="21">
        <f>data!E196</f>
        <v>2024521.6700000002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843955.88</v>
      </c>
      <c r="D9" s="21">
        <f>data!C197</f>
        <v>132939.22</v>
      </c>
      <c r="E9" s="21">
        <f>data!D197</f>
        <v>0</v>
      </c>
      <c r="F9" s="21">
        <f>data!E197</f>
        <v>976895.1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19918109.91</v>
      </c>
      <c r="D10" s="21">
        <f>data!C198</f>
        <v>0</v>
      </c>
      <c r="E10" s="21">
        <f>data!D198</f>
        <v>0</v>
      </c>
      <c r="F10" s="21">
        <f>data!E198</f>
        <v>19918109.91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4207948.2999999989</v>
      </c>
      <c r="D12" s="21">
        <f>data!C200</f>
        <v>209550.91999999998</v>
      </c>
      <c r="E12" s="21">
        <f>data!D200</f>
        <v>0</v>
      </c>
      <c r="F12" s="21">
        <f>data!E200</f>
        <v>4417499.2199999988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389752</v>
      </c>
      <c r="D14" s="21">
        <f>data!C202</f>
        <v>0</v>
      </c>
      <c r="E14" s="21">
        <f>data!D202</f>
        <v>0</v>
      </c>
      <c r="F14" s="21">
        <f>data!E202</f>
        <v>389752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1198</v>
      </c>
      <c r="D15" s="21">
        <f>data!C203</f>
        <v>151761</v>
      </c>
      <c r="E15" s="21">
        <f>data!D203</f>
        <v>0</v>
      </c>
      <c r="F15" s="21">
        <f>data!E203</f>
        <v>152959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31688552.149999999</v>
      </c>
      <c r="D16" s="21">
        <f>data!C204</f>
        <v>505124.65</v>
      </c>
      <c r="E16" s="21">
        <f>data!D204</f>
        <v>0</v>
      </c>
      <c r="F16" s="21">
        <f>data!E204</f>
        <v>32193676.799999997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744881.57000000007</v>
      </c>
      <c r="D24" s="21">
        <f>data!C209</f>
        <v>113958.27999999997</v>
      </c>
      <c r="E24" s="21">
        <f>data!D209</f>
        <v>0</v>
      </c>
      <c r="F24" s="21">
        <f>data!E209</f>
        <v>858839.85000000009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223294.98999999996</v>
      </c>
      <c r="D25" s="21">
        <f>data!C210</f>
        <v>77233</v>
      </c>
      <c r="E25" s="21">
        <f>data!D210</f>
        <v>0</v>
      </c>
      <c r="F25" s="21">
        <f>data!E210</f>
        <v>300527.99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3177912.5399999996</v>
      </c>
      <c r="D26" s="21">
        <f>data!C211</f>
        <v>651703.16999999993</v>
      </c>
      <c r="E26" s="21">
        <f>data!D211</f>
        <v>0</v>
      </c>
      <c r="F26" s="21">
        <f>data!E211</f>
        <v>3829615.7099999995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2485362.81</v>
      </c>
      <c r="D28" s="21">
        <f>data!C213</f>
        <v>530581.91</v>
      </c>
      <c r="E28" s="21">
        <f>data!D213</f>
        <v>0</v>
      </c>
      <c r="F28" s="21">
        <f>data!E213</f>
        <v>3015944.72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126740.21999999999</v>
      </c>
      <c r="D30" s="21">
        <f>data!C215</f>
        <v>79122.299999999988</v>
      </c>
      <c r="E30" s="21">
        <f>data!D215</f>
        <v>0</v>
      </c>
      <c r="F30" s="21">
        <f>data!E215</f>
        <v>205862.51999999996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6758192.1299999999</v>
      </c>
      <c r="D32" s="21">
        <f>data!C217</f>
        <v>1452598.66</v>
      </c>
      <c r="E32" s="21">
        <f>data!D217</f>
        <v>0</v>
      </c>
      <c r="F32" s="21">
        <f>data!E217</f>
        <v>8210790.7899999991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BHC Fairfax Hospital Inc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287125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19294465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49298425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1560930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21114739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91268559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395160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36760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431920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10777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7428022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99426403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BHC Fairfax Hospital Inc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-306779.55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7616163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526421.6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104240.26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1498149.57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180545.82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178513.95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8744411.4500000011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4313939.9000000004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2024521.67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976895.1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19918109.91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4417499.2199999988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389752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152959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32193676.799999997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8210790.79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23982886.009999998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1113707.5900000001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1113707.5900000001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56670018.130000003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56670018.130000003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90511023.180000007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BHC Fairfax Hospital Inc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401749.2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2231257.98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247725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2880732.18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0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87630291.930000007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87630291.930000007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90511024.110000014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BHC Fairfax Hospital Inc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147939898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2730816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150670714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287125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91268559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431920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7438798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99426402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51244312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593419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593419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51837731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19600695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3903599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6233241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2130650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221236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1641387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1454177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172131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332030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1102017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0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14400342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51191505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646226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646226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646226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BHC Fairfax Hospital Inc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0</v>
      </c>
      <c r="F9" s="14">
        <f>data!F59</f>
        <v>0</v>
      </c>
      <c r="G9" s="14">
        <f>data!G59</f>
        <v>0</v>
      </c>
      <c r="H9" s="14">
        <f>data!H59</f>
        <v>49146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0</v>
      </c>
      <c r="H10" s="26">
        <f>data!H60</f>
        <v>136.58653846153845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0</v>
      </c>
      <c r="F11" s="14">
        <f>data!F61</f>
        <v>0</v>
      </c>
      <c r="G11" s="14">
        <f>data!G61</f>
        <v>0</v>
      </c>
      <c r="H11" s="14">
        <f>data!H61</f>
        <v>9565032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0</v>
      </c>
      <c r="H12" s="14">
        <f>data!H62</f>
        <v>1904941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87590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0</v>
      </c>
      <c r="F14" s="14">
        <f>data!F64</f>
        <v>0</v>
      </c>
      <c r="G14" s="14">
        <f>data!G64</f>
        <v>0</v>
      </c>
      <c r="H14" s="14">
        <f>data!H64</f>
        <v>11624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0</v>
      </c>
      <c r="H16" s="14">
        <f>data!H66</f>
        <v>86851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927177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11476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0</v>
      </c>
      <c r="F21" s="14">
        <f>data!F71</f>
        <v>0</v>
      </c>
      <c r="G21" s="14">
        <f>data!G71</f>
        <v>0</v>
      </c>
      <c r="H21" s="14">
        <f>data!H71</f>
        <v>12594691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0</v>
      </c>
      <c r="F23" s="48">
        <f>+data!M671</f>
        <v>0</v>
      </c>
      <c r="G23" s="48">
        <f>+data!M672</f>
        <v>0</v>
      </c>
      <c r="H23" s="48">
        <f>+data!M673</f>
        <v>33233336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0</v>
      </c>
      <c r="F24" s="14">
        <f>data!F73</f>
        <v>0</v>
      </c>
      <c r="G24" s="14">
        <f>data!G73</f>
        <v>0</v>
      </c>
      <c r="H24" s="14">
        <f>data!H73</f>
        <v>147896558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0</v>
      </c>
      <c r="F26" s="14">
        <f>data!F75</f>
        <v>0</v>
      </c>
      <c r="G26" s="14">
        <f>data!G75</f>
        <v>0</v>
      </c>
      <c r="H26" s="14">
        <f>data!H75</f>
        <v>147896558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0</v>
      </c>
      <c r="F28" s="14">
        <f>data!F76</f>
        <v>0</v>
      </c>
      <c r="G28" s="14">
        <f>data!G76</f>
        <v>0</v>
      </c>
      <c r="H28" s="14">
        <f>data!H76</f>
        <v>49223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147438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16640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182840.72727272726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136.59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BHC Fairfax Hospital Inc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0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BHC Fairfax Hospital Inc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0</v>
      </c>
      <c r="H75" s="14">
        <f>data!V61</f>
        <v>37465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0</v>
      </c>
      <c r="H76" s="14">
        <f>data!V62</f>
        <v>7461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0</v>
      </c>
      <c r="F78" s="14">
        <f>data!T64</f>
        <v>0</v>
      </c>
      <c r="G78" s="14">
        <f>data!U64</f>
        <v>0</v>
      </c>
      <c r="H78" s="14">
        <f>data!V64</f>
        <v>632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112083</v>
      </c>
      <c r="H80" s="14">
        <f>data!V66</f>
        <v>-236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0</v>
      </c>
      <c r="F85" s="14">
        <f>data!T71</f>
        <v>0</v>
      </c>
      <c r="G85" s="14">
        <f>data!U71</f>
        <v>112083</v>
      </c>
      <c r="H85" s="14">
        <f>data!V71</f>
        <v>45322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0</v>
      </c>
      <c r="E87" s="48">
        <f>+data!M684</f>
        <v>0</v>
      </c>
      <c r="F87" s="48">
        <f>+data!M685</f>
        <v>0</v>
      </c>
      <c r="G87" s="48">
        <f>+data!M686</f>
        <v>16607</v>
      </c>
      <c r="H87" s="48">
        <f>+data!M687</f>
        <v>10595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0</v>
      </c>
      <c r="H88" s="14">
        <f>data!V73</f>
        <v>43340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0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0</v>
      </c>
      <c r="H90" s="14">
        <f>data!V75</f>
        <v>43340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BHC Fairfax Hospital Inc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3.1</v>
      </c>
      <c r="H106" s="26">
        <f>data!AC60</f>
        <v>0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0</v>
      </c>
      <c r="E107" s="14">
        <f>data!Z61</f>
        <v>0</v>
      </c>
      <c r="F107" s="14">
        <f>data!AA61</f>
        <v>0</v>
      </c>
      <c r="G107" s="14">
        <f>data!AB61</f>
        <v>396976</v>
      </c>
      <c r="H107" s="14">
        <f>data!AC61</f>
        <v>0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0</v>
      </c>
      <c r="E108" s="14">
        <f>data!Z62</f>
        <v>0</v>
      </c>
      <c r="F108" s="14">
        <f>data!AA62</f>
        <v>0</v>
      </c>
      <c r="G108" s="14">
        <f>data!AB62</f>
        <v>79060</v>
      </c>
      <c r="H108" s="14">
        <f>data!AC62</f>
        <v>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508787</v>
      </c>
      <c r="H110" s="14">
        <f>data!AC64</f>
        <v>0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45209</v>
      </c>
      <c r="E112" s="14">
        <f>data!Z66</f>
        <v>0</v>
      </c>
      <c r="F112" s="14">
        <f>data!AA66</f>
        <v>0</v>
      </c>
      <c r="G112" s="14">
        <f>data!AB66</f>
        <v>88915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4219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6387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0</v>
      </c>
      <c r="D117" s="14">
        <f>data!Y71</f>
        <v>45209</v>
      </c>
      <c r="E117" s="14">
        <f>data!Z71</f>
        <v>0</v>
      </c>
      <c r="F117" s="14">
        <f>data!AA71</f>
        <v>0</v>
      </c>
      <c r="G117" s="14">
        <f>data!AB71</f>
        <v>1084344</v>
      </c>
      <c r="H117" s="14">
        <f>data!AC71</f>
        <v>0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0</v>
      </c>
      <c r="D119" s="48">
        <f>+data!M690</f>
        <v>6698</v>
      </c>
      <c r="E119" s="48">
        <f>+data!M691</f>
        <v>0</v>
      </c>
      <c r="F119" s="48">
        <f>+data!M692</f>
        <v>0</v>
      </c>
      <c r="G119" s="48">
        <f>+data!M693</f>
        <v>222843</v>
      </c>
      <c r="H119" s="48">
        <f>+data!M694</f>
        <v>0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0</v>
      </c>
      <c r="D120" s="14">
        <f>data!Y73</f>
        <v>0</v>
      </c>
      <c r="E120" s="14">
        <f>data!Z73</f>
        <v>0</v>
      </c>
      <c r="F120" s="14">
        <f>data!AA73</f>
        <v>0</v>
      </c>
      <c r="G120" s="14">
        <f>data!AB73</f>
        <v>0</v>
      </c>
      <c r="H120" s="14">
        <f>data!AC73</f>
        <v>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0</v>
      </c>
      <c r="H121" s="14">
        <f>data!AC74</f>
        <v>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0</v>
      </c>
      <c r="D122" s="14">
        <f>data!Y75</f>
        <v>0</v>
      </c>
      <c r="E122" s="14">
        <f>data!Z75</f>
        <v>0</v>
      </c>
      <c r="F122" s="14">
        <f>data!AA75</f>
        <v>0</v>
      </c>
      <c r="G122" s="14">
        <f>data!AB75</f>
        <v>0</v>
      </c>
      <c r="H122" s="14">
        <f>data!AC75</f>
        <v>0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224</v>
      </c>
      <c r="H124" s="14">
        <f>data!AC76</f>
        <v>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BHC Fairfax Hospital Inc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4334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0</v>
      </c>
      <c r="D149" s="14">
        <f>data!AF71</f>
        <v>0</v>
      </c>
      <c r="E149" s="14">
        <f>data!AG71</f>
        <v>4334</v>
      </c>
      <c r="F149" s="14">
        <f>data!AH71</f>
        <v>0</v>
      </c>
      <c r="G149" s="14">
        <f>data!AI71</f>
        <v>0</v>
      </c>
      <c r="H149" s="14">
        <f>data!AJ71</f>
        <v>0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0</v>
      </c>
      <c r="D151" s="48">
        <f>+data!M697</f>
        <v>0</v>
      </c>
      <c r="E151" s="48">
        <f>+data!M698</f>
        <v>642</v>
      </c>
      <c r="F151" s="48">
        <f>+data!M699</f>
        <v>0</v>
      </c>
      <c r="G151" s="48">
        <f>+data!M700</f>
        <v>0</v>
      </c>
      <c r="H151" s="48">
        <f>+data!M701</f>
        <v>0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0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BHC Fairfax Hospital Inc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4.5599999999999996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282868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56335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14083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38138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2730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394154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76416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BHC Fairfax Hospital Inc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4623</v>
      </c>
      <c r="F201" s="212"/>
      <c r="G201" s="212"/>
      <c r="H201" s="212"/>
      <c r="I201" s="14">
        <f>data!AY59</f>
        <v>152061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5.48</v>
      </c>
      <c r="F202" s="26">
        <f>data!AV60</f>
        <v>16.579999999999998</v>
      </c>
      <c r="G202" s="26">
        <f>data!AW60</f>
        <v>0</v>
      </c>
      <c r="H202" s="26">
        <f>data!AX60</f>
        <v>0</v>
      </c>
      <c r="I202" s="26">
        <f>data!AY60</f>
        <v>9.43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424162</v>
      </c>
      <c r="F203" s="14">
        <f>data!AV61</f>
        <v>1048421</v>
      </c>
      <c r="G203" s="14">
        <f>data!AW61</f>
        <v>0</v>
      </c>
      <c r="H203" s="14">
        <f>data!AX61</f>
        <v>0</v>
      </c>
      <c r="I203" s="14">
        <f>data!AY61</f>
        <v>433888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84475</v>
      </c>
      <c r="F204" s="14">
        <f>data!AV62</f>
        <v>208800</v>
      </c>
      <c r="G204" s="14">
        <f>data!AW62</f>
        <v>0</v>
      </c>
      <c r="H204" s="14">
        <f>data!AX62</f>
        <v>0</v>
      </c>
      <c r="I204" s="14">
        <f>data!AY62</f>
        <v>86412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83080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2264</v>
      </c>
      <c r="F206" s="14">
        <f>data!AV64</f>
        <v>1544</v>
      </c>
      <c r="G206" s="14">
        <f>data!AW64</f>
        <v>0</v>
      </c>
      <c r="H206" s="14">
        <f>data!AX64</f>
        <v>0</v>
      </c>
      <c r="I206" s="14">
        <f>data!AY64</f>
        <v>1075886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6622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1115</v>
      </c>
      <c r="F208" s="14">
        <f>data!AV66</f>
        <v>10225</v>
      </c>
      <c r="G208" s="14">
        <f>data!AW66</f>
        <v>0</v>
      </c>
      <c r="H208" s="14">
        <f>data!AX66</f>
        <v>0</v>
      </c>
      <c r="I208" s="14">
        <f>data!AY66</f>
        <v>570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73763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60261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1188</v>
      </c>
      <c r="F211" s="14">
        <f>data!AV69</f>
        <v>214</v>
      </c>
      <c r="G211" s="14">
        <f>data!AW69</f>
        <v>0</v>
      </c>
      <c r="H211" s="14">
        <f>data!AX69</f>
        <v>0</v>
      </c>
      <c r="I211" s="14">
        <f>data!AY69</f>
        <v>9448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663167</v>
      </c>
      <c r="F213" s="14">
        <f>data!AV71</f>
        <v>1269204</v>
      </c>
      <c r="G213" s="14">
        <f>data!AW71</f>
        <v>0</v>
      </c>
      <c r="H213" s="14">
        <f>data!AX71</f>
        <v>0</v>
      </c>
      <c r="I213" s="14">
        <f>data!AY71</f>
        <v>1679967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564894</v>
      </c>
      <c r="F215" s="48">
        <f>+data!M713</f>
        <v>253558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2730816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2730816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3916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4623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5.48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BHC Fairfax Hospital Inc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77201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2.0299999999999998</v>
      </c>
      <c r="F234" s="26">
        <f>data!BC60</f>
        <v>0</v>
      </c>
      <c r="G234" s="26">
        <f>data!BD60</f>
        <v>0</v>
      </c>
      <c r="H234" s="26">
        <f>data!BE60</f>
        <v>3.8</v>
      </c>
      <c r="I234" s="26">
        <f>data!BF60</f>
        <v>9.9600000000000009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94281</v>
      </c>
      <c r="F235" s="14">
        <f>data!BC61</f>
        <v>0</v>
      </c>
      <c r="G235" s="14">
        <f>data!BD61</f>
        <v>0</v>
      </c>
      <c r="H235" s="14">
        <f>data!BE61</f>
        <v>274762</v>
      </c>
      <c r="I235" s="14">
        <f>data!BF61</f>
        <v>244297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18777</v>
      </c>
      <c r="F236" s="14">
        <f>data!BC62</f>
        <v>0</v>
      </c>
      <c r="G236" s="14">
        <f>data!BD62</f>
        <v>0</v>
      </c>
      <c r="H236" s="14">
        <f>data!BE62</f>
        <v>54721</v>
      </c>
      <c r="I236" s="14">
        <f>data!BF62</f>
        <v>48653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6</v>
      </c>
      <c r="F238" s="14">
        <f>data!BC64</f>
        <v>0</v>
      </c>
      <c r="G238" s="14">
        <f>data!BD64</f>
        <v>0</v>
      </c>
      <c r="H238" s="14">
        <f>data!BE64</f>
        <v>94588</v>
      </c>
      <c r="I238" s="14">
        <f>data!BF64</f>
        <v>68309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214614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144656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56763</v>
      </c>
      <c r="I240" s="14">
        <f>data!BF66</f>
        <v>241849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28932</v>
      </c>
      <c r="D241" s="14">
        <f>data!BA67</f>
        <v>9644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0</v>
      </c>
      <c r="I241" s="14">
        <f>data!BF67</f>
        <v>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38802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20</v>
      </c>
      <c r="F243" s="14">
        <f>data!BC69</f>
        <v>75087</v>
      </c>
      <c r="G243" s="14">
        <f>data!BD69</f>
        <v>0</v>
      </c>
      <c r="H243" s="14">
        <f>data!BE69</f>
        <v>534226</v>
      </c>
      <c r="I243" s="14">
        <f>data!BF69</f>
        <v>550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28932</v>
      </c>
      <c r="D245" s="14">
        <f>data!BA71</f>
        <v>154300</v>
      </c>
      <c r="E245" s="14">
        <f>data!BB71</f>
        <v>113084</v>
      </c>
      <c r="F245" s="14">
        <f>data!BC71</f>
        <v>75087</v>
      </c>
      <c r="G245" s="14">
        <f>data!BD71</f>
        <v>0</v>
      </c>
      <c r="H245" s="14">
        <f>data!BE71</f>
        <v>1268476</v>
      </c>
      <c r="I245" s="14">
        <f>data!BF71</f>
        <v>603658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1536</v>
      </c>
      <c r="D252" s="85">
        <f>data!BA76</f>
        <v>512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0</v>
      </c>
      <c r="I252" s="85">
        <f>data!BF76</f>
        <v>0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BHC Fairfax Hospital Inc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2.41</v>
      </c>
      <c r="D266" s="26">
        <f>data!BH60</f>
        <v>0</v>
      </c>
      <c r="E266" s="26">
        <f>data!BI60</f>
        <v>12.21</v>
      </c>
      <c r="F266" s="26">
        <f>data!BJ60</f>
        <v>2.64</v>
      </c>
      <c r="G266" s="26">
        <f>data!BK60</f>
        <v>5.07</v>
      </c>
      <c r="H266" s="26">
        <f>data!BL60</f>
        <v>18.260000000000002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213631</v>
      </c>
      <c r="D267" s="14">
        <f>data!BH61</f>
        <v>0</v>
      </c>
      <c r="E267" s="14">
        <f>data!BI61</f>
        <v>942696</v>
      </c>
      <c r="F267" s="14">
        <f>data!BJ61</f>
        <v>235700</v>
      </c>
      <c r="G267" s="14">
        <f>data!BK61</f>
        <v>330255</v>
      </c>
      <c r="H267" s="14">
        <f>data!BL61</f>
        <v>1212073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42546</v>
      </c>
      <c r="D268" s="14">
        <f>data!BH62</f>
        <v>0</v>
      </c>
      <c r="E268" s="14">
        <f>data!BI62</f>
        <v>187744</v>
      </c>
      <c r="F268" s="14">
        <f>data!BJ62</f>
        <v>46941</v>
      </c>
      <c r="G268" s="14">
        <f>data!BK62</f>
        <v>65773</v>
      </c>
      <c r="H268" s="14">
        <f>data!BL62</f>
        <v>241393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30949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6512</v>
      </c>
      <c r="D270" s="14">
        <f>data!BH64</f>
        <v>272</v>
      </c>
      <c r="E270" s="14">
        <f>data!BI64</f>
        <v>205764</v>
      </c>
      <c r="F270" s="14">
        <f>data!BJ64</f>
        <v>2433</v>
      </c>
      <c r="G270" s="14">
        <f>data!BK64</f>
        <v>21720</v>
      </c>
      <c r="H270" s="14">
        <f>data!BL64</f>
        <v>755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1890</v>
      </c>
      <c r="E272" s="14">
        <f>data!BI66</f>
        <v>156266</v>
      </c>
      <c r="F272" s="14">
        <f>data!BJ66</f>
        <v>96880</v>
      </c>
      <c r="G272" s="14">
        <f>data!BK66</f>
        <v>38849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4534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78858</v>
      </c>
      <c r="D275" s="14">
        <f>data!BH69</f>
        <v>37</v>
      </c>
      <c r="E275" s="14">
        <f>data!BI69</f>
        <v>111438</v>
      </c>
      <c r="F275" s="14">
        <f>data!BJ69</f>
        <v>72910</v>
      </c>
      <c r="G275" s="14">
        <f>data!BK69</f>
        <v>45144</v>
      </c>
      <c r="H275" s="14">
        <f>data!BL69</f>
        <v>714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341547</v>
      </c>
      <c r="D277" s="14">
        <f>data!BH71</f>
        <v>2199</v>
      </c>
      <c r="E277" s="14">
        <f>data!BI71</f>
        <v>1634857</v>
      </c>
      <c r="F277" s="14">
        <f>data!BJ71</f>
        <v>454864</v>
      </c>
      <c r="G277" s="14">
        <f>data!BK71</f>
        <v>506275</v>
      </c>
      <c r="H277" s="14">
        <f>data!BL71</f>
        <v>1454935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BHC Fairfax Hospital Inc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2.2000000000000002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3.65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580434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281532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115597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56069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20318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24961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33886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44517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379984</v>
      </c>
      <c r="D305" s="14">
        <f>data!BO67</f>
        <v>0</v>
      </c>
      <c r="E305" s="14">
        <f>data!BP67</f>
        <v>1808</v>
      </c>
      <c r="F305" s="14">
        <f>data!BQ67</f>
        <v>0</v>
      </c>
      <c r="G305" s="14">
        <f>data!BR67</f>
        <v>3635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61249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2425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420799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82920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1612267</v>
      </c>
      <c r="D309" s="14">
        <f>data!BO71</f>
        <v>0</v>
      </c>
      <c r="E309" s="14">
        <f>data!BP71</f>
        <v>1808</v>
      </c>
      <c r="F309" s="14">
        <f>data!BQ71</f>
        <v>0</v>
      </c>
      <c r="G309" s="14">
        <f>data!BR71</f>
        <v>496059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20173</v>
      </c>
      <c r="D316" s="85">
        <f>data!BO76</f>
        <v>0</v>
      </c>
      <c r="E316" s="85">
        <f>data!BP76</f>
        <v>96</v>
      </c>
      <c r="F316" s="85">
        <f>data!BQ76</f>
        <v>0</v>
      </c>
      <c r="G316" s="85">
        <f>data!BR76</f>
        <v>193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BHC Fairfax Hospital Inc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7.87</v>
      </c>
      <c r="E330" s="26">
        <f>data!BW60</f>
        <v>0</v>
      </c>
      <c r="F330" s="26">
        <f>data!BX60</f>
        <v>6.3427884615384613</v>
      </c>
      <c r="G330" s="26">
        <f>data!BY60</f>
        <v>12.67</v>
      </c>
      <c r="H330" s="26">
        <f>data!BZ60</f>
        <v>0</v>
      </c>
      <c r="I330" s="26">
        <f>data!CA60</f>
        <v>9.4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279335</v>
      </c>
      <c r="E331" s="86">
        <f>data!BW61</f>
        <v>0</v>
      </c>
      <c r="F331" s="86">
        <f>data!BX61</f>
        <v>521518</v>
      </c>
      <c r="G331" s="86">
        <f>data!BY61</f>
        <v>1522635</v>
      </c>
      <c r="H331" s="86">
        <f>data!BZ61</f>
        <v>0</v>
      </c>
      <c r="I331" s="86">
        <f>data!CA61</f>
        <v>546556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55631</v>
      </c>
      <c r="E332" s="86">
        <f>data!BW62</f>
        <v>0</v>
      </c>
      <c r="F332" s="86">
        <f>data!BX62</f>
        <v>103864</v>
      </c>
      <c r="G332" s="86">
        <f>data!BY62</f>
        <v>303243</v>
      </c>
      <c r="H332" s="86">
        <f>data!BZ62</f>
        <v>0</v>
      </c>
      <c r="I332" s="86">
        <f>data!CA62</f>
        <v>108850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6031623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51254</v>
      </c>
      <c r="E334" s="86">
        <f>data!BW64</f>
        <v>5883</v>
      </c>
      <c r="F334" s="86">
        <f>data!BX64</f>
        <v>963</v>
      </c>
      <c r="G334" s="86">
        <f>data!BY64</f>
        <v>4869</v>
      </c>
      <c r="H334" s="86">
        <f>data!BZ64</f>
        <v>0</v>
      </c>
      <c r="I334" s="86">
        <f>data!CA64</f>
        <v>6641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222189</v>
      </c>
      <c r="E336" s="86">
        <f>data!BW66</f>
        <v>193268</v>
      </c>
      <c r="F336" s="86">
        <f>data!BX66</f>
        <v>1730</v>
      </c>
      <c r="G336" s="86">
        <f>data!BY66</f>
        <v>276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10548</v>
      </c>
      <c r="E337" s="86">
        <f>data!BW67</f>
        <v>12658</v>
      </c>
      <c r="F337" s="86">
        <f>data!BX67</f>
        <v>0</v>
      </c>
      <c r="G337" s="86">
        <f>data!BY67</f>
        <v>1808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212</v>
      </c>
      <c r="E338" s="86">
        <f>data!BW68</f>
        <v>0</v>
      </c>
      <c r="F338" s="86">
        <f>data!BX68</f>
        <v>0</v>
      </c>
      <c r="G338" s="86">
        <f>data!BY68</f>
        <v>4649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9023</v>
      </c>
      <c r="E339" s="86">
        <f>data!BW69</f>
        <v>40936</v>
      </c>
      <c r="F339" s="86">
        <f>data!BX69</f>
        <v>2905</v>
      </c>
      <c r="G339" s="86">
        <f>data!BY69</f>
        <v>6456</v>
      </c>
      <c r="H339" s="86">
        <f>data!BZ69</f>
        <v>0</v>
      </c>
      <c r="I339" s="86">
        <f>data!CA69</f>
        <v>3823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628192</v>
      </c>
      <c r="E341" s="14">
        <f>data!BW71</f>
        <v>6284368</v>
      </c>
      <c r="F341" s="14">
        <f>data!BX71</f>
        <v>630980</v>
      </c>
      <c r="G341" s="14">
        <f>data!BY71</f>
        <v>1843936</v>
      </c>
      <c r="H341" s="14">
        <f>data!BZ71</f>
        <v>0</v>
      </c>
      <c r="I341" s="14">
        <f>data!CA71</f>
        <v>665870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560</v>
      </c>
      <c r="E348" s="85">
        <f>data!BW76</f>
        <v>672</v>
      </c>
      <c r="F348" s="85">
        <f>data!BX76</f>
        <v>0</v>
      </c>
      <c r="G348" s="85">
        <f>data!BY76</f>
        <v>96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BHC Fairfax Hospital Inc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1.39</v>
      </c>
      <c r="E362" s="217"/>
      <c r="F362" s="211"/>
      <c r="G362" s="211"/>
      <c r="H362" s="211"/>
      <c r="I362" s="87">
        <f>data!CE60</f>
        <v>275.63932692307685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132118</v>
      </c>
      <c r="E363" s="218"/>
      <c r="F363" s="219"/>
      <c r="G363" s="219"/>
      <c r="H363" s="219"/>
      <c r="I363" s="86">
        <f>data!CE61</f>
        <v>19600635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26312</v>
      </c>
      <c r="E364" s="218"/>
      <c r="F364" s="219"/>
      <c r="G364" s="219"/>
      <c r="H364" s="219"/>
      <c r="I364" s="86">
        <f>data!CE62</f>
        <v>3903598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6233242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668</v>
      </c>
      <c r="E366" s="218"/>
      <c r="F366" s="219"/>
      <c r="G366" s="219"/>
      <c r="H366" s="219"/>
      <c r="I366" s="86">
        <f>data!CE64</f>
        <v>2130736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221236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21164</v>
      </c>
      <c r="E368" s="218"/>
      <c r="F368" s="219"/>
      <c r="G368" s="219"/>
      <c r="H368" s="219"/>
      <c r="I368" s="86">
        <f>data!CE66</f>
        <v>1641387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1454176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172132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3424</v>
      </c>
      <c r="E371" s="86">
        <f>data!CD69</f>
        <v>14313661</v>
      </c>
      <c r="F371" s="219"/>
      <c r="G371" s="219"/>
      <c r="H371" s="219"/>
      <c r="I371" s="86">
        <f>data!CE69</f>
        <v>15834374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593419</v>
      </c>
      <c r="F372" s="220"/>
      <c r="G372" s="220"/>
      <c r="H372" s="220"/>
      <c r="I372" s="14">
        <f>-data!CE70</f>
        <v>-593419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183686</v>
      </c>
      <c r="E373" s="86">
        <f>data!CD71</f>
        <v>13720242</v>
      </c>
      <c r="F373" s="219"/>
      <c r="G373" s="219"/>
      <c r="H373" s="219"/>
      <c r="I373" s="14">
        <f>data!CE71</f>
        <v>50598097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147939898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2730816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150670714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77201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152061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16640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182840.72727272726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142.07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BHC Fairfax Hospital Year End Report</dc:title>
  <dc:subject>2018 BHC Fairfax Hospital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2019-05-01T15:58:52Z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