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89" i="1" l="1"/>
  <c r="C366" i="1"/>
  <c r="C239" i="1"/>
  <c r="C227" i="1"/>
  <c r="B200" i="1" l="1"/>
  <c r="C176" i="1"/>
  <c r="D140" i="1"/>
  <c r="D142" i="1" l="1"/>
  <c r="C141" i="1"/>
  <c r="B141" i="1"/>
  <c r="D139" i="1"/>
  <c r="D138" i="1"/>
  <c r="D141" i="1" l="1"/>
  <c r="H77" i="1"/>
  <c r="D111" i="1" l="1"/>
  <c r="C111" i="1"/>
  <c r="H78" i="1" l="1"/>
  <c r="C615" i="10" l="1"/>
  <c r="E550" i="10"/>
  <c r="F550" i="10"/>
  <c r="E546" i="10"/>
  <c r="F546" i="10"/>
  <c r="E545" i="10"/>
  <c r="F545" i="10"/>
  <c r="F544" i="10"/>
  <c r="E544" i="10"/>
  <c r="E540" i="10"/>
  <c r="F540" i="10"/>
  <c r="E539" i="10"/>
  <c r="E538" i="10"/>
  <c r="E537" i="10"/>
  <c r="F537" i="10"/>
  <c r="H536" i="10"/>
  <c r="E536" i="10"/>
  <c r="F536" i="10"/>
  <c r="H535" i="10"/>
  <c r="F535" i="10"/>
  <c r="E535" i="10"/>
  <c r="H534" i="10"/>
  <c r="F534" i="10"/>
  <c r="E534" i="10"/>
  <c r="H533" i="10"/>
  <c r="F533" i="10"/>
  <c r="E533" i="10"/>
  <c r="E532" i="10"/>
  <c r="F532" i="10"/>
  <c r="E531" i="10"/>
  <c r="E530" i="10"/>
  <c r="E529" i="10"/>
  <c r="H528" i="10"/>
  <c r="E528" i="10"/>
  <c r="F528" i="10"/>
  <c r="H527" i="10"/>
  <c r="F527" i="10"/>
  <c r="E527" i="10"/>
  <c r="F526" i="10"/>
  <c r="E526" i="10"/>
  <c r="H525" i="10"/>
  <c r="F525" i="10"/>
  <c r="E525" i="10"/>
  <c r="H524" i="10"/>
  <c r="F524" i="10"/>
  <c r="E524" i="10"/>
  <c r="E523" i="10"/>
  <c r="E522" i="10"/>
  <c r="F521" i="10"/>
  <c r="H520" i="10"/>
  <c r="F520" i="10"/>
  <c r="E520" i="10"/>
  <c r="H519" i="10"/>
  <c r="F519" i="10"/>
  <c r="E519" i="10"/>
  <c r="E518" i="10"/>
  <c r="F518" i="10"/>
  <c r="E517" i="10"/>
  <c r="E516" i="10"/>
  <c r="E515" i="10"/>
  <c r="E514" i="10"/>
  <c r="F514" i="10"/>
  <c r="H513" i="10"/>
  <c r="F513" i="10"/>
  <c r="H511" i="10"/>
  <c r="E511" i="10"/>
  <c r="F511" i="10"/>
  <c r="H510" i="10"/>
  <c r="E510" i="10"/>
  <c r="F510" i="10"/>
  <c r="H509" i="10"/>
  <c r="F509" i="10"/>
  <c r="E509" i="10"/>
  <c r="H508" i="10"/>
  <c r="F508" i="10"/>
  <c r="E508" i="10"/>
  <c r="H507" i="10"/>
  <c r="F507" i="10"/>
  <c r="E507" i="10"/>
  <c r="H506" i="10"/>
  <c r="F506" i="10"/>
  <c r="E506" i="10"/>
  <c r="E505" i="10"/>
  <c r="E504" i="10"/>
  <c r="H503" i="10"/>
  <c r="E503" i="10"/>
  <c r="F503" i="10"/>
  <c r="H502" i="10"/>
  <c r="E502" i="10"/>
  <c r="F502" i="10"/>
  <c r="F501" i="10"/>
  <c r="E501" i="10"/>
  <c r="H500" i="10"/>
  <c r="F500" i="10"/>
  <c r="E500" i="10"/>
  <c r="H499" i="10"/>
  <c r="F499" i="10"/>
  <c r="E499" i="10"/>
  <c r="H498" i="10"/>
  <c r="F498" i="10"/>
  <c r="E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A412" i="10"/>
  <c r="C389" i="10"/>
  <c r="B439" i="10" s="1"/>
  <c r="D372" i="10"/>
  <c r="D367" i="10"/>
  <c r="D361" i="10"/>
  <c r="B465" i="10" s="1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C227" i="10"/>
  <c r="D229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E203" i="10"/>
  <c r="C475" i="10" s="1"/>
  <c r="B202" i="10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4" i="10"/>
  <c r="C183" i="10"/>
  <c r="D181" i="10"/>
  <c r="D435" i="10" s="1"/>
  <c r="C175" i="10"/>
  <c r="D177" i="10" s="1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2" i="10"/>
  <c r="E141" i="10"/>
  <c r="D140" i="10"/>
  <c r="B140" i="10"/>
  <c r="D139" i="10"/>
  <c r="D138" i="10"/>
  <c r="E138" i="10" s="1"/>
  <c r="C414" i="10" s="1"/>
  <c r="E127" i="10"/>
  <c r="D111" i="10"/>
  <c r="B415" i="10" s="1"/>
  <c r="C111" i="10"/>
  <c r="B414" i="10" s="1"/>
  <c r="CE80" i="10"/>
  <c r="L612" i="10" s="1"/>
  <c r="CF79" i="10"/>
  <c r="H79" i="10"/>
  <c r="CE79" i="10" s="1"/>
  <c r="J612" i="10" s="1"/>
  <c r="CE78" i="10"/>
  <c r="I612" i="10" s="1"/>
  <c r="H77" i="10"/>
  <c r="CE77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BC69" i="10"/>
  <c r="C439" i="10" s="1"/>
  <c r="CE68" i="10"/>
  <c r="C434" i="10" s="1"/>
  <c r="CE66" i="10"/>
  <c r="C432" i="10" s="1"/>
  <c r="CE65" i="10"/>
  <c r="C431" i="10" s="1"/>
  <c r="CE64" i="10"/>
  <c r="C430" i="10" s="1"/>
  <c r="CE63" i="10"/>
  <c r="C429" i="10" s="1"/>
  <c r="CE61" i="10"/>
  <c r="BX48" i="10" s="1"/>
  <c r="BX62" i="10" s="1"/>
  <c r="CE60" i="10"/>
  <c r="H612" i="10" s="1"/>
  <c r="B53" i="10"/>
  <c r="CE51" i="10"/>
  <c r="B49" i="10"/>
  <c r="CE47" i="10"/>
  <c r="E139" i="10" l="1"/>
  <c r="C415" i="10" s="1"/>
  <c r="E144" i="10"/>
  <c r="C417" i="10" s="1"/>
  <c r="R48" i="10"/>
  <c r="R62" i="10" s="1"/>
  <c r="Q48" i="10"/>
  <c r="Q62" i="10" s="1"/>
  <c r="CA48" i="10"/>
  <c r="CA62" i="10" s="1"/>
  <c r="AA48" i="10"/>
  <c r="AA62" i="10" s="1"/>
  <c r="BD48" i="10"/>
  <c r="BD62" i="10" s="1"/>
  <c r="C48" i="10"/>
  <c r="C62" i="10" s="1"/>
  <c r="AR48" i="10"/>
  <c r="AR62" i="10" s="1"/>
  <c r="BN48" i="10"/>
  <c r="BN62" i="10" s="1"/>
  <c r="G48" i="10"/>
  <c r="G62" i="10" s="1"/>
  <c r="Y48" i="10"/>
  <c r="Y62" i="10" s="1"/>
  <c r="J48" i="10"/>
  <c r="J62" i="10" s="1"/>
  <c r="Z48" i="10"/>
  <c r="Z62" i="10" s="1"/>
  <c r="AU48" i="10"/>
  <c r="AU62" i="10" s="1"/>
  <c r="BZ48" i="10"/>
  <c r="BZ62" i="10" s="1"/>
  <c r="AT48" i="10"/>
  <c r="AT62" i="10" s="1"/>
  <c r="BP48" i="10"/>
  <c r="BP62" i="10" s="1"/>
  <c r="B476" i="10"/>
  <c r="E217" i="10"/>
  <c r="C478" i="10" s="1"/>
  <c r="D390" i="10"/>
  <c r="B441" i="10" s="1"/>
  <c r="B445" i="10"/>
  <c r="D242" i="10"/>
  <c r="B448" i="10" s="1"/>
  <c r="E140" i="10"/>
  <c r="D292" i="10"/>
  <c r="D341" i="10" s="1"/>
  <c r="C481" i="10" s="1"/>
  <c r="D463" i="10"/>
  <c r="D186" i="10"/>
  <c r="D438" i="10" s="1"/>
  <c r="C473" i="10"/>
  <c r="B440" i="10"/>
  <c r="I48" i="10"/>
  <c r="I62" i="10" s="1"/>
  <c r="S48" i="10"/>
  <c r="S62" i="10" s="1"/>
  <c r="AJ48" i="10"/>
  <c r="AJ62" i="10" s="1"/>
  <c r="BC48" i="10"/>
  <c r="BC62" i="10" s="1"/>
  <c r="D464" i="10"/>
  <c r="CE75" i="10"/>
  <c r="K612" i="10" s="1"/>
  <c r="CE69" i="10"/>
  <c r="C440" i="10" s="1"/>
  <c r="D330" i="10"/>
  <c r="D339" i="10" s="1"/>
  <c r="C482" i="10" s="1"/>
  <c r="E202" i="10"/>
  <c r="C474" i="10" s="1"/>
  <c r="B204" i="10"/>
  <c r="H517" i="10"/>
  <c r="F517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BV48" i="10"/>
  <c r="BV62" i="10" s="1"/>
  <c r="BL48" i="10"/>
  <c r="BL62" i="10" s="1"/>
  <c r="BB48" i="10"/>
  <c r="BB62" i="10" s="1"/>
  <c r="AP48" i="10"/>
  <c r="AP62" i="10" s="1"/>
  <c r="AF48" i="10"/>
  <c r="AF62" i="10" s="1"/>
  <c r="X48" i="10"/>
  <c r="X62" i="10" s="1"/>
  <c r="P48" i="10"/>
  <c r="P62" i="10" s="1"/>
  <c r="H48" i="10"/>
  <c r="H62" i="10" s="1"/>
  <c r="BU48" i="10"/>
  <c r="BU62" i="10" s="1"/>
  <c r="AZ48" i="10"/>
  <c r="AZ62" i="10" s="1"/>
  <c r="AO48" i="10"/>
  <c r="AO62" i="10" s="1"/>
  <c r="W48" i="10"/>
  <c r="W62" i="10" s="1"/>
  <c r="BK48" i="10"/>
  <c r="BK62" i="10" s="1"/>
  <c r="AE48" i="10"/>
  <c r="AE62" i="10" s="1"/>
  <c r="BT48" i="10"/>
  <c r="BT62" i="10" s="1"/>
  <c r="BJ48" i="10"/>
  <c r="BJ62" i="10" s="1"/>
  <c r="AX48" i="10"/>
  <c r="AX62" i="10" s="1"/>
  <c r="AN48" i="10"/>
  <c r="AN62" i="10" s="1"/>
  <c r="AD48" i="10"/>
  <c r="AD62" i="10" s="1"/>
  <c r="V48" i="10"/>
  <c r="V62" i="10" s="1"/>
  <c r="N48" i="10"/>
  <c r="N62" i="10" s="1"/>
  <c r="F48" i="10"/>
  <c r="F62" i="10" s="1"/>
  <c r="BF48" i="10"/>
  <c r="BF62" i="10" s="1"/>
  <c r="AL48" i="10"/>
  <c r="AL62" i="10" s="1"/>
  <c r="T48" i="10"/>
  <c r="T62" i="10" s="1"/>
  <c r="C427" i="10"/>
  <c r="CC48" i="10"/>
  <c r="CC62" i="10" s="1"/>
  <c r="BS48" i="10"/>
  <c r="BS62" i="10" s="1"/>
  <c r="BH48" i="10"/>
  <c r="BH62" i="10" s="1"/>
  <c r="AW48" i="10"/>
  <c r="AW62" i="10" s="1"/>
  <c r="AM48" i="10"/>
  <c r="AM62" i="10" s="1"/>
  <c r="AC48" i="10"/>
  <c r="AC62" i="10" s="1"/>
  <c r="U48" i="10"/>
  <c r="U62" i="10" s="1"/>
  <c r="M48" i="10"/>
  <c r="M62" i="10" s="1"/>
  <c r="E48" i="10"/>
  <c r="E62" i="10" s="1"/>
  <c r="CB48" i="10"/>
  <c r="CB62" i="10" s="1"/>
  <c r="BR48" i="10"/>
  <c r="BR62" i="10" s="1"/>
  <c r="AV48" i="10"/>
  <c r="AV62" i="10" s="1"/>
  <c r="AB48" i="10"/>
  <c r="AB62" i="10" s="1"/>
  <c r="L48" i="10"/>
  <c r="L62" i="10" s="1"/>
  <c r="D48" i="10"/>
  <c r="D62" i="10" s="1"/>
  <c r="CF76" i="10"/>
  <c r="AO52" i="10" s="1"/>
  <c r="AO67" i="10" s="1"/>
  <c r="D612" i="10"/>
  <c r="G612" i="10"/>
  <c r="CF77" i="10"/>
  <c r="F515" i="10"/>
  <c r="H531" i="10"/>
  <c r="F531" i="10"/>
  <c r="K48" i="10"/>
  <c r="K62" i="10" s="1"/>
  <c r="AG48" i="10"/>
  <c r="AG62" i="10" s="1"/>
  <c r="BE48" i="10"/>
  <c r="BE62" i="10" s="1"/>
  <c r="O48" i="10"/>
  <c r="O62" i="10" s="1"/>
  <c r="AH48" i="10"/>
  <c r="AH62" i="10" s="1"/>
  <c r="BM48" i="10"/>
  <c r="BM62" i="10" s="1"/>
  <c r="F529" i="10"/>
  <c r="H529" i="10"/>
  <c r="H522" i="10"/>
  <c r="F522" i="10"/>
  <c r="H496" i="10"/>
  <c r="F496" i="10"/>
  <c r="H512" i="10"/>
  <c r="F512" i="10"/>
  <c r="C458" i="10"/>
  <c r="D368" i="10"/>
  <c r="D373" i="10" s="1"/>
  <c r="C448" i="10"/>
  <c r="H504" i="10"/>
  <c r="F504" i="10"/>
  <c r="H538" i="10"/>
  <c r="F538" i="10"/>
  <c r="F612" i="10"/>
  <c r="H497" i="10"/>
  <c r="F497" i="10"/>
  <c r="H505" i="10"/>
  <c r="F505" i="10"/>
  <c r="H523" i="10"/>
  <c r="F523" i="10"/>
  <c r="H537" i="10"/>
  <c r="H516" i="10"/>
  <c r="F516" i="10"/>
  <c r="H530" i="10"/>
  <c r="F530" i="10"/>
  <c r="H539" i="10"/>
  <c r="F539" i="10"/>
  <c r="F493" i="1"/>
  <c r="D493" i="1"/>
  <c r="B493" i="1"/>
  <c r="D391" i="10" l="1"/>
  <c r="D393" i="10" s="1"/>
  <c r="D396" i="10" s="1"/>
  <c r="E204" i="10"/>
  <c r="C476" i="10" s="1"/>
  <c r="D436" i="10"/>
  <c r="Y52" i="10"/>
  <c r="Y67" i="10" s="1"/>
  <c r="Y71" i="10" s="1"/>
  <c r="C518" i="10" s="1"/>
  <c r="BP52" i="10"/>
  <c r="BP67" i="10" s="1"/>
  <c r="BP71" i="10" s="1"/>
  <c r="C621" i="10" s="1"/>
  <c r="C465" i="10"/>
  <c r="H52" i="10"/>
  <c r="H67" i="10" s="1"/>
  <c r="H71" i="10" s="1"/>
  <c r="K52" i="10"/>
  <c r="K67" i="10" s="1"/>
  <c r="K71" i="10" s="1"/>
  <c r="AC52" i="10"/>
  <c r="AC67" i="10" s="1"/>
  <c r="AC71" i="10" s="1"/>
  <c r="BW52" i="10"/>
  <c r="BW67" i="10" s="1"/>
  <c r="BW71" i="10" s="1"/>
  <c r="E52" i="10"/>
  <c r="E67" i="10" s="1"/>
  <c r="E71" i="10" s="1"/>
  <c r="Z52" i="10"/>
  <c r="Z67" i="10" s="1"/>
  <c r="Z71" i="10" s="1"/>
  <c r="C519" i="10" s="1"/>
  <c r="G519" i="10" s="1"/>
  <c r="AM52" i="10"/>
  <c r="AM67" i="10" s="1"/>
  <c r="AM71" i="10" s="1"/>
  <c r="CA52" i="10"/>
  <c r="CA67" i="10" s="1"/>
  <c r="CA71" i="10" s="1"/>
  <c r="C647" i="10" s="1"/>
  <c r="AP52" i="10"/>
  <c r="AP67" i="10" s="1"/>
  <c r="AP71" i="10" s="1"/>
  <c r="AR52" i="10"/>
  <c r="AR67" i="10" s="1"/>
  <c r="AR71" i="10" s="1"/>
  <c r="C537" i="10" s="1"/>
  <c r="G537" i="10" s="1"/>
  <c r="BS52" i="10"/>
  <c r="BS67" i="10" s="1"/>
  <c r="BS71" i="10" s="1"/>
  <c r="BG52" i="10"/>
  <c r="BG67" i="10" s="1"/>
  <c r="BG71" i="10" s="1"/>
  <c r="I52" i="10"/>
  <c r="I67" i="10" s="1"/>
  <c r="I71" i="10" s="1"/>
  <c r="C502" i="10" s="1"/>
  <c r="G502" i="10" s="1"/>
  <c r="BU52" i="10"/>
  <c r="BU67" i="10" s="1"/>
  <c r="BU71" i="10" s="1"/>
  <c r="F52" i="10"/>
  <c r="F67" i="10" s="1"/>
  <c r="F71" i="10" s="1"/>
  <c r="BX52" i="10"/>
  <c r="BX67" i="10" s="1"/>
  <c r="BX71" i="10" s="1"/>
  <c r="C569" i="10" s="1"/>
  <c r="D465" i="10"/>
  <c r="BI52" i="10"/>
  <c r="BI67" i="10" s="1"/>
  <c r="BI71" i="10" s="1"/>
  <c r="BH52" i="10"/>
  <c r="BH67" i="10" s="1"/>
  <c r="BH71" i="10" s="1"/>
  <c r="P52" i="10"/>
  <c r="P67" i="10" s="1"/>
  <c r="P71" i="10" s="1"/>
  <c r="O52" i="10"/>
  <c r="O67" i="10" s="1"/>
  <c r="O71" i="10" s="1"/>
  <c r="BA52" i="10"/>
  <c r="BA67" i="10" s="1"/>
  <c r="BA71" i="10" s="1"/>
  <c r="U52" i="10"/>
  <c r="U67" i="10" s="1"/>
  <c r="U71" i="10" s="1"/>
  <c r="L52" i="10"/>
  <c r="L67" i="10" s="1"/>
  <c r="L71" i="10" s="1"/>
  <c r="AS52" i="10"/>
  <c r="AS67" i="10" s="1"/>
  <c r="AS71" i="10" s="1"/>
  <c r="AQ52" i="10"/>
  <c r="AQ67" i="10" s="1"/>
  <c r="AQ71" i="10" s="1"/>
  <c r="BR52" i="10"/>
  <c r="BR67" i="10" s="1"/>
  <c r="BR71" i="10" s="1"/>
  <c r="C563" i="10" s="1"/>
  <c r="BE52" i="10"/>
  <c r="BE67" i="10" s="1"/>
  <c r="BE71" i="10" s="1"/>
  <c r="BL52" i="10"/>
  <c r="BL67" i="10" s="1"/>
  <c r="BL71" i="10" s="1"/>
  <c r="G52" i="10"/>
  <c r="G67" i="10" s="1"/>
  <c r="G71" i="10" s="1"/>
  <c r="C672" i="10" s="1"/>
  <c r="BC52" i="10"/>
  <c r="BC67" i="10" s="1"/>
  <c r="BC71" i="10" s="1"/>
  <c r="C548" i="10" s="1"/>
  <c r="BQ52" i="10"/>
  <c r="BQ67" i="10" s="1"/>
  <c r="BQ71" i="10" s="1"/>
  <c r="C52" i="10"/>
  <c r="C67" i="10" s="1"/>
  <c r="C71" i="10" s="1"/>
  <c r="BO52" i="10"/>
  <c r="BO67" i="10" s="1"/>
  <c r="BO71" i="10" s="1"/>
  <c r="C560" i="10" s="1"/>
  <c r="Q52" i="10"/>
  <c r="Q67" i="10" s="1"/>
  <c r="Q71" i="10" s="1"/>
  <c r="C682" i="10" s="1"/>
  <c r="CC52" i="10"/>
  <c r="CC67" i="10" s="1"/>
  <c r="CC71" i="10" s="1"/>
  <c r="C674" i="10"/>
  <c r="R52" i="10"/>
  <c r="R67" i="10" s="1"/>
  <c r="R71" i="10" s="1"/>
  <c r="BN52" i="10"/>
  <c r="BN67" i="10" s="1"/>
  <c r="BN71" i="10" s="1"/>
  <c r="AE52" i="10"/>
  <c r="AE67" i="10" s="1"/>
  <c r="AE71" i="10" s="1"/>
  <c r="AF52" i="10"/>
  <c r="AF67" i="10" s="1"/>
  <c r="AF71" i="10" s="1"/>
  <c r="BF52" i="10"/>
  <c r="BF67" i="10" s="1"/>
  <c r="BF71" i="10" s="1"/>
  <c r="AY52" i="10"/>
  <c r="AY67" i="10" s="1"/>
  <c r="AY71" i="10" s="1"/>
  <c r="BZ52" i="10"/>
  <c r="BZ67" i="10" s="1"/>
  <c r="BZ71" i="10" s="1"/>
  <c r="BM52" i="10"/>
  <c r="BM67" i="10" s="1"/>
  <c r="BM71" i="10" s="1"/>
  <c r="AU52" i="10"/>
  <c r="AU67" i="10" s="1"/>
  <c r="AU71" i="10" s="1"/>
  <c r="AK52" i="10"/>
  <c r="AK67" i="10" s="1"/>
  <c r="AK71" i="10" s="1"/>
  <c r="AJ52" i="10"/>
  <c r="AJ67" i="10" s="1"/>
  <c r="AJ71" i="10" s="1"/>
  <c r="AB52" i="10"/>
  <c r="AB67" i="10" s="1"/>
  <c r="AB71" i="10" s="1"/>
  <c r="T52" i="10"/>
  <c r="T67" i="10" s="1"/>
  <c r="T71" i="10" s="1"/>
  <c r="AZ52" i="10"/>
  <c r="AZ67" i="10" s="1"/>
  <c r="AZ71" i="10" s="1"/>
  <c r="CB52" i="10"/>
  <c r="CB67" i="10" s="1"/>
  <c r="CB71" i="10" s="1"/>
  <c r="M52" i="10"/>
  <c r="M67" i="10" s="1"/>
  <c r="M71" i="10" s="1"/>
  <c r="S52" i="10"/>
  <c r="S67" i="10" s="1"/>
  <c r="S71" i="10" s="1"/>
  <c r="AT52" i="10"/>
  <c r="AT67" i="10" s="1"/>
  <c r="AT71" i="10" s="1"/>
  <c r="AG52" i="10"/>
  <c r="AG67" i="10" s="1"/>
  <c r="AG71" i="10" s="1"/>
  <c r="AO71" i="10"/>
  <c r="AX52" i="10"/>
  <c r="AX67" i="10" s="1"/>
  <c r="AX71" i="10" s="1"/>
  <c r="CE62" i="10"/>
  <c r="D52" i="10"/>
  <c r="D67" i="10" s="1"/>
  <c r="D71" i="10" s="1"/>
  <c r="AD52" i="10"/>
  <c r="AD67" i="10" s="1"/>
  <c r="AD71" i="10" s="1"/>
  <c r="BY52" i="10"/>
  <c r="BY67" i="10" s="1"/>
  <c r="BY71" i="10" s="1"/>
  <c r="V52" i="10"/>
  <c r="V67" i="10" s="1"/>
  <c r="V71" i="10" s="1"/>
  <c r="W52" i="10"/>
  <c r="W67" i="10" s="1"/>
  <c r="W71" i="10" s="1"/>
  <c r="AA52" i="10"/>
  <c r="AA67" i="10" s="1"/>
  <c r="AA71" i="10" s="1"/>
  <c r="BB52" i="10"/>
  <c r="BB67" i="10" s="1"/>
  <c r="BB71" i="10" s="1"/>
  <c r="CE48" i="10"/>
  <c r="N52" i="10"/>
  <c r="N67" i="10" s="1"/>
  <c r="N71" i="10" s="1"/>
  <c r="BV52" i="10"/>
  <c r="BV67" i="10" s="1"/>
  <c r="BV71" i="10" s="1"/>
  <c r="AL52" i="10"/>
  <c r="AL67" i="10" s="1"/>
  <c r="AL71" i="10" s="1"/>
  <c r="X52" i="10"/>
  <c r="X67" i="10" s="1"/>
  <c r="X71" i="10" s="1"/>
  <c r="AN52" i="10"/>
  <c r="AN67" i="10" s="1"/>
  <c r="AN71" i="10" s="1"/>
  <c r="J52" i="10"/>
  <c r="J67" i="10" s="1"/>
  <c r="J71" i="10" s="1"/>
  <c r="BD52" i="10"/>
  <c r="BD67" i="10" s="1"/>
  <c r="BD71" i="10" s="1"/>
  <c r="AH52" i="10"/>
  <c r="AH67" i="10" s="1"/>
  <c r="AH71" i="10" s="1"/>
  <c r="AI52" i="10"/>
  <c r="AI67" i="10" s="1"/>
  <c r="AI71" i="10" s="1"/>
  <c r="BJ52" i="10"/>
  <c r="BJ67" i="10" s="1"/>
  <c r="BJ71" i="10" s="1"/>
  <c r="AW52" i="10"/>
  <c r="AW67" i="10" s="1"/>
  <c r="AW71" i="10" s="1"/>
  <c r="AV52" i="10"/>
  <c r="AV67" i="10" s="1"/>
  <c r="AV71" i="10" s="1"/>
  <c r="BT52" i="10"/>
  <c r="BT67" i="10" s="1"/>
  <c r="BT71" i="10" s="1"/>
  <c r="BK52" i="10"/>
  <c r="BK67" i="10" s="1"/>
  <c r="BK71" i="10" s="1"/>
  <c r="B575" i="1"/>
  <c r="A493" i="1"/>
  <c r="C115" i="8"/>
  <c r="C444" i="1"/>
  <c r="D367" i="1"/>
  <c r="C448" i="1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L48" i="1" s="1"/>
  <c r="L62" i="1" s="1"/>
  <c r="CE65" i="1"/>
  <c r="C431" i="1" s="1"/>
  <c r="CE63" i="1"/>
  <c r="I365" i="9" s="1"/>
  <c r="CE66" i="1"/>
  <c r="CE68" i="1"/>
  <c r="I370" i="9" s="1"/>
  <c r="D75" i="1"/>
  <c r="AR75" i="1"/>
  <c r="AS75" i="1"/>
  <c r="AT75" i="1"/>
  <c r="AU75" i="1"/>
  <c r="E218" i="9" s="1"/>
  <c r="AQ75" i="1"/>
  <c r="H186" i="9" s="1"/>
  <c r="AO75" i="1"/>
  <c r="AN75" i="1"/>
  <c r="AM75" i="1"/>
  <c r="AI75" i="1"/>
  <c r="G154" i="9" s="1"/>
  <c r="AH75" i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I372" i="9" s="1"/>
  <c r="CE76" i="1"/>
  <c r="CE77" i="1"/>
  <c r="G612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BM48" i="1" l="1"/>
  <c r="BM62" i="1" s="1"/>
  <c r="E204" i="1"/>
  <c r="B444" i="1"/>
  <c r="D242" i="1"/>
  <c r="BT48" i="1"/>
  <c r="BT62" i="1" s="1"/>
  <c r="I300" i="9" s="1"/>
  <c r="BD48" i="1"/>
  <c r="BD62" i="1" s="1"/>
  <c r="BG48" i="1"/>
  <c r="BG62" i="1" s="1"/>
  <c r="C644" i="10"/>
  <c r="C633" i="10"/>
  <c r="F9" i="6"/>
  <c r="B440" i="1"/>
  <c r="P48" i="1"/>
  <c r="P62" i="1" s="1"/>
  <c r="I44" i="9" s="1"/>
  <c r="AJ48" i="1"/>
  <c r="AJ62" i="1" s="1"/>
  <c r="BC48" i="1"/>
  <c r="BC62" i="1" s="1"/>
  <c r="C464" i="1"/>
  <c r="C119" i="8"/>
  <c r="D368" i="1"/>
  <c r="C120" i="8" s="1"/>
  <c r="C34" i="5"/>
  <c r="D13" i="7"/>
  <c r="D435" i="1"/>
  <c r="C429" i="1"/>
  <c r="I612" i="1"/>
  <c r="F11" i="6"/>
  <c r="I48" i="1"/>
  <c r="I62" i="1" s="1"/>
  <c r="E48" i="1"/>
  <c r="E62" i="1" s="1"/>
  <c r="E12" i="9" s="1"/>
  <c r="AU48" i="1"/>
  <c r="AU62" i="1" s="1"/>
  <c r="X48" i="1"/>
  <c r="X62" i="1" s="1"/>
  <c r="C434" i="1"/>
  <c r="J48" i="1"/>
  <c r="J62" i="1" s="1"/>
  <c r="AN48" i="1"/>
  <c r="AN62" i="1" s="1"/>
  <c r="E172" i="9" s="1"/>
  <c r="BF48" i="1"/>
  <c r="BF62" i="1" s="1"/>
  <c r="BY48" i="1"/>
  <c r="BY62" i="1" s="1"/>
  <c r="V48" i="1"/>
  <c r="V62" i="1" s="1"/>
  <c r="AV48" i="1"/>
  <c r="AV62" i="1" s="1"/>
  <c r="F204" i="9" s="1"/>
  <c r="BL48" i="1"/>
  <c r="BL62" i="1" s="1"/>
  <c r="H268" i="9" s="1"/>
  <c r="CB48" i="1"/>
  <c r="CB62" i="1" s="1"/>
  <c r="C364" i="9" s="1"/>
  <c r="Q48" i="1"/>
  <c r="Q62" i="1" s="1"/>
  <c r="C76" i="9" s="1"/>
  <c r="AK48" i="1"/>
  <c r="AK62" i="1" s="1"/>
  <c r="G48" i="1"/>
  <c r="G62" i="1" s="1"/>
  <c r="G12" i="9" s="1"/>
  <c r="C690" i="10"/>
  <c r="AD48" i="1"/>
  <c r="AD62" i="1" s="1"/>
  <c r="BB48" i="1"/>
  <c r="BB62" i="1" s="1"/>
  <c r="BP48" i="1"/>
  <c r="BP62" i="1" s="1"/>
  <c r="AI48" i="1"/>
  <c r="AI62" i="1" s="1"/>
  <c r="Y48" i="1"/>
  <c r="Y62" i="1" s="1"/>
  <c r="BQ48" i="1"/>
  <c r="BQ62" i="1" s="1"/>
  <c r="F300" i="9" s="1"/>
  <c r="BI48" i="1"/>
  <c r="BI62" i="1" s="1"/>
  <c r="E268" i="9" s="1"/>
  <c r="BZ48" i="1"/>
  <c r="BZ62" i="1" s="1"/>
  <c r="D330" i="1"/>
  <c r="C86" i="8" s="1"/>
  <c r="C473" i="1"/>
  <c r="C218" i="9"/>
  <c r="G10" i="4"/>
  <c r="F8" i="6"/>
  <c r="C33" i="8"/>
  <c r="C421" i="1"/>
  <c r="C440" i="1"/>
  <c r="G122" i="9"/>
  <c r="D612" i="1"/>
  <c r="C691" i="10"/>
  <c r="C572" i="10"/>
  <c r="I380" i="9"/>
  <c r="C626" i="10"/>
  <c r="D428" i="1"/>
  <c r="C561" i="10"/>
  <c r="D5" i="7"/>
  <c r="C709" i="10"/>
  <c r="C430" i="1"/>
  <c r="I366" i="9"/>
  <c r="C500" i="10"/>
  <c r="G500" i="10" s="1"/>
  <c r="C575" i="1"/>
  <c r="C627" i="10"/>
  <c r="C634" i="10"/>
  <c r="C554" i="10"/>
  <c r="CF76" i="1"/>
  <c r="BU52" i="1" s="1"/>
  <c r="BU67" i="1" s="1"/>
  <c r="D277" i="1"/>
  <c r="C35" i="8" s="1"/>
  <c r="C510" i="10"/>
  <c r="G510" i="10" s="1"/>
  <c r="I122" i="9"/>
  <c r="I362" i="9"/>
  <c r="C141" i="8"/>
  <c r="C643" i="10"/>
  <c r="C568" i="10"/>
  <c r="D463" i="1"/>
  <c r="E44" i="9"/>
  <c r="I186" i="9"/>
  <c r="CF77" i="1"/>
  <c r="I381" i="9"/>
  <c r="G186" i="9"/>
  <c r="I90" i="9"/>
  <c r="I268" i="9"/>
  <c r="C415" i="1"/>
  <c r="C10" i="4"/>
  <c r="C417" i="1"/>
  <c r="B19" i="4"/>
  <c r="G19" i="4"/>
  <c r="F19" i="4"/>
  <c r="D32" i="6"/>
  <c r="D433" i="1"/>
  <c r="B465" i="1"/>
  <c r="C112" i="8"/>
  <c r="C154" i="9"/>
  <c r="C671" i="10"/>
  <c r="C499" i="10"/>
  <c r="G499" i="10" s="1"/>
  <c r="N48" i="1"/>
  <c r="N62" i="1" s="1"/>
  <c r="G44" i="9" s="1"/>
  <c r="AF48" i="1"/>
  <c r="AF62" i="1" s="1"/>
  <c r="AP48" i="1"/>
  <c r="AP62" i="1" s="1"/>
  <c r="BJ48" i="1"/>
  <c r="BJ62" i="1" s="1"/>
  <c r="BR48" i="1"/>
  <c r="BR62" i="1" s="1"/>
  <c r="G300" i="9" s="1"/>
  <c r="K48" i="1"/>
  <c r="K62" i="1" s="1"/>
  <c r="AQ48" i="1"/>
  <c r="AQ62" i="1" s="1"/>
  <c r="AW48" i="1"/>
  <c r="AW62" i="1" s="1"/>
  <c r="G204" i="9" s="1"/>
  <c r="AM48" i="1"/>
  <c r="AM62" i="1" s="1"/>
  <c r="M48" i="1"/>
  <c r="M62" i="1" s="1"/>
  <c r="F44" i="9" s="1"/>
  <c r="F15" i="6"/>
  <c r="C546" i="10"/>
  <c r="H546" i="10" s="1"/>
  <c r="C630" i="10"/>
  <c r="E58" i="9"/>
  <c r="F154" i="9"/>
  <c r="I368" i="9"/>
  <c r="C432" i="1"/>
  <c r="BK48" i="1"/>
  <c r="BK62" i="1" s="1"/>
  <c r="W48" i="1"/>
  <c r="W62" i="1" s="1"/>
  <c r="AB48" i="1"/>
  <c r="AB62" i="1" s="1"/>
  <c r="D48" i="1"/>
  <c r="D62" i="1" s="1"/>
  <c r="D12" i="9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BH48" i="1"/>
  <c r="BH62" i="1" s="1"/>
  <c r="AX48" i="1"/>
  <c r="AX62" i="1" s="1"/>
  <c r="AR48" i="1"/>
  <c r="AR62" i="1" s="1"/>
  <c r="AH48" i="1"/>
  <c r="AH62" i="1" s="1"/>
  <c r="Z48" i="1"/>
  <c r="Z62" i="1" s="1"/>
  <c r="F48" i="1"/>
  <c r="F62" i="1" s="1"/>
  <c r="F12" i="9" s="1"/>
  <c r="I363" i="9"/>
  <c r="T48" i="1"/>
  <c r="T62" i="1" s="1"/>
  <c r="AS48" i="1"/>
  <c r="AS62" i="1" s="1"/>
  <c r="H48" i="1"/>
  <c r="H62" i="1" s="1"/>
  <c r="AC48" i="1"/>
  <c r="AC62" i="1" s="1"/>
  <c r="H108" i="9" s="1"/>
  <c r="AE48" i="1"/>
  <c r="AE62" i="1" s="1"/>
  <c r="O48" i="1"/>
  <c r="O62" i="1" s="1"/>
  <c r="H44" i="9" s="1"/>
  <c r="C427" i="1"/>
  <c r="AG48" i="1"/>
  <c r="AG62" i="1" s="1"/>
  <c r="BW48" i="1"/>
  <c r="BW62" i="1" s="1"/>
  <c r="E332" i="9" s="1"/>
  <c r="AY48" i="1"/>
  <c r="AY62" i="1" s="1"/>
  <c r="S48" i="1"/>
  <c r="S62" i="1" s="1"/>
  <c r="CA48" i="1"/>
  <c r="CA62" i="1" s="1"/>
  <c r="BV48" i="1"/>
  <c r="BV62" i="1" s="1"/>
  <c r="AZ48" i="1"/>
  <c r="AZ62" i="1" s="1"/>
  <c r="AT48" i="1"/>
  <c r="AT62" i="1" s="1"/>
  <c r="AL48" i="1"/>
  <c r="AL62" i="1" s="1"/>
  <c r="R48" i="1"/>
  <c r="R62" i="1" s="1"/>
  <c r="C414" i="1"/>
  <c r="B10" i="4"/>
  <c r="C458" i="1"/>
  <c r="G28" i="4"/>
  <c r="E186" i="9"/>
  <c r="D218" i="9"/>
  <c r="D186" i="9"/>
  <c r="C699" i="10"/>
  <c r="C527" i="10"/>
  <c r="G527" i="10" s="1"/>
  <c r="C679" i="10"/>
  <c r="C507" i="10"/>
  <c r="G507" i="10" s="1"/>
  <c r="C545" i="10"/>
  <c r="C628" i="10"/>
  <c r="C702" i="10"/>
  <c r="C530" i="10"/>
  <c r="G530" i="10" s="1"/>
  <c r="C496" i="10"/>
  <c r="G496" i="10" s="1"/>
  <c r="C668" i="10"/>
  <c r="C632" i="10"/>
  <c r="C547" i="10"/>
  <c r="C521" i="10"/>
  <c r="C693" i="10"/>
  <c r="C631" i="10"/>
  <c r="C542" i="10"/>
  <c r="C689" i="10"/>
  <c r="C517" i="10"/>
  <c r="G517" i="10" s="1"/>
  <c r="C688" i="10"/>
  <c r="C516" i="10"/>
  <c r="G516" i="10" s="1"/>
  <c r="C698" i="10"/>
  <c r="C526" i="10"/>
  <c r="C635" i="10"/>
  <c r="C556" i="10"/>
  <c r="C555" i="10"/>
  <c r="C617" i="10"/>
  <c r="C703" i="10"/>
  <c r="C531" i="10"/>
  <c r="G531" i="10" s="1"/>
  <c r="C697" i="10"/>
  <c r="C525" i="10"/>
  <c r="G525" i="10" s="1"/>
  <c r="C549" i="10"/>
  <c r="C624" i="10"/>
  <c r="C695" i="10"/>
  <c r="C523" i="10"/>
  <c r="G523" i="10" s="1"/>
  <c r="C673" i="10"/>
  <c r="C501" i="10"/>
  <c r="C641" i="10"/>
  <c r="C566" i="10"/>
  <c r="C692" i="10"/>
  <c r="C520" i="10"/>
  <c r="G520" i="10" s="1"/>
  <c r="C706" i="10"/>
  <c r="C534" i="10"/>
  <c r="G534" i="10" s="1"/>
  <c r="C636" i="10"/>
  <c r="C553" i="10"/>
  <c r="C681" i="10"/>
  <c r="C509" i="10"/>
  <c r="G509" i="10" s="1"/>
  <c r="CE67" i="10"/>
  <c r="C433" i="10" s="1"/>
  <c r="C513" i="10"/>
  <c r="G513" i="10" s="1"/>
  <c r="C685" i="10"/>
  <c r="C675" i="10"/>
  <c r="C503" i="10"/>
  <c r="G503" i="10" s="1"/>
  <c r="C550" i="10"/>
  <c r="C614" i="10"/>
  <c r="C637" i="10"/>
  <c r="C557" i="10"/>
  <c r="C574" i="10"/>
  <c r="C620" i="10"/>
  <c r="C551" i="10"/>
  <c r="C629" i="10"/>
  <c r="C616" i="10"/>
  <c r="C543" i="10"/>
  <c r="C687" i="10"/>
  <c r="C515" i="10"/>
  <c r="CE52" i="10"/>
  <c r="C686" i="10"/>
  <c r="C514" i="10"/>
  <c r="C670" i="10"/>
  <c r="C498" i="10"/>
  <c r="G498" i="10" s="1"/>
  <c r="C529" i="10"/>
  <c r="G529" i="10" s="1"/>
  <c r="C701" i="10"/>
  <c r="C704" i="10"/>
  <c r="C532" i="10"/>
  <c r="C559" i="10"/>
  <c r="C619" i="10"/>
  <c r="H518" i="10"/>
  <c r="G518" i="10"/>
  <c r="C713" i="10"/>
  <c r="C541" i="10"/>
  <c r="C669" i="10"/>
  <c r="C497" i="10"/>
  <c r="G497" i="10" s="1"/>
  <c r="C638" i="10"/>
  <c r="C558" i="10"/>
  <c r="C705" i="10"/>
  <c r="C533" i="10"/>
  <c r="G533" i="10" s="1"/>
  <c r="C562" i="10"/>
  <c r="C623" i="10"/>
  <c r="C683" i="10"/>
  <c r="C511" i="10"/>
  <c r="G511" i="10" s="1"/>
  <c r="C522" i="10"/>
  <c r="G522" i="10" s="1"/>
  <c r="C694" i="10"/>
  <c r="C528" i="10"/>
  <c r="G528" i="10" s="1"/>
  <c r="C700" i="10"/>
  <c r="C677" i="10"/>
  <c r="C505" i="10"/>
  <c r="G505" i="10" s="1"/>
  <c r="C676" i="10"/>
  <c r="C504" i="10"/>
  <c r="G504" i="10" s="1"/>
  <c r="C711" i="10"/>
  <c r="C539" i="10"/>
  <c r="G539" i="10" s="1"/>
  <c r="C707" i="10"/>
  <c r="C535" i="10"/>
  <c r="G535" i="10" s="1"/>
  <c r="C639" i="10"/>
  <c r="C564" i="10"/>
  <c r="C712" i="10"/>
  <c r="C540" i="10"/>
  <c r="C680" i="10"/>
  <c r="C508" i="10"/>
  <c r="G508" i="10" s="1"/>
  <c r="C696" i="10"/>
  <c r="C524" i="10"/>
  <c r="G524" i="10" s="1"/>
  <c r="C708" i="10"/>
  <c r="C536" i="10"/>
  <c r="G536" i="10" s="1"/>
  <c r="C506" i="10"/>
  <c r="G506" i="10" s="1"/>
  <c r="C678" i="10"/>
  <c r="C645" i="10"/>
  <c r="C570" i="10"/>
  <c r="C512" i="10"/>
  <c r="G512" i="10" s="1"/>
  <c r="C684" i="10"/>
  <c r="C573" i="10"/>
  <c r="C622" i="10"/>
  <c r="C618" i="10"/>
  <c r="C552" i="10"/>
  <c r="C571" i="10"/>
  <c r="C646" i="10"/>
  <c r="C640" i="10"/>
  <c r="C565" i="10"/>
  <c r="C544" i="10"/>
  <c r="C625" i="10"/>
  <c r="C642" i="10"/>
  <c r="C567" i="10"/>
  <c r="C428" i="10"/>
  <c r="C710" i="10"/>
  <c r="C538" i="10"/>
  <c r="G538" i="10" s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C418" i="1"/>
  <c r="D438" i="1"/>
  <c r="F14" i="6"/>
  <c r="C471" i="1"/>
  <c r="F10" i="6"/>
  <c r="D26" i="9"/>
  <c r="CE75" i="1"/>
  <c r="F7" i="6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C58" i="9"/>
  <c r="C268" i="9" l="1"/>
  <c r="G236" i="9"/>
  <c r="G172" i="9"/>
  <c r="AW52" i="1"/>
  <c r="AW67" i="1" s="1"/>
  <c r="G209" i="9" s="1"/>
  <c r="I140" i="9"/>
  <c r="H140" i="9"/>
  <c r="D292" i="1"/>
  <c r="D341" i="1" s="1"/>
  <c r="C481" i="1" s="1"/>
  <c r="G332" i="9"/>
  <c r="I108" i="9"/>
  <c r="D108" i="9"/>
  <c r="D339" i="1"/>
  <c r="C102" i="8" s="1"/>
  <c r="F236" i="9"/>
  <c r="E236" i="9"/>
  <c r="C44" i="9"/>
  <c r="C172" i="9"/>
  <c r="D373" i="1"/>
  <c r="D391" i="1" s="1"/>
  <c r="E204" i="9"/>
  <c r="C441" i="10"/>
  <c r="G546" i="10"/>
  <c r="BY52" i="1"/>
  <c r="BY67" i="1" s="1"/>
  <c r="I236" i="9"/>
  <c r="BE52" i="1"/>
  <c r="BE67" i="1" s="1"/>
  <c r="H241" i="9" s="1"/>
  <c r="AM52" i="1"/>
  <c r="AM67" i="1" s="1"/>
  <c r="D204" i="9"/>
  <c r="I12" i="9"/>
  <c r="H332" i="9"/>
  <c r="D364" i="9"/>
  <c r="AK52" i="1"/>
  <c r="AK67" i="1" s="1"/>
  <c r="G140" i="9"/>
  <c r="D465" i="1"/>
  <c r="E300" i="9"/>
  <c r="BR52" i="1"/>
  <c r="BR67" i="1" s="1"/>
  <c r="AA52" i="1"/>
  <c r="AA67" i="1" s="1"/>
  <c r="F113" i="9" s="1"/>
  <c r="M52" i="1"/>
  <c r="M67" i="1" s="1"/>
  <c r="F49" i="9" s="1"/>
  <c r="CB52" i="1"/>
  <c r="CB67" i="1" s="1"/>
  <c r="C369" i="9" s="1"/>
  <c r="F52" i="1"/>
  <c r="F67" i="1" s="1"/>
  <c r="F17" i="9" s="1"/>
  <c r="BD52" i="1"/>
  <c r="BD67" i="1" s="1"/>
  <c r="I76" i="9"/>
  <c r="C108" i="9"/>
  <c r="H204" i="9"/>
  <c r="H76" i="9"/>
  <c r="F268" i="9"/>
  <c r="G52" i="1"/>
  <c r="G67" i="1" s="1"/>
  <c r="D52" i="1"/>
  <c r="D67" i="1" s="1"/>
  <c r="BN52" i="1"/>
  <c r="BN67" i="1" s="1"/>
  <c r="C305" i="9" s="1"/>
  <c r="BM52" i="1"/>
  <c r="BM67" i="1" s="1"/>
  <c r="BQ52" i="1"/>
  <c r="BQ67" i="1" s="1"/>
  <c r="F305" i="9" s="1"/>
  <c r="I204" i="9"/>
  <c r="AX52" i="1"/>
  <c r="AX67" i="1" s="1"/>
  <c r="BV52" i="1"/>
  <c r="BV67" i="1" s="1"/>
  <c r="D337" i="9" s="1"/>
  <c r="T52" i="1"/>
  <c r="T67" i="1" s="1"/>
  <c r="AY52" i="1"/>
  <c r="AY67" i="1" s="1"/>
  <c r="I209" i="9" s="1"/>
  <c r="BF52" i="1"/>
  <c r="BF67" i="1" s="1"/>
  <c r="I241" i="9" s="1"/>
  <c r="BH52" i="1"/>
  <c r="BH67" i="1" s="1"/>
  <c r="AL52" i="1"/>
  <c r="AL67" i="1" s="1"/>
  <c r="C177" i="9" s="1"/>
  <c r="BG52" i="1"/>
  <c r="BG67" i="1" s="1"/>
  <c r="C273" i="9" s="1"/>
  <c r="CA52" i="1"/>
  <c r="CA67" i="1" s="1"/>
  <c r="AE52" i="1"/>
  <c r="AE67" i="1" s="1"/>
  <c r="AE71" i="1" s="1"/>
  <c r="BS52" i="1"/>
  <c r="BS67" i="1" s="1"/>
  <c r="BS71" i="1" s="1"/>
  <c r="BJ52" i="1"/>
  <c r="BJ67" i="1" s="1"/>
  <c r="BJ71" i="1" s="1"/>
  <c r="BI52" i="1"/>
  <c r="BI67" i="1" s="1"/>
  <c r="BI71" i="1" s="1"/>
  <c r="C634" i="1" s="1"/>
  <c r="AS52" i="1"/>
  <c r="AS67" i="1" s="1"/>
  <c r="C209" i="9" s="1"/>
  <c r="R52" i="1"/>
  <c r="R67" i="1" s="1"/>
  <c r="R71" i="1" s="1"/>
  <c r="BL52" i="1"/>
  <c r="BL67" i="1" s="1"/>
  <c r="BL71" i="1" s="1"/>
  <c r="H277" i="9" s="1"/>
  <c r="AI52" i="1"/>
  <c r="AI67" i="1" s="1"/>
  <c r="F140" i="9"/>
  <c r="BZ52" i="1"/>
  <c r="BZ67" i="1" s="1"/>
  <c r="BZ71" i="1" s="1"/>
  <c r="BK52" i="1"/>
  <c r="BK67" i="1" s="1"/>
  <c r="G273" i="9" s="1"/>
  <c r="L52" i="1"/>
  <c r="L67" i="1" s="1"/>
  <c r="L71" i="1" s="1"/>
  <c r="C505" i="1" s="1"/>
  <c r="G505" i="1" s="1"/>
  <c r="J52" i="1"/>
  <c r="J67" i="1" s="1"/>
  <c r="J71" i="1" s="1"/>
  <c r="P52" i="1"/>
  <c r="P67" i="1" s="1"/>
  <c r="P71" i="1" s="1"/>
  <c r="C509" i="1" s="1"/>
  <c r="G509" i="1" s="1"/>
  <c r="Q52" i="1"/>
  <c r="Q67" i="1" s="1"/>
  <c r="Z52" i="1"/>
  <c r="Z67" i="1" s="1"/>
  <c r="Z71" i="1" s="1"/>
  <c r="X52" i="1"/>
  <c r="X67" i="1" s="1"/>
  <c r="C113" i="9" s="1"/>
  <c r="AB52" i="1"/>
  <c r="AB67" i="1" s="1"/>
  <c r="AB71" i="1" s="1"/>
  <c r="N52" i="1"/>
  <c r="N67" i="1" s="1"/>
  <c r="N71" i="1" s="1"/>
  <c r="C507" i="1" s="1"/>
  <c r="G507" i="1" s="1"/>
  <c r="E52" i="1"/>
  <c r="E67" i="1" s="1"/>
  <c r="E71" i="1" s="1"/>
  <c r="C670" i="1" s="1"/>
  <c r="H52" i="1"/>
  <c r="H67" i="1" s="1"/>
  <c r="H71" i="1" s="1"/>
  <c r="BO52" i="1"/>
  <c r="BO67" i="1" s="1"/>
  <c r="AJ52" i="1"/>
  <c r="AJ67" i="1" s="1"/>
  <c r="AJ71" i="1" s="1"/>
  <c r="C701" i="1" s="1"/>
  <c r="AC52" i="1"/>
  <c r="AC67" i="1" s="1"/>
  <c r="H113" i="9" s="1"/>
  <c r="AQ52" i="1"/>
  <c r="AQ67" i="1" s="1"/>
  <c r="AQ71" i="1" s="1"/>
  <c r="H181" i="9" s="1"/>
  <c r="BX52" i="1"/>
  <c r="BX67" i="1" s="1"/>
  <c r="BX71" i="1" s="1"/>
  <c r="AV52" i="1"/>
  <c r="AV67" i="1" s="1"/>
  <c r="AV71" i="1" s="1"/>
  <c r="F213" i="9" s="1"/>
  <c r="AD52" i="1"/>
  <c r="AD67" i="1" s="1"/>
  <c r="AD71" i="1" s="1"/>
  <c r="C695" i="1" s="1"/>
  <c r="C337" i="9"/>
  <c r="AU52" i="1"/>
  <c r="AU67" i="1" s="1"/>
  <c r="E209" i="9" s="1"/>
  <c r="AF52" i="1"/>
  <c r="AF67" i="1" s="1"/>
  <c r="AF71" i="1" s="1"/>
  <c r="AG52" i="1"/>
  <c r="AG67" i="1" s="1"/>
  <c r="AG71" i="1" s="1"/>
  <c r="AP52" i="1"/>
  <c r="AP67" i="1" s="1"/>
  <c r="AP71" i="1" s="1"/>
  <c r="C707" i="1" s="1"/>
  <c r="BT52" i="1"/>
  <c r="BT67" i="1" s="1"/>
  <c r="BT71" i="1" s="1"/>
  <c r="BC52" i="1"/>
  <c r="BC67" i="1" s="1"/>
  <c r="BC71" i="1" s="1"/>
  <c r="U52" i="1"/>
  <c r="U67" i="1" s="1"/>
  <c r="U71" i="1" s="1"/>
  <c r="Y52" i="1"/>
  <c r="Y67" i="1" s="1"/>
  <c r="Y71" i="1" s="1"/>
  <c r="K52" i="1"/>
  <c r="K67" i="1" s="1"/>
  <c r="K71" i="1" s="1"/>
  <c r="I52" i="1"/>
  <c r="I67" i="1" s="1"/>
  <c r="I71" i="1" s="1"/>
  <c r="S52" i="1"/>
  <c r="S67" i="1" s="1"/>
  <c r="S71" i="1" s="1"/>
  <c r="AZ52" i="1"/>
  <c r="AZ67" i="1" s="1"/>
  <c r="AZ71" i="1" s="1"/>
  <c r="AT52" i="1"/>
  <c r="AT67" i="1" s="1"/>
  <c r="AT71" i="1" s="1"/>
  <c r="CC52" i="1"/>
  <c r="CC67" i="1" s="1"/>
  <c r="CC71" i="1" s="1"/>
  <c r="C574" i="1" s="1"/>
  <c r="BB52" i="1"/>
  <c r="BB67" i="1" s="1"/>
  <c r="BB71" i="1" s="1"/>
  <c r="E245" i="9" s="1"/>
  <c r="AR52" i="1"/>
  <c r="AR67" i="1" s="1"/>
  <c r="AR71" i="1" s="1"/>
  <c r="V52" i="1"/>
  <c r="V67" i="1" s="1"/>
  <c r="V71" i="1" s="1"/>
  <c r="C515" i="1" s="1"/>
  <c r="G515" i="1" s="1"/>
  <c r="BA52" i="1"/>
  <c r="BA67" i="1" s="1"/>
  <c r="BA71" i="1" s="1"/>
  <c r="O52" i="1"/>
  <c r="O67" i="1" s="1"/>
  <c r="O71" i="1" s="1"/>
  <c r="C508" i="1" s="1"/>
  <c r="G508" i="1" s="1"/>
  <c r="BP52" i="1"/>
  <c r="BP67" i="1" s="1"/>
  <c r="BP71" i="1" s="1"/>
  <c r="AH52" i="1"/>
  <c r="AH67" i="1" s="1"/>
  <c r="AH71" i="1" s="1"/>
  <c r="F149" i="9" s="1"/>
  <c r="BW52" i="1"/>
  <c r="BW67" i="1" s="1"/>
  <c r="BW71" i="1" s="1"/>
  <c r="C643" i="1" s="1"/>
  <c r="W52" i="1"/>
  <c r="W67" i="1" s="1"/>
  <c r="W71" i="1" s="1"/>
  <c r="C52" i="1"/>
  <c r="AO52" i="1"/>
  <c r="AO67" i="1" s="1"/>
  <c r="AO71" i="1" s="1"/>
  <c r="AN52" i="1"/>
  <c r="AN67" i="1" s="1"/>
  <c r="AN71" i="1" s="1"/>
  <c r="C533" i="1" s="1"/>
  <c r="G533" i="1" s="1"/>
  <c r="C140" i="9"/>
  <c r="D268" i="9"/>
  <c r="H236" i="9"/>
  <c r="G268" i="9"/>
  <c r="I332" i="9"/>
  <c r="D300" i="9"/>
  <c r="D44" i="9"/>
  <c r="D140" i="9"/>
  <c r="D332" i="9"/>
  <c r="C300" i="9"/>
  <c r="E76" i="9"/>
  <c r="H12" i="9"/>
  <c r="I172" i="9"/>
  <c r="F332" i="9"/>
  <c r="G76" i="9"/>
  <c r="G108" i="9"/>
  <c r="D172" i="9"/>
  <c r="D76" i="9"/>
  <c r="E108" i="9"/>
  <c r="H300" i="9"/>
  <c r="E140" i="9"/>
  <c r="F76" i="9"/>
  <c r="C332" i="9"/>
  <c r="BU71" i="1"/>
  <c r="H172" i="9"/>
  <c r="C236" i="9"/>
  <c r="C204" i="9"/>
  <c r="C62" i="1"/>
  <c r="CE48" i="1"/>
  <c r="F172" i="9"/>
  <c r="D236" i="9"/>
  <c r="G515" i="10"/>
  <c r="H515" i="10"/>
  <c r="G540" i="10"/>
  <c r="H540" i="10" s="1"/>
  <c r="G544" i="10"/>
  <c r="H544" i="10" s="1"/>
  <c r="C648" i="10"/>
  <c r="M716" i="10" s="1"/>
  <c r="C715" i="10"/>
  <c r="D615" i="10"/>
  <c r="CE71" i="10"/>
  <c r="C716" i="10" s="1"/>
  <c r="G550" i="10"/>
  <c r="H550" i="10" s="1"/>
  <c r="H526" i="10"/>
  <c r="G526" i="10"/>
  <c r="G521" i="10"/>
  <c r="H521" i="10"/>
  <c r="H545" i="10"/>
  <c r="G545" i="10"/>
  <c r="H514" i="10"/>
  <c r="G514" i="10"/>
  <c r="G501" i="10"/>
  <c r="H501" i="10" s="1"/>
  <c r="H532" i="10"/>
  <c r="G532" i="10"/>
  <c r="B511" i="1"/>
  <c r="B573" i="1"/>
  <c r="F501" i="1"/>
  <c r="F517" i="1"/>
  <c r="H517" i="1"/>
  <c r="F499" i="1"/>
  <c r="H499" i="1"/>
  <c r="H505" i="1"/>
  <c r="F505" i="1"/>
  <c r="H497" i="1"/>
  <c r="F497" i="1"/>
  <c r="F515" i="1"/>
  <c r="D27" i="7"/>
  <c r="B448" i="1"/>
  <c r="F544" i="1"/>
  <c r="H536" i="1"/>
  <c r="F536" i="1"/>
  <c r="F528" i="1"/>
  <c r="H528" i="1"/>
  <c r="F520" i="1"/>
  <c r="H520" i="1"/>
  <c r="I378" i="9"/>
  <c r="K612" i="1"/>
  <c r="C465" i="1"/>
  <c r="F32" i="6"/>
  <c r="C478" i="1"/>
  <c r="H498" i="1"/>
  <c r="F498" i="1"/>
  <c r="C476" i="1"/>
  <c r="F16" i="6"/>
  <c r="F516" i="1"/>
  <c r="H516" i="1"/>
  <c r="F540" i="1"/>
  <c r="F532" i="1"/>
  <c r="H524" i="1"/>
  <c r="F524" i="1"/>
  <c r="F550" i="1"/>
  <c r="AL71" i="1" l="1"/>
  <c r="C181" i="9" s="1"/>
  <c r="AC71" i="1"/>
  <c r="C522" i="1" s="1"/>
  <c r="G522" i="1" s="1"/>
  <c r="T71" i="1"/>
  <c r="F85" i="9" s="1"/>
  <c r="BK71" i="1"/>
  <c r="C556" i="1" s="1"/>
  <c r="CA71" i="1"/>
  <c r="C647" i="1" s="1"/>
  <c r="BE71" i="1"/>
  <c r="C614" i="1" s="1"/>
  <c r="AW71" i="1"/>
  <c r="C631" i="1" s="1"/>
  <c r="F71" i="1"/>
  <c r="F21" i="9" s="1"/>
  <c r="E53" i="9"/>
  <c r="AM71" i="1"/>
  <c r="C532" i="1" s="1"/>
  <c r="C677" i="1"/>
  <c r="AS71" i="1"/>
  <c r="C213" i="9" s="1"/>
  <c r="BR71" i="1"/>
  <c r="C626" i="1" s="1"/>
  <c r="C539" i="1"/>
  <c r="G539" i="1" s="1"/>
  <c r="C711" i="1"/>
  <c r="D213" i="9"/>
  <c r="C640" i="1"/>
  <c r="I309" i="9"/>
  <c r="C565" i="1"/>
  <c r="CB71" i="1"/>
  <c r="C622" i="1" s="1"/>
  <c r="G71" i="1"/>
  <c r="C672" i="1" s="1"/>
  <c r="BY71" i="1"/>
  <c r="G341" i="9" s="1"/>
  <c r="I85" i="9"/>
  <c r="C516" i="1"/>
  <c r="G516" i="1" s="1"/>
  <c r="C688" i="1"/>
  <c r="C674" i="1"/>
  <c r="I21" i="9"/>
  <c r="C502" i="1"/>
  <c r="G502" i="1" s="1"/>
  <c r="C617" i="1"/>
  <c r="F277" i="9"/>
  <c r="C555" i="1"/>
  <c r="C633" i="1"/>
  <c r="C548" i="1"/>
  <c r="F245" i="9"/>
  <c r="C518" i="1"/>
  <c r="G518" i="1" s="1"/>
  <c r="C690" i="1"/>
  <c r="D117" i="9"/>
  <c r="H341" i="9"/>
  <c r="C571" i="1"/>
  <c r="C646" i="1"/>
  <c r="C501" i="1"/>
  <c r="G501" i="1" s="1"/>
  <c r="H21" i="9"/>
  <c r="C673" i="1"/>
  <c r="C53" i="9"/>
  <c r="C503" i="1"/>
  <c r="G503" i="1" s="1"/>
  <c r="C675" i="1"/>
  <c r="BG71" i="1"/>
  <c r="AX71" i="1"/>
  <c r="C616" i="1" s="1"/>
  <c r="Q71" i="1"/>
  <c r="C510" i="1" s="1"/>
  <c r="G510" i="1" s="1"/>
  <c r="D71" i="1"/>
  <c r="C497" i="1" s="1"/>
  <c r="G497" i="1" s="1"/>
  <c r="M71" i="1"/>
  <c r="C506" i="1" s="1"/>
  <c r="G506" i="1" s="1"/>
  <c r="AI71" i="1"/>
  <c r="G149" i="9" s="1"/>
  <c r="BD71" i="1"/>
  <c r="AU71" i="1"/>
  <c r="X71" i="1"/>
  <c r="BH71" i="1"/>
  <c r="C636" i="1" s="1"/>
  <c r="AY71" i="1"/>
  <c r="C544" i="1" s="1"/>
  <c r="G544" i="1" s="1"/>
  <c r="BQ71" i="1"/>
  <c r="C623" i="1" s="1"/>
  <c r="BF71" i="1"/>
  <c r="I245" i="9" s="1"/>
  <c r="BV71" i="1"/>
  <c r="C642" i="1" s="1"/>
  <c r="I273" i="9"/>
  <c r="BM71" i="1"/>
  <c r="AA71" i="1"/>
  <c r="C692" i="1" s="1"/>
  <c r="AK71" i="1"/>
  <c r="BO71" i="1"/>
  <c r="BN71" i="1"/>
  <c r="D273" i="9"/>
  <c r="C523" i="1"/>
  <c r="G523" i="1" s="1"/>
  <c r="C557" i="1"/>
  <c r="C637" i="1"/>
  <c r="I53" i="9"/>
  <c r="C681" i="1"/>
  <c r="C529" i="1"/>
  <c r="G529" i="1" s="1"/>
  <c r="E21" i="9"/>
  <c r="C713" i="1"/>
  <c r="H149" i="9"/>
  <c r="C498" i="1"/>
  <c r="G498" i="1" s="1"/>
  <c r="G241" i="9"/>
  <c r="C687" i="1"/>
  <c r="C620" i="1"/>
  <c r="C50" i="8"/>
  <c r="C541" i="1"/>
  <c r="C527" i="1"/>
  <c r="G527" i="1" s="1"/>
  <c r="C482" i="1"/>
  <c r="I117" i="9"/>
  <c r="C679" i="1"/>
  <c r="C632" i="1"/>
  <c r="D177" i="9"/>
  <c r="C126" i="8"/>
  <c r="C680" i="1"/>
  <c r="C554" i="1"/>
  <c r="C547" i="1"/>
  <c r="G17" i="9"/>
  <c r="G337" i="9"/>
  <c r="F81" i="9"/>
  <c r="G53" i="9"/>
  <c r="H209" i="9"/>
  <c r="E277" i="9"/>
  <c r="G145" i="9"/>
  <c r="G305" i="9"/>
  <c r="I145" i="9"/>
  <c r="H85" i="9"/>
  <c r="D373" i="9"/>
  <c r="C699" i="1"/>
  <c r="D17" i="9"/>
  <c r="D305" i="9"/>
  <c r="H53" i="9"/>
  <c r="C536" i="1"/>
  <c r="G536" i="1" s="1"/>
  <c r="C705" i="1"/>
  <c r="E181" i="9"/>
  <c r="C561" i="1"/>
  <c r="E309" i="9"/>
  <c r="C621" i="1"/>
  <c r="G181" i="9"/>
  <c r="I337" i="9"/>
  <c r="H305" i="9"/>
  <c r="C145" i="9"/>
  <c r="C708" i="1"/>
  <c r="C535" i="1"/>
  <c r="G535" i="1" s="1"/>
  <c r="C81" i="9"/>
  <c r="E17" i="9"/>
  <c r="C49" i="9"/>
  <c r="D81" i="9"/>
  <c r="H145" i="9"/>
  <c r="G49" i="9"/>
  <c r="E113" i="9"/>
  <c r="E49" i="9"/>
  <c r="G113" i="9"/>
  <c r="E273" i="9"/>
  <c r="H17" i="9"/>
  <c r="I49" i="9"/>
  <c r="H337" i="9"/>
  <c r="H273" i="9"/>
  <c r="F273" i="9"/>
  <c r="F209" i="9"/>
  <c r="F337" i="9"/>
  <c r="H177" i="9"/>
  <c r="I113" i="9"/>
  <c r="I17" i="9"/>
  <c r="F241" i="9"/>
  <c r="D145" i="9"/>
  <c r="D49" i="9"/>
  <c r="I305" i="9"/>
  <c r="D113" i="9"/>
  <c r="G177" i="9"/>
  <c r="G81" i="9"/>
  <c r="E145" i="9"/>
  <c r="H49" i="9"/>
  <c r="F177" i="9"/>
  <c r="E337" i="9"/>
  <c r="D241" i="9"/>
  <c r="D369" i="9"/>
  <c r="H81" i="9"/>
  <c r="D209" i="9"/>
  <c r="F145" i="9"/>
  <c r="E341" i="9"/>
  <c r="C67" i="1"/>
  <c r="C71" i="1" s="1"/>
  <c r="CE52" i="1"/>
  <c r="E305" i="9"/>
  <c r="I177" i="9"/>
  <c r="C241" i="9"/>
  <c r="E177" i="9"/>
  <c r="I81" i="9"/>
  <c r="E241" i="9"/>
  <c r="E81" i="9"/>
  <c r="E117" i="9"/>
  <c r="C519" i="1"/>
  <c r="G519" i="1" s="1"/>
  <c r="C691" i="1"/>
  <c r="H515" i="1"/>
  <c r="CE62" i="1"/>
  <c r="C12" i="9"/>
  <c r="C245" i="9"/>
  <c r="C545" i="1"/>
  <c r="G545" i="1" s="1"/>
  <c r="C628" i="1"/>
  <c r="C641" i="1"/>
  <c r="C566" i="1"/>
  <c r="C341" i="9"/>
  <c r="E85" i="9"/>
  <c r="C684" i="1"/>
  <c r="C512" i="1"/>
  <c r="G512" i="1" s="1"/>
  <c r="C568" i="1"/>
  <c r="F181" i="9"/>
  <c r="C534" i="1"/>
  <c r="G534" i="1" s="1"/>
  <c r="C706" i="1"/>
  <c r="C511" i="1"/>
  <c r="G511" i="1" s="1"/>
  <c r="C683" i="1"/>
  <c r="D85" i="9"/>
  <c r="C644" i="1"/>
  <c r="F341" i="9"/>
  <c r="C569" i="1"/>
  <c r="C537" i="1"/>
  <c r="G537" i="1" s="1"/>
  <c r="I181" i="9"/>
  <c r="C709" i="1"/>
  <c r="D53" i="9"/>
  <c r="C676" i="1"/>
  <c r="C504" i="1"/>
  <c r="G504" i="1" s="1"/>
  <c r="C639" i="1"/>
  <c r="H309" i="9"/>
  <c r="C564" i="1"/>
  <c r="C525" i="1"/>
  <c r="G525" i="1" s="1"/>
  <c r="D149" i="9"/>
  <c r="C697" i="1"/>
  <c r="C524" i="1"/>
  <c r="G524" i="1" s="1"/>
  <c r="C149" i="9"/>
  <c r="C696" i="1"/>
  <c r="C546" i="1"/>
  <c r="G546" i="1" s="1"/>
  <c r="D245" i="9"/>
  <c r="C630" i="1"/>
  <c r="C698" i="1"/>
  <c r="C526" i="1"/>
  <c r="G526" i="1" s="1"/>
  <c r="E149" i="9"/>
  <c r="C693" i="1"/>
  <c r="C521" i="1"/>
  <c r="G521" i="1" s="1"/>
  <c r="G117" i="9"/>
  <c r="G85" i="9"/>
  <c r="C514" i="1"/>
  <c r="G514" i="1" s="1"/>
  <c r="C686" i="1"/>
  <c r="D710" i="10"/>
  <c r="D702" i="10"/>
  <c r="D694" i="10"/>
  <c r="D686" i="10"/>
  <c r="D678" i="10"/>
  <c r="D670" i="10"/>
  <c r="D647" i="10"/>
  <c r="D646" i="10"/>
  <c r="D645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11" i="10"/>
  <c r="D703" i="10"/>
  <c r="D695" i="10"/>
  <c r="D687" i="10"/>
  <c r="D679" i="10"/>
  <c r="D671" i="10"/>
  <c r="D708" i="10"/>
  <c r="D692" i="10"/>
  <c r="D676" i="10"/>
  <c r="D640" i="10"/>
  <c r="D632" i="10"/>
  <c r="D629" i="10"/>
  <c r="D626" i="10"/>
  <c r="D621" i="10"/>
  <c r="D617" i="10"/>
  <c r="D705" i="10"/>
  <c r="D689" i="10"/>
  <c r="D673" i="10"/>
  <c r="D635" i="10"/>
  <c r="D624" i="10"/>
  <c r="D716" i="10"/>
  <c r="D699" i="10"/>
  <c r="D683" i="10"/>
  <c r="D643" i="10"/>
  <c r="D638" i="10"/>
  <c r="D630" i="10"/>
  <c r="D620" i="10"/>
  <c r="D616" i="10"/>
  <c r="D706" i="10"/>
  <c r="D690" i="10"/>
  <c r="D674" i="10"/>
  <c r="D641" i="10"/>
  <c r="D633" i="10"/>
  <c r="D627" i="10"/>
  <c r="D700" i="10"/>
  <c r="D684" i="10"/>
  <c r="D668" i="10"/>
  <c r="D636" i="10"/>
  <c r="D623" i="10"/>
  <c r="D619" i="10"/>
  <c r="D691" i="10"/>
  <c r="D634" i="10"/>
  <c r="D618" i="10"/>
  <c r="D675" i="10"/>
  <c r="D642" i="10"/>
  <c r="D625" i="10"/>
  <c r="D713" i="10"/>
  <c r="D697" i="10"/>
  <c r="D682" i="10"/>
  <c r="D637" i="10"/>
  <c r="D644" i="10"/>
  <c r="D639" i="10"/>
  <c r="D698" i="10"/>
  <c r="D681" i="10"/>
  <c r="D628" i="10"/>
  <c r="D707" i="10"/>
  <c r="D631" i="10"/>
  <c r="D622" i="10"/>
  <c r="H511" i="1"/>
  <c r="F511" i="1"/>
  <c r="B496" i="1"/>
  <c r="H496" i="1" s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C704" i="1" l="1"/>
  <c r="H245" i="9"/>
  <c r="H544" i="1"/>
  <c r="D181" i="9"/>
  <c r="C694" i="1"/>
  <c r="C550" i="1"/>
  <c r="G550" i="1" s="1"/>
  <c r="I213" i="9"/>
  <c r="C703" i="1"/>
  <c r="C531" i="1"/>
  <c r="G531" i="1" s="1"/>
  <c r="C645" i="1"/>
  <c r="C513" i="1"/>
  <c r="G513" i="1" s="1"/>
  <c r="C685" i="1"/>
  <c r="C542" i="1"/>
  <c r="H117" i="9"/>
  <c r="G213" i="9"/>
  <c r="C635" i="1"/>
  <c r="G277" i="9"/>
  <c r="I341" i="9"/>
  <c r="C85" i="9"/>
  <c r="C520" i="1"/>
  <c r="G520" i="1" s="1"/>
  <c r="C572" i="1"/>
  <c r="C671" i="1"/>
  <c r="C710" i="1"/>
  <c r="F117" i="9"/>
  <c r="C499" i="1"/>
  <c r="G499" i="1" s="1"/>
  <c r="C629" i="1"/>
  <c r="D277" i="9"/>
  <c r="C553" i="1"/>
  <c r="H501" i="1"/>
  <c r="C528" i="1"/>
  <c r="G528" i="1" s="1"/>
  <c r="C563" i="1"/>
  <c r="C500" i="1"/>
  <c r="G500" i="1" s="1"/>
  <c r="C570" i="1"/>
  <c r="C682" i="1"/>
  <c r="H213" i="9"/>
  <c r="C625" i="1"/>
  <c r="C567" i="1"/>
  <c r="F53" i="9"/>
  <c r="H518" i="1"/>
  <c r="C538" i="1"/>
  <c r="G538" i="1" s="1"/>
  <c r="C573" i="1"/>
  <c r="C678" i="1"/>
  <c r="C373" i="9"/>
  <c r="G309" i="9"/>
  <c r="C543" i="1"/>
  <c r="C700" i="1"/>
  <c r="D21" i="9"/>
  <c r="G21" i="9"/>
  <c r="C669" i="1"/>
  <c r="D341" i="9"/>
  <c r="C560" i="1"/>
  <c r="D309" i="9"/>
  <c r="C627" i="1"/>
  <c r="C549" i="1"/>
  <c r="G245" i="9"/>
  <c r="C624" i="1"/>
  <c r="C551" i="1"/>
  <c r="C530" i="1"/>
  <c r="G530" i="1" s="1"/>
  <c r="C702" i="1"/>
  <c r="I149" i="9"/>
  <c r="C117" i="9"/>
  <c r="C517" i="1"/>
  <c r="G517" i="1" s="1"/>
  <c r="C689" i="1"/>
  <c r="C618" i="1"/>
  <c r="C552" i="1"/>
  <c r="C277" i="9"/>
  <c r="C309" i="9"/>
  <c r="C619" i="1"/>
  <c r="C559" i="1"/>
  <c r="C638" i="1"/>
  <c r="I277" i="9"/>
  <c r="C558" i="1"/>
  <c r="F309" i="9"/>
  <c r="C562" i="1"/>
  <c r="C540" i="1"/>
  <c r="E213" i="9"/>
  <c r="C712" i="1"/>
  <c r="H546" i="1"/>
  <c r="H526" i="1"/>
  <c r="H514" i="1"/>
  <c r="CE67" i="1"/>
  <c r="CE71" i="1" s="1"/>
  <c r="C17" i="9"/>
  <c r="C496" i="1"/>
  <c r="G496" i="1" s="1"/>
  <c r="C21" i="9"/>
  <c r="C668" i="1"/>
  <c r="I364" i="9"/>
  <c r="C428" i="1"/>
  <c r="G532" i="1"/>
  <c r="H532" i="1"/>
  <c r="D615" i="1"/>
  <c r="D715" i="10"/>
  <c r="E623" i="10"/>
  <c r="E612" i="10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H550" i="1"/>
  <c r="G540" i="1"/>
  <c r="H540" i="1" s="1"/>
  <c r="I369" i="9"/>
  <c r="C433" i="1"/>
  <c r="C441" i="1" s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20" i="1"/>
  <c r="D669" i="1"/>
  <c r="D691" i="1"/>
  <c r="D673" i="1"/>
  <c r="D677" i="1"/>
  <c r="D640" i="1"/>
  <c r="D689" i="1"/>
  <c r="D701" i="1"/>
  <c r="D696" i="1"/>
  <c r="D626" i="1"/>
  <c r="D668" i="1"/>
  <c r="D680" i="1"/>
  <c r="D643" i="1"/>
  <c r="D619" i="1"/>
  <c r="D695" i="1"/>
  <c r="D683" i="1"/>
  <c r="D624" i="1"/>
  <c r="D625" i="1"/>
  <c r="D681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1" i="1"/>
  <c r="D634" i="1"/>
  <c r="D638" i="1"/>
  <c r="D703" i="1"/>
  <c r="D670" i="1"/>
  <c r="D627" i="1"/>
  <c r="D621" i="1"/>
  <c r="D712" i="1"/>
  <c r="D678" i="1"/>
  <c r="D672" i="1"/>
  <c r="D710" i="1"/>
  <c r="D641" i="1"/>
  <c r="D633" i="1"/>
  <c r="D646" i="1"/>
  <c r="D708" i="1"/>
  <c r="D688" i="1"/>
  <c r="D679" i="1"/>
  <c r="D693" i="1"/>
  <c r="D618" i="1"/>
  <c r="C716" i="1"/>
  <c r="I373" i="9"/>
  <c r="C715" i="1"/>
  <c r="E716" i="10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709" i="10"/>
  <c r="E701" i="10"/>
  <c r="E693" i="10"/>
  <c r="E685" i="10"/>
  <c r="E677" i="10"/>
  <c r="E669" i="10"/>
  <c r="E706" i="10"/>
  <c r="E698" i="10"/>
  <c r="E690" i="10"/>
  <c r="E682" i="10"/>
  <c r="E674" i="10"/>
  <c r="E708" i="10"/>
  <c r="E700" i="10"/>
  <c r="E692" i="10"/>
  <c r="E684" i="10"/>
  <c r="E676" i="10"/>
  <c r="E668" i="10"/>
  <c r="E705" i="10"/>
  <c r="E689" i="10"/>
  <c r="E673" i="10"/>
  <c r="E624" i="10"/>
  <c r="E702" i="10"/>
  <c r="E686" i="10"/>
  <c r="E670" i="10"/>
  <c r="E647" i="10"/>
  <c r="E645" i="10"/>
  <c r="E712" i="10"/>
  <c r="E696" i="10"/>
  <c r="E680" i="10"/>
  <c r="E627" i="10"/>
  <c r="E703" i="10"/>
  <c r="E687" i="10"/>
  <c r="E671" i="10"/>
  <c r="E713" i="10"/>
  <c r="E697" i="10"/>
  <c r="E681" i="10"/>
  <c r="E625" i="10"/>
  <c r="E710" i="10"/>
  <c r="E695" i="10"/>
  <c r="E626" i="10"/>
  <c r="E694" i="10"/>
  <c r="E679" i="10"/>
  <c r="E628" i="10"/>
  <c r="E688" i="10"/>
  <c r="E646" i="10"/>
  <c r="E629" i="10"/>
  <c r="E704" i="10"/>
  <c r="E711" i="10"/>
  <c r="E672" i="10"/>
  <c r="E678" i="10"/>
  <c r="E623" i="1" l="1"/>
  <c r="E716" i="1" s="1"/>
  <c r="E612" i="1"/>
  <c r="D715" i="1"/>
  <c r="E715" i="10"/>
  <c r="F624" i="10"/>
  <c r="E645" i="1" l="1"/>
  <c r="E710" i="1"/>
  <c r="E633" i="1"/>
  <c r="E702" i="1"/>
  <c r="E638" i="1"/>
  <c r="E681" i="1"/>
  <c r="E701" i="1"/>
  <c r="E697" i="1"/>
  <c r="E693" i="1"/>
  <c r="E637" i="1"/>
  <c r="E712" i="1"/>
  <c r="E670" i="1"/>
  <c r="E627" i="1"/>
  <c r="E705" i="1"/>
  <c r="E625" i="1"/>
  <c r="E675" i="1"/>
  <c r="E678" i="1"/>
  <c r="E695" i="1"/>
  <c r="E626" i="1"/>
  <c r="E689" i="1"/>
  <c r="E635" i="1"/>
  <c r="E679" i="1"/>
  <c r="E711" i="1"/>
  <c r="E708" i="1"/>
  <c r="E704" i="1"/>
  <c r="E691" i="1"/>
  <c r="E671" i="1"/>
  <c r="E696" i="1"/>
  <c r="E646" i="1"/>
  <c r="E624" i="1"/>
  <c r="F624" i="1" s="1"/>
  <c r="E699" i="1"/>
  <c r="E687" i="1"/>
  <c r="E640" i="1"/>
  <c r="E631" i="1"/>
  <c r="E634" i="1"/>
  <c r="E692" i="1"/>
  <c r="E688" i="1"/>
  <c r="E676" i="1"/>
  <c r="E647" i="1"/>
  <c r="E629" i="1"/>
  <c r="E707" i="1"/>
  <c r="E682" i="1"/>
  <c r="E642" i="1"/>
  <c r="E628" i="1"/>
  <c r="E690" i="1"/>
  <c r="E680" i="1"/>
  <c r="E698" i="1"/>
  <c r="E683" i="1"/>
  <c r="E641" i="1"/>
  <c r="E706" i="1"/>
  <c r="E677" i="1"/>
  <c r="E694" i="1"/>
  <c r="E630" i="1"/>
  <c r="E639" i="1"/>
  <c r="E700" i="1"/>
  <c r="E669" i="1"/>
  <c r="E636" i="1"/>
  <c r="E713" i="1"/>
  <c r="E685" i="1"/>
  <c r="E684" i="1"/>
  <c r="E668" i="1"/>
  <c r="E674" i="1"/>
  <c r="E709" i="1"/>
  <c r="E672" i="1"/>
  <c r="E703" i="1"/>
  <c r="E673" i="1"/>
  <c r="E686" i="1"/>
  <c r="E644" i="1"/>
  <c r="E643" i="1"/>
  <c r="E632" i="1"/>
  <c r="F712" i="10"/>
  <c r="F704" i="10"/>
  <c r="F696" i="10"/>
  <c r="F688" i="10"/>
  <c r="F680" i="10"/>
  <c r="F672" i="10"/>
  <c r="F706" i="10"/>
  <c r="F698" i="10"/>
  <c r="F690" i="10"/>
  <c r="F682" i="10"/>
  <c r="F674" i="10"/>
  <c r="F711" i="10"/>
  <c r="F703" i="10"/>
  <c r="F695" i="10"/>
  <c r="F687" i="10"/>
  <c r="F679" i="10"/>
  <c r="F671" i="10"/>
  <c r="F713" i="10"/>
  <c r="F705" i="10"/>
  <c r="F697" i="10"/>
  <c r="F689" i="10"/>
  <c r="F681" i="10"/>
  <c r="F673" i="10"/>
  <c r="F702" i="10"/>
  <c r="F686" i="10"/>
  <c r="F670" i="10"/>
  <c r="F647" i="10"/>
  <c r="F645" i="10"/>
  <c r="F635" i="10"/>
  <c r="F716" i="10"/>
  <c r="F699" i="10"/>
  <c r="F683" i="10"/>
  <c r="F643" i="10"/>
  <c r="F638" i="10"/>
  <c r="F630" i="10"/>
  <c r="F627" i="10"/>
  <c r="F709" i="10"/>
  <c r="F693" i="10"/>
  <c r="F677" i="10"/>
  <c r="F641" i="10"/>
  <c r="F633" i="10"/>
  <c r="F700" i="10"/>
  <c r="F684" i="10"/>
  <c r="F668" i="10"/>
  <c r="F636" i="10"/>
  <c r="F625" i="10"/>
  <c r="F710" i="10"/>
  <c r="F694" i="10"/>
  <c r="F678" i="10"/>
  <c r="F646" i="10"/>
  <c r="F639" i="10"/>
  <c r="F631" i="10"/>
  <c r="F628" i="10"/>
  <c r="F675" i="10"/>
  <c r="F642" i="10"/>
  <c r="F629" i="10"/>
  <c r="F701" i="10"/>
  <c r="F707" i="10"/>
  <c r="F692" i="10"/>
  <c r="F637" i="10"/>
  <c r="F644" i="10"/>
  <c r="F626" i="10"/>
  <c r="F634" i="10"/>
  <c r="F640" i="10"/>
  <c r="F685" i="10"/>
  <c r="F632" i="10"/>
  <c r="F708" i="10"/>
  <c r="F669" i="10"/>
  <c r="F691" i="10"/>
  <c r="F676" i="10"/>
  <c r="E715" i="1" l="1"/>
  <c r="F632" i="1"/>
  <c r="F692" i="1"/>
  <c r="F670" i="1"/>
  <c r="F637" i="1"/>
  <c r="F679" i="1"/>
  <c r="F695" i="1"/>
  <c r="F716" i="1"/>
  <c r="F626" i="1"/>
  <c r="F698" i="1"/>
  <c r="F712" i="1"/>
  <c r="F625" i="1"/>
  <c r="F696" i="1"/>
  <c r="F685" i="1"/>
  <c r="F673" i="1"/>
  <c r="F638" i="1"/>
  <c r="F676" i="1"/>
  <c r="F641" i="1"/>
  <c r="F708" i="1"/>
  <c r="F635" i="1"/>
  <c r="F682" i="1"/>
  <c r="F691" i="1"/>
  <c r="F710" i="1"/>
  <c r="F669" i="1"/>
  <c r="F671" i="1"/>
  <c r="F627" i="1"/>
  <c r="F690" i="1"/>
  <c r="F639" i="1"/>
  <c r="F709" i="1"/>
  <c r="F629" i="1"/>
  <c r="F680" i="1"/>
  <c r="F672" i="1"/>
  <c r="F713" i="1"/>
  <c r="F694" i="1"/>
  <c r="F684" i="1"/>
  <c r="F686" i="1"/>
  <c r="F706" i="1"/>
  <c r="F634" i="1"/>
  <c r="F681" i="1"/>
  <c r="F687" i="1"/>
  <c r="F642" i="1"/>
  <c r="F705" i="1"/>
  <c r="F697" i="1"/>
  <c r="F674" i="1"/>
  <c r="F631" i="1"/>
  <c r="F678" i="1"/>
  <c r="F645" i="1"/>
  <c r="F688" i="1"/>
  <c r="F699" i="1"/>
  <c r="F677" i="1"/>
  <c r="F646" i="1"/>
  <c r="F675" i="1"/>
  <c r="F703" i="1"/>
  <c r="F701" i="1"/>
  <c r="F633" i="1"/>
  <c r="F711" i="1"/>
  <c r="F636" i="1"/>
  <c r="F707" i="1"/>
  <c r="F647" i="1"/>
  <c r="F689" i="1"/>
  <c r="F693" i="1"/>
  <c r="F683" i="1"/>
  <c r="F702" i="1"/>
  <c r="F668" i="1"/>
  <c r="F700" i="1"/>
  <c r="F640" i="1"/>
  <c r="F628" i="1"/>
  <c r="F643" i="1"/>
  <c r="F644" i="1"/>
  <c r="F630" i="1"/>
  <c r="F704" i="1"/>
  <c r="F715" i="10"/>
  <c r="G625" i="10"/>
  <c r="F715" i="1" l="1"/>
  <c r="G625" i="1"/>
  <c r="G709" i="10"/>
  <c r="G701" i="10"/>
  <c r="G693" i="10"/>
  <c r="G685" i="10"/>
  <c r="G677" i="10"/>
  <c r="G669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0" i="10"/>
  <c r="G702" i="10"/>
  <c r="G694" i="10"/>
  <c r="G686" i="10"/>
  <c r="G678" i="10"/>
  <c r="G670" i="10"/>
  <c r="G647" i="10"/>
  <c r="G646" i="10"/>
  <c r="G645" i="10"/>
  <c r="G716" i="10"/>
  <c r="G699" i="10"/>
  <c r="G683" i="10"/>
  <c r="G643" i="10"/>
  <c r="G638" i="10"/>
  <c r="G630" i="10"/>
  <c r="G627" i="10"/>
  <c r="G712" i="10"/>
  <c r="G696" i="10"/>
  <c r="G680" i="10"/>
  <c r="G641" i="10"/>
  <c r="G633" i="10"/>
  <c r="G706" i="10"/>
  <c r="G690" i="10"/>
  <c r="G674" i="10"/>
  <c r="G636" i="10"/>
  <c r="G713" i="10"/>
  <c r="G697" i="10"/>
  <c r="G681" i="10"/>
  <c r="G639" i="10"/>
  <c r="G631" i="10"/>
  <c r="G628" i="10"/>
  <c r="G707" i="10"/>
  <c r="G691" i="10"/>
  <c r="G675" i="10"/>
  <c r="G644" i="10"/>
  <c r="G642" i="10"/>
  <c r="G634" i="10"/>
  <c r="G629" i="10"/>
  <c r="G698" i="10"/>
  <c r="G637" i="10"/>
  <c r="G705" i="10"/>
  <c r="G632" i="10"/>
  <c r="G672" i="10"/>
  <c r="G635" i="10"/>
  <c r="G626" i="10"/>
  <c r="G682" i="10"/>
  <c r="G704" i="10"/>
  <c r="G689" i="10"/>
  <c r="G688" i="10"/>
  <c r="G673" i="10"/>
  <c r="G640" i="10"/>
  <c r="G688" i="1" l="1"/>
  <c r="G710" i="1"/>
  <c r="G628" i="1"/>
  <c r="G642" i="1"/>
  <c r="G647" i="1"/>
  <c r="G705" i="1"/>
  <c r="G635" i="1"/>
  <c r="G702" i="1"/>
  <c r="G709" i="1"/>
  <c r="G670" i="1"/>
  <c r="G693" i="1"/>
  <c r="G685" i="1"/>
  <c r="G695" i="1"/>
  <c r="G632" i="1"/>
  <c r="G627" i="1"/>
  <c r="G677" i="1"/>
  <c r="G638" i="1"/>
  <c r="G676" i="1"/>
  <c r="G679" i="1"/>
  <c r="G712" i="1"/>
  <c r="G681" i="1"/>
  <c r="G708" i="1"/>
  <c r="G703" i="1"/>
  <c r="G637" i="1"/>
  <c r="G645" i="1"/>
  <c r="G687" i="1"/>
  <c r="G701" i="1"/>
  <c r="G692" i="1"/>
  <c r="G716" i="1"/>
  <c r="G646" i="1"/>
  <c r="G686" i="1"/>
  <c r="G675" i="1"/>
  <c r="G697" i="1"/>
  <c r="G669" i="1"/>
  <c r="G639" i="1"/>
  <c r="G631" i="1"/>
  <c r="G691" i="1"/>
  <c r="G696" i="1"/>
  <c r="G636" i="1"/>
  <c r="G671" i="1"/>
  <c r="G680" i="1"/>
  <c r="G690" i="1"/>
  <c r="G673" i="1"/>
  <c r="G706" i="1"/>
  <c r="G626" i="1"/>
  <c r="G682" i="1"/>
  <c r="G668" i="1"/>
  <c r="G633" i="1"/>
  <c r="G634" i="1"/>
  <c r="G629" i="1"/>
  <c r="G643" i="1"/>
  <c r="G699" i="1"/>
  <c r="G640" i="1"/>
  <c r="G700" i="1"/>
  <c r="G704" i="1"/>
  <c r="G683" i="1"/>
  <c r="G713" i="1"/>
  <c r="G630" i="1"/>
  <c r="G644" i="1"/>
  <c r="G678" i="1"/>
  <c r="G711" i="1"/>
  <c r="G684" i="1"/>
  <c r="G689" i="1"/>
  <c r="G707" i="1"/>
  <c r="G674" i="1"/>
  <c r="G694" i="1"/>
  <c r="G672" i="1"/>
  <c r="G698" i="1"/>
  <c r="G641" i="1"/>
  <c r="G715" i="10"/>
  <c r="H628" i="10"/>
  <c r="H628" i="1" l="1"/>
  <c r="G715" i="1"/>
  <c r="H706" i="10"/>
  <c r="H698" i="10"/>
  <c r="H690" i="10"/>
  <c r="H682" i="10"/>
  <c r="H674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6" i="10"/>
  <c r="H707" i="10"/>
  <c r="H699" i="10"/>
  <c r="H691" i="10"/>
  <c r="H683" i="10"/>
  <c r="H675" i="10"/>
  <c r="H644" i="10"/>
  <c r="H643" i="10"/>
  <c r="H642" i="10"/>
  <c r="H712" i="10"/>
  <c r="H696" i="10"/>
  <c r="H680" i="10"/>
  <c r="H641" i="10"/>
  <c r="H633" i="10"/>
  <c r="H709" i="10"/>
  <c r="H693" i="10"/>
  <c r="H677" i="10"/>
  <c r="H636" i="10"/>
  <c r="H703" i="10"/>
  <c r="H687" i="10"/>
  <c r="H671" i="10"/>
  <c r="H639" i="10"/>
  <c r="H631" i="10"/>
  <c r="H710" i="10"/>
  <c r="H694" i="10"/>
  <c r="H678" i="10"/>
  <c r="H646" i="10"/>
  <c r="H634" i="10"/>
  <c r="H704" i="10"/>
  <c r="H688" i="10"/>
  <c r="H672" i="10"/>
  <c r="H637" i="10"/>
  <c r="H629" i="10"/>
  <c r="H679" i="10"/>
  <c r="H638" i="10"/>
  <c r="H702" i="10"/>
  <c r="H647" i="10"/>
  <c r="H685" i="10"/>
  <c r="H670" i="10"/>
  <c r="H640" i="10"/>
  <c r="H711" i="10"/>
  <c r="H645" i="10"/>
  <c r="H635" i="10"/>
  <c r="H695" i="10"/>
  <c r="H701" i="10"/>
  <c r="H686" i="10"/>
  <c r="H632" i="10"/>
  <c r="H669" i="10"/>
  <c r="H630" i="10"/>
  <c r="H639" i="1" l="1"/>
  <c r="H679" i="1"/>
  <c r="H676" i="1"/>
  <c r="H716" i="1"/>
  <c r="H677" i="1"/>
  <c r="H696" i="1"/>
  <c r="H631" i="1"/>
  <c r="H672" i="1"/>
  <c r="H638" i="1"/>
  <c r="H647" i="1"/>
  <c r="H680" i="1"/>
  <c r="H683" i="1"/>
  <c r="H645" i="1"/>
  <c r="H644" i="1"/>
  <c r="H637" i="1"/>
  <c r="H705" i="1"/>
  <c r="H671" i="1"/>
  <c r="H687" i="1"/>
  <c r="H691" i="1"/>
  <c r="H703" i="1"/>
  <c r="H675" i="1"/>
  <c r="H678" i="1"/>
  <c r="H695" i="1"/>
  <c r="H684" i="1"/>
  <c r="H688" i="1"/>
  <c r="H669" i="1"/>
  <c r="H708" i="1"/>
  <c r="H668" i="1"/>
  <c r="H646" i="1"/>
  <c r="H686" i="1"/>
  <c r="H693" i="1"/>
  <c r="H640" i="1"/>
  <c r="H642" i="1"/>
  <c r="H711" i="1"/>
  <c r="H706" i="1"/>
  <c r="H634" i="1"/>
  <c r="H698" i="1"/>
  <c r="H636" i="1"/>
  <c r="H673" i="1"/>
  <c r="H704" i="1"/>
  <c r="H670" i="1"/>
  <c r="H699" i="1"/>
  <c r="H641" i="1"/>
  <c r="H694" i="1"/>
  <c r="H630" i="1"/>
  <c r="H681" i="1"/>
  <c r="H692" i="1"/>
  <c r="H702" i="1"/>
  <c r="H682" i="1"/>
  <c r="H633" i="1"/>
  <c r="H709" i="1"/>
  <c r="H690" i="1"/>
  <c r="H713" i="1"/>
  <c r="H632" i="1"/>
  <c r="H700" i="1"/>
  <c r="H710" i="1"/>
  <c r="H707" i="1"/>
  <c r="H635" i="1"/>
  <c r="H674" i="1"/>
  <c r="H697" i="1"/>
  <c r="H712" i="1"/>
  <c r="H629" i="1"/>
  <c r="H689" i="1"/>
  <c r="H701" i="1"/>
  <c r="H685" i="1"/>
  <c r="H643" i="1"/>
  <c r="H715" i="10"/>
  <c r="I629" i="10"/>
  <c r="H715" i="1" l="1"/>
  <c r="I629" i="1"/>
  <c r="I711" i="10"/>
  <c r="I703" i="10"/>
  <c r="I695" i="10"/>
  <c r="I687" i="10"/>
  <c r="I679" i="10"/>
  <c r="I671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6" i="10"/>
  <c r="I712" i="10"/>
  <c r="I704" i="10"/>
  <c r="I696" i="10"/>
  <c r="I688" i="10"/>
  <c r="I680" i="10"/>
  <c r="I672" i="10"/>
  <c r="I709" i="10"/>
  <c r="I693" i="10"/>
  <c r="I677" i="10"/>
  <c r="I636" i="10"/>
  <c r="I706" i="10"/>
  <c r="I690" i="10"/>
  <c r="I674" i="10"/>
  <c r="I639" i="10"/>
  <c r="I631" i="10"/>
  <c r="I700" i="10"/>
  <c r="I684" i="10"/>
  <c r="I668" i="10"/>
  <c r="I634" i="10"/>
  <c r="I707" i="10"/>
  <c r="I691" i="10"/>
  <c r="I675" i="10"/>
  <c r="I644" i="10"/>
  <c r="I642" i="10"/>
  <c r="I637" i="10"/>
  <c r="I701" i="10"/>
  <c r="I685" i="10"/>
  <c r="I669" i="10"/>
  <c r="I640" i="10"/>
  <c r="I632" i="10"/>
  <c r="I698" i="10"/>
  <c r="I683" i="10"/>
  <c r="I682" i="10"/>
  <c r="I633" i="10"/>
  <c r="I676" i="10"/>
  <c r="I630" i="10"/>
  <c r="I635" i="10"/>
  <c r="I643" i="10"/>
  <c r="I641" i="10"/>
  <c r="I638" i="10"/>
  <c r="I708" i="10"/>
  <c r="I692" i="10"/>
  <c r="I699" i="10"/>
  <c r="I646" i="1" l="1"/>
  <c r="I670" i="1"/>
  <c r="I689" i="1"/>
  <c r="I673" i="1"/>
  <c r="I708" i="1"/>
  <c r="I634" i="1"/>
  <c r="I703" i="1"/>
  <c r="I636" i="1"/>
  <c r="I637" i="1"/>
  <c r="I711" i="1"/>
  <c r="I679" i="1"/>
  <c r="I643" i="1"/>
  <c r="I647" i="1"/>
  <c r="I694" i="1"/>
  <c r="I639" i="1"/>
  <c r="I710" i="1"/>
  <c r="I676" i="1"/>
  <c r="I645" i="1"/>
  <c r="I701" i="1"/>
  <c r="I678" i="1"/>
  <c r="I632" i="1"/>
  <c r="I684" i="1"/>
  <c r="I688" i="1"/>
  <c r="I675" i="1"/>
  <c r="I687" i="1"/>
  <c r="I697" i="1"/>
  <c r="I669" i="1"/>
  <c r="I700" i="1"/>
  <c r="I635" i="1"/>
  <c r="I633" i="1"/>
  <c r="I630" i="1"/>
  <c r="I642" i="1"/>
  <c r="I638" i="1"/>
  <c r="I706" i="1"/>
  <c r="I674" i="1"/>
  <c r="I683" i="1"/>
  <c r="I640" i="1"/>
  <c r="I680" i="1"/>
  <c r="I713" i="1"/>
  <c r="I699" i="1"/>
  <c r="I696" i="1"/>
  <c r="I686" i="1"/>
  <c r="I671" i="1"/>
  <c r="I692" i="1"/>
  <c r="I641" i="1"/>
  <c r="I691" i="1"/>
  <c r="I644" i="1"/>
  <c r="I716" i="1"/>
  <c r="I672" i="1"/>
  <c r="I685" i="1"/>
  <c r="I668" i="1"/>
  <c r="I677" i="1"/>
  <c r="I702" i="1"/>
  <c r="I681" i="1"/>
  <c r="I705" i="1"/>
  <c r="I693" i="1"/>
  <c r="I712" i="1"/>
  <c r="I631" i="1"/>
  <c r="I698" i="1"/>
  <c r="I690" i="1"/>
  <c r="I704" i="1"/>
  <c r="I707" i="1"/>
  <c r="I695" i="1"/>
  <c r="I682" i="1"/>
  <c r="I709" i="1"/>
  <c r="I715" i="10"/>
  <c r="J630" i="10"/>
  <c r="I715" i="1" l="1"/>
  <c r="J630" i="1"/>
  <c r="J708" i="10"/>
  <c r="J700" i="10"/>
  <c r="J692" i="10"/>
  <c r="J684" i="10"/>
  <c r="J676" i="10"/>
  <c r="J668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9" i="10"/>
  <c r="J701" i="10"/>
  <c r="J693" i="10"/>
  <c r="J685" i="10"/>
  <c r="J677" i="10"/>
  <c r="J669" i="10"/>
  <c r="J706" i="10"/>
  <c r="J690" i="10"/>
  <c r="J674" i="10"/>
  <c r="J703" i="10"/>
  <c r="J687" i="10"/>
  <c r="J671" i="10"/>
  <c r="J713" i="10"/>
  <c r="J697" i="10"/>
  <c r="J681" i="10"/>
  <c r="J704" i="10"/>
  <c r="J688" i="10"/>
  <c r="J672" i="10"/>
  <c r="J698" i="10"/>
  <c r="J682" i="10"/>
  <c r="J689" i="10"/>
  <c r="J695" i="10"/>
  <c r="J680" i="10"/>
  <c r="J705" i="10"/>
  <c r="J712" i="10"/>
  <c r="J673" i="10"/>
  <c r="J711" i="10"/>
  <c r="J696" i="10"/>
  <c r="J679" i="10"/>
  <c r="J694" i="1" l="1"/>
  <c r="J646" i="1"/>
  <c r="J687" i="1"/>
  <c r="J676" i="1"/>
  <c r="J709" i="1"/>
  <c r="J678" i="1"/>
  <c r="J636" i="1"/>
  <c r="J638" i="1"/>
  <c r="J637" i="1"/>
  <c r="J703" i="1"/>
  <c r="J712" i="1"/>
  <c r="J690" i="1"/>
  <c r="J689" i="1"/>
  <c r="J633" i="1"/>
  <c r="J710" i="1"/>
  <c r="J713" i="1"/>
  <c r="J692" i="1"/>
  <c r="J711" i="1"/>
  <c r="J643" i="1"/>
  <c r="J704" i="1"/>
  <c r="J682" i="1"/>
  <c r="J669" i="1"/>
  <c r="J707" i="1"/>
  <c r="J698" i="1"/>
  <c r="J701" i="1"/>
  <c r="J632" i="1"/>
  <c r="J672" i="1"/>
  <c r="J677" i="1"/>
  <c r="J705" i="1"/>
  <c r="J679" i="1"/>
  <c r="J647" i="1"/>
  <c r="J673" i="1"/>
  <c r="J641" i="1"/>
  <c r="J688" i="1"/>
  <c r="J639" i="1"/>
  <c r="J706" i="1"/>
  <c r="J685" i="1"/>
  <c r="J634" i="1"/>
  <c r="J708" i="1"/>
  <c r="J695" i="1"/>
  <c r="J696" i="1"/>
  <c r="J675" i="1"/>
  <c r="J640" i="1"/>
  <c r="J631" i="1"/>
  <c r="J645" i="1"/>
  <c r="J684" i="1"/>
  <c r="J697" i="1"/>
  <c r="J642" i="1"/>
  <c r="J644" i="1"/>
  <c r="J699" i="1"/>
  <c r="J671" i="1"/>
  <c r="J686" i="1"/>
  <c r="J674" i="1"/>
  <c r="J691" i="1"/>
  <c r="J635" i="1"/>
  <c r="J683" i="1"/>
  <c r="J700" i="1"/>
  <c r="J670" i="1"/>
  <c r="J681" i="1"/>
  <c r="J680" i="1"/>
  <c r="J693" i="1"/>
  <c r="J716" i="1"/>
  <c r="J668" i="1"/>
  <c r="J702" i="1"/>
  <c r="K644" i="10"/>
  <c r="L647" i="10"/>
  <c r="J715" i="10"/>
  <c r="L647" i="1" l="1"/>
  <c r="L704" i="1" s="1"/>
  <c r="J715" i="1"/>
  <c r="K644" i="1"/>
  <c r="K713" i="10"/>
  <c r="K705" i="10"/>
  <c r="K697" i="10"/>
  <c r="K689" i="10"/>
  <c r="K681" i="10"/>
  <c r="K673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6" i="10"/>
  <c r="K698" i="10"/>
  <c r="K690" i="10"/>
  <c r="K682" i="10"/>
  <c r="K674" i="10"/>
  <c r="K703" i="10"/>
  <c r="K687" i="10"/>
  <c r="K671" i="10"/>
  <c r="K700" i="10"/>
  <c r="K684" i="10"/>
  <c r="K668" i="10"/>
  <c r="K710" i="10"/>
  <c r="K694" i="10"/>
  <c r="K678" i="10"/>
  <c r="K701" i="10"/>
  <c r="K685" i="10"/>
  <c r="K669" i="10"/>
  <c r="K711" i="10"/>
  <c r="K695" i="10"/>
  <c r="K679" i="10"/>
  <c r="K702" i="10"/>
  <c r="K686" i="10"/>
  <c r="K708" i="10"/>
  <c r="K693" i="10"/>
  <c r="K709" i="10"/>
  <c r="K670" i="10"/>
  <c r="K692" i="10"/>
  <c r="K677" i="10"/>
  <c r="K676" i="10"/>
  <c r="L710" i="10"/>
  <c r="L702" i="10"/>
  <c r="L694" i="10"/>
  <c r="L686" i="10"/>
  <c r="L678" i="10"/>
  <c r="L670" i="10"/>
  <c r="L716" i="10"/>
  <c r="L712" i="10"/>
  <c r="L704" i="10"/>
  <c r="L696" i="10"/>
  <c r="L688" i="10"/>
  <c r="L680" i="10"/>
  <c r="L672" i="10"/>
  <c r="L709" i="10"/>
  <c r="L701" i="10"/>
  <c r="L693" i="10"/>
  <c r="L685" i="10"/>
  <c r="L677" i="10"/>
  <c r="L669" i="10"/>
  <c r="L711" i="10"/>
  <c r="L703" i="10"/>
  <c r="L695" i="10"/>
  <c r="M695" i="10" s="1"/>
  <c r="L687" i="10"/>
  <c r="L679" i="10"/>
  <c r="L671" i="10"/>
  <c r="L700" i="10"/>
  <c r="L684" i="10"/>
  <c r="L668" i="10"/>
  <c r="L713" i="10"/>
  <c r="L697" i="10"/>
  <c r="L681" i="10"/>
  <c r="L707" i="10"/>
  <c r="L691" i="10"/>
  <c r="L675" i="10"/>
  <c r="L698" i="10"/>
  <c r="L682" i="10"/>
  <c r="L708" i="10"/>
  <c r="L692" i="10"/>
  <c r="M692" i="10" s="1"/>
  <c r="L676" i="10"/>
  <c r="L706" i="10"/>
  <c r="M706" i="10" s="1"/>
  <c r="L705" i="10"/>
  <c r="L690" i="10"/>
  <c r="M690" i="10" s="1"/>
  <c r="L673" i="10"/>
  <c r="M673" i="10" s="1"/>
  <c r="L699" i="10"/>
  <c r="L689" i="10"/>
  <c r="M689" i="10" s="1"/>
  <c r="L674" i="10"/>
  <c r="L683" i="10"/>
  <c r="L698" i="1" l="1"/>
  <c r="L685" i="1"/>
  <c r="L706" i="1"/>
  <c r="L705" i="1"/>
  <c r="L688" i="1"/>
  <c r="L702" i="1"/>
  <c r="L710" i="1"/>
  <c r="L696" i="1"/>
  <c r="L674" i="1"/>
  <c r="L683" i="1"/>
  <c r="L670" i="1"/>
  <c r="L708" i="1"/>
  <c r="L687" i="1"/>
  <c r="L707" i="1"/>
  <c r="L695" i="1"/>
  <c r="L673" i="1"/>
  <c r="L684" i="1"/>
  <c r="L676" i="1"/>
  <c r="L678" i="1"/>
  <c r="L697" i="1"/>
  <c r="L692" i="1"/>
  <c r="L680" i="1"/>
  <c r="L711" i="1"/>
  <c r="L713" i="1"/>
  <c r="L716" i="1"/>
  <c r="L709" i="1"/>
  <c r="L699" i="1"/>
  <c r="L677" i="1"/>
  <c r="L669" i="1"/>
  <c r="L694" i="1"/>
  <c r="L689" i="1"/>
  <c r="L712" i="1"/>
  <c r="L690" i="1"/>
  <c r="L679" i="1"/>
  <c r="L703" i="1"/>
  <c r="L671" i="1"/>
  <c r="L686" i="1"/>
  <c r="L668" i="1"/>
  <c r="L700" i="1"/>
  <c r="L681" i="1"/>
  <c r="L701" i="1"/>
  <c r="L682" i="1"/>
  <c r="L693" i="1"/>
  <c r="L675" i="1"/>
  <c r="L672" i="1"/>
  <c r="L691" i="1"/>
  <c r="K716" i="1"/>
  <c r="K671" i="1"/>
  <c r="K680" i="1"/>
  <c r="K674" i="1"/>
  <c r="K695" i="1"/>
  <c r="K705" i="1"/>
  <c r="K696" i="1"/>
  <c r="K692" i="1"/>
  <c r="K712" i="1"/>
  <c r="K686" i="1"/>
  <c r="K694" i="1"/>
  <c r="K700" i="1"/>
  <c r="K672" i="1"/>
  <c r="K698" i="1"/>
  <c r="K702" i="1"/>
  <c r="K673" i="1"/>
  <c r="K709" i="1"/>
  <c r="K690" i="1"/>
  <c r="K683" i="1"/>
  <c r="K668" i="1"/>
  <c r="K689" i="1"/>
  <c r="K669" i="1"/>
  <c r="K684" i="1"/>
  <c r="K688" i="1"/>
  <c r="K708" i="1"/>
  <c r="K703" i="1"/>
  <c r="K670" i="1"/>
  <c r="K678" i="1"/>
  <c r="K706" i="1"/>
  <c r="M706" i="1" s="1"/>
  <c r="K693" i="1"/>
  <c r="K697" i="1"/>
  <c r="K676" i="1"/>
  <c r="K691" i="1"/>
  <c r="K699" i="1"/>
  <c r="K711" i="1"/>
  <c r="K701" i="1"/>
  <c r="K710" i="1"/>
  <c r="K704" i="1"/>
  <c r="M704" i="1" s="1"/>
  <c r="K679" i="1"/>
  <c r="K707" i="1"/>
  <c r="M707" i="1" s="1"/>
  <c r="K685" i="1"/>
  <c r="K681" i="1"/>
  <c r="M681" i="1" s="1"/>
  <c r="K675" i="1"/>
  <c r="K677" i="1"/>
  <c r="K687" i="1"/>
  <c r="K682" i="1"/>
  <c r="K713" i="1"/>
  <c r="M703" i="10"/>
  <c r="M697" i="10"/>
  <c r="M700" i="10"/>
  <c r="M683" i="10"/>
  <c r="M681" i="10"/>
  <c r="M687" i="10"/>
  <c r="M669" i="10"/>
  <c r="M701" i="10"/>
  <c r="M709" i="10"/>
  <c r="M705" i="10"/>
  <c r="M691" i="10"/>
  <c r="M713" i="10"/>
  <c r="M671" i="10"/>
  <c r="M708" i="10"/>
  <c r="M699" i="10"/>
  <c r="M682" i="10"/>
  <c r="M685" i="10"/>
  <c r="M672" i="10"/>
  <c r="M704" i="10"/>
  <c r="M710" i="10"/>
  <c r="M679" i="10"/>
  <c r="M693" i="10"/>
  <c r="M680" i="10"/>
  <c r="M712" i="10"/>
  <c r="M707" i="10"/>
  <c r="M711" i="10"/>
  <c r="M684" i="10"/>
  <c r="M698" i="10"/>
  <c r="M675" i="10"/>
  <c r="M670" i="10"/>
  <c r="K715" i="10"/>
  <c r="M678" i="10"/>
  <c r="L715" i="10"/>
  <c r="M668" i="10"/>
  <c r="M686" i="10"/>
  <c r="M676" i="10"/>
  <c r="M688" i="10"/>
  <c r="M694" i="10"/>
  <c r="M674" i="10"/>
  <c r="M677" i="10"/>
  <c r="M696" i="10"/>
  <c r="M702" i="10"/>
  <c r="M684" i="1" l="1"/>
  <c r="M710" i="1"/>
  <c r="M695" i="1"/>
  <c r="M705" i="1"/>
  <c r="M689" i="1"/>
  <c r="C119" i="9" s="1"/>
  <c r="M676" i="1"/>
  <c r="D55" i="9" s="1"/>
  <c r="M688" i="1"/>
  <c r="M685" i="1"/>
  <c r="F87" i="9" s="1"/>
  <c r="M698" i="1"/>
  <c r="E151" i="9" s="1"/>
  <c r="M671" i="1"/>
  <c r="M697" i="1"/>
  <c r="M696" i="1"/>
  <c r="C151" i="9" s="1"/>
  <c r="M708" i="1"/>
  <c r="M702" i="1"/>
  <c r="I151" i="9" s="1"/>
  <c r="M687" i="1"/>
  <c r="M679" i="1"/>
  <c r="G55" i="9" s="1"/>
  <c r="M670" i="1"/>
  <c r="E23" i="9" s="1"/>
  <c r="M683" i="1"/>
  <c r="M694" i="1"/>
  <c r="M674" i="1"/>
  <c r="M711" i="1"/>
  <c r="D215" i="9" s="1"/>
  <c r="M699" i="1"/>
  <c r="F151" i="9" s="1"/>
  <c r="M693" i="1"/>
  <c r="G119" i="9" s="1"/>
  <c r="M703" i="1"/>
  <c r="C183" i="9" s="1"/>
  <c r="L715" i="1"/>
  <c r="M713" i="1"/>
  <c r="M701" i="1"/>
  <c r="M678" i="1"/>
  <c r="F55" i="9" s="1"/>
  <c r="M673" i="1"/>
  <c r="H23" i="9" s="1"/>
  <c r="M692" i="1"/>
  <c r="F119" i="9" s="1"/>
  <c r="M680" i="1"/>
  <c r="H55" i="9" s="1"/>
  <c r="M677" i="1"/>
  <c r="M700" i="1"/>
  <c r="M675" i="1"/>
  <c r="M682" i="1"/>
  <c r="C87" i="9" s="1"/>
  <c r="M669" i="1"/>
  <c r="M690" i="1"/>
  <c r="D119" i="9" s="1"/>
  <c r="M686" i="1"/>
  <c r="M691" i="1"/>
  <c r="M709" i="1"/>
  <c r="I183" i="9" s="1"/>
  <c r="M672" i="1"/>
  <c r="M712" i="1"/>
  <c r="E215" i="9" s="1"/>
  <c r="H151" i="9"/>
  <c r="G183" i="9"/>
  <c r="I55" i="9"/>
  <c r="K715" i="1"/>
  <c r="I119" i="9"/>
  <c r="D183" i="9"/>
  <c r="E87" i="9"/>
  <c r="E183" i="9"/>
  <c r="F183" i="9"/>
  <c r="C215" i="9"/>
  <c r="M668" i="1"/>
  <c r="M715" i="10"/>
  <c r="I87" i="9" l="1"/>
  <c r="F23" i="9"/>
  <c r="H87" i="9"/>
  <c r="H183" i="9"/>
  <c r="D151" i="9"/>
  <c r="H119" i="9"/>
  <c r="G151" i="9"/>
  <c r="G23" i="9"/>
  <c r="D87" i="9"/>
  <c r="I23" i="9"/>
  <c r="F215" i="9"/>
  <c r="E55" i="9"/>
  <c r="D23" i="9"/>
  <c r="E119" i="9"/>
  <c r="C55" i="9"/>
  <c r="G87" i="9"/>
  <c r="M715" i="1"/>
  <c r="C23" i="9"/>
</calcChain>
</file>

<file path=xl/sharedStrings.xml><?xml version="1.0" encoding="utf-8"?>
<sst xmlns="http://schemas.openxmlformats.org/spreadsheetml/2006/main" count="4397" uniqueCount="1012">
  <si>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</si>
  <si>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</si>
  <si>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</si>
  <si>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</si>
  <si>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</si>
  <si>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</si>
  <si>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</si>
  <si>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</si>
  <si>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</si>
  <si>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</si>
  <si>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</si>
  <si>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</si>
  <si>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</si>
  <si>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</si>
  <si>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</si>
  <si>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</si>
  <si>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</si>
  <si>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</si>
  <si>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</si>
  <si>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</si>
  <si>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</si>
  <si>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</si>
  <si>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</si>
  <si>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</si>
  <si>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</si>
  <si>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</si>
  <si>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</si>
  <si>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</si>
  <si>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</si>
  <si>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</si>
  <si>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</si>
  <si>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</si>
  <si>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</si>
  <si>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</si>
  <si>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</si>
  <si>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</si>
  <si>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</si>
  <si>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</si>
  <si>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</si>
  <si>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</si>
  <si>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</si>
  <si>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</si>
  <si>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</si>
  <si>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</si>
  <si>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</si>
  <si>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</si>
  <si>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</si>
  <si>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</si>
  <si>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</si>
  <si>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</si>
  <si>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</si>
  <si>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</si>
  <si>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</si>
  <si>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</si>
  <si>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</si>
  <si>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</si>
  <si>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</si>
  <si>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</si>
  <si>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</si>
  <si>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</si>
  <si>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</si>
  <si>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</si>
  <si>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</si>
  <si>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</si>
  <si>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</si>
  <si>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</si>
  <si>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</si>
  <si>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</si>
  <si>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</si>
  <si>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</si>
  <si>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</si>
  <si>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</si>
  <si>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</si>
  <si>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</si>
  <si>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</si>
  <si>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</si>
  <si>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</si>
  <si>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</si>
  <si>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</si>
  <si>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</si>
  <si>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</si>
  <si>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</si>
  <si>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</si>
  <si>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</si>
  <si>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</si>
  <si>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</si>
  <si>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</si>
  <si>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</si>
  <si>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</si>
  <si>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</si>
  <si>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</si>
  <si>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</si>
  <si>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</si>
  <si>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</si>
  <si>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</si>
  <si>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</si>
  <si>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</si>
  <si>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</si>
  <si>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</si>
  <si>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</si>
  <si>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</si>
  <si>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</si>
  <si>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</si>
  <si>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</si>
  <si>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</si>
  <si>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</si>
  <si>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</si>
  <si>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</si>
  <si>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</si>
  <si>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</si>
  <si>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</si>
  <si>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</si>
  <si>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</si>
  <si>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</si>
  <si>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</si>
  <si>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</si>
  <si>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</si>
  <si>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</si>
  <si>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</si>
  <si>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</si>
  <si>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</si>
  <si>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</si>
  <si>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</si>
  <si>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</si>
  <si>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</si>
  <si>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</si>
  <si>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</si>
  <si>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</si>
  <si>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</si>
  <si>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</si>
  <si>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</si>
  <si>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</si>
  <si>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</si>
  <si>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</si>
  <si>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</si>
  <si>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</si>
  <si>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</si>
  <si>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</si>
  <si>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</si>
  <si>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</si>
  <si>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</si>
  <si>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</si>
  <si>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</si>
  <si>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</si>
  <si>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</si>
  <si>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</si>
  <si>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</si>
  <si>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</si>
  <si>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</si>
  <si>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</si>
  <si>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</si>
  <si>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</si>
  <si>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</si>
  <si>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</si>
  <si>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</si>
  <si>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</si>
  <si>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</si>
  <si>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</si>
  <si>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</si>
  <si>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</si>
  <si>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</si>
  <si>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</si>
  <si>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</si>
  <si>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</si>
  <si>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</si>
  <si>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</si>
  <si>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</si>
  <si>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</si>
  <si>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</si>
  <si>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</si>
  <si>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</si>
  <si>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</si>
  <si>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</si>
  <si>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</si>
  <si>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</si>
  <si>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</si>
  <si>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</si>
  <si>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</si>
  <si>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</si>
  <si>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</si>
  <si>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</si>
  <si>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</si>
  <si>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</si>
  <si>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</si>
  <si>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</si>
  <si>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</si>
  <si>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</si>
  <si>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</si>
  <si>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</si>
  <si>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</si>
  <si>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</si>
  <si>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</si>
  <si>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</si>
  <si>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</si>
  <si>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</si>
  <si>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</si>
  <si>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</si>
  <si>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</si>
  <si>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</si>
  <si>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</si>
  <si>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</si>
  <si>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</si>
  <si>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</si>
  <si>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</si>
  <si>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</si>
  <si>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</si>
  <si>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</si>
  <si>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</si>
  <si>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</si>
  <si>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</si>
  <si>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</si>
  <si>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</si>
  <si>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</si>
  <si>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</si>
  <si>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</si>
  <si>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</si>
  <si>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</si>
  <si>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</si>
  <si>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</si>
  <si>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</si>
  <si>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</si>
  <si>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</si>
  <si>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</si>
  <si>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</si>
  <si>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</si>
  <si>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</si>
  <si>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</si>
  <si>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</si>
  <si>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</si>
  <si>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</si>
  <si>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</si>
  <si>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</si>
  <si>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</si>
  <si>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</si>
  <si>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</si>
  <si>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</si>
  <si>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</si>
  <si>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</si>
  <si>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</si>
  <si>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</si>
  <si>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</si>
  <si>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</si>
  <si>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</si>
  <si>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</si>
  <si>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</si>
  <si>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</si>
  <si>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</si>
  <si>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</si>
  <si>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</si>
  <si>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</si>
  <si>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</si>
  <si>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</si>
  <si>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</si>
  <si>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</si>
  <si>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</si>
  <si>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</si>
  <si>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</si>
  <si>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</si>
  <si>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</si>
  <si>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</si>
  <si>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</si>
  <si>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</si>
  <si>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</si>
  <si>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</si>
  <si>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</si>
  <si>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</si>
  <si>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</si>
  <si>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</si>
  <si>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</si>
  <si>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</si>
  <si>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</si>
  <si>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</si>
  <si>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</si>
  <si>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</si>
  <si>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</si>
  <si>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</si>
  <si>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</si>
  <si>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</si>
  <si>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</si>
  <si>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</si>
  <si>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</si>
  <si>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</si>
  <si>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</si>
  <si>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</si>
  <si>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</si>
  <si>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</si>
  <si>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</si>
  <si>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</si>
  <si>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</si>
  <si>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</si>
  <si>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</si>
  <si>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</si>
  <si>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</si>
  <si>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</si>
  <si>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</si>
  <si>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</si>
  <si>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</si>
  <si>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</si>
  <si>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</si>
  <si>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</si>
  <si>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</si>
  <si>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</si>
  <si>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</si>
  <si>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</si>
  <si>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</si>
  <si>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</si>
  <si>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</si>
  <si>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</si>
  <si>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</si>
  <si>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</si>
  <si>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</si>
  <si>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</si>
  <si>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</si>
  <si>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</si>
  <si>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</si>
  <si>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</si>
  <si>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</si>
  <si>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</si>
  <si>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</si>
  <si>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</si>
  <si>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</si>
  <si>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</si>
  <si>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</si>
  <si>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</si>
  <si>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</si>
  <si>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</si>
  <si>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</si>
  <si>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</si>
  <si>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</si>
  <si>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</si>
  <si>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</si>
  <si>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</si>
  <si>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</si>
  <si>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</si>
  <si>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</si>
  <si>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</si>
  <si>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</si>
  <si>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</si>
  <si>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</si>
  <si>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</si>
  <si>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</si>
  <si>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</si>
  <si>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</si>
  <si>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</si>
  <si>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</si>
  <si>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</si>
  <si>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</si>
  <si>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</si>
  <si>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</si>
  <si>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</si>
  <si>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</si>
  <si>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</si>
  <si>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</si>
  <si>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</si>
  <si>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</si>
  <si>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</si>
  <si>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</si>
  <si>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</si>
  <si>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</si>
  <si>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</si>
  <si>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</si>
  <si>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</si>
  <si>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</si>
  <si>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</si>
  <si>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</si>
  <si>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</si>
  <si>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</si>
  <si>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</si>
  <si>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</si>
  <si>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</si>
  <si>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</si>
  <si>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</si>
  <si>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</si>
  <si>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</si>
  <si>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</si>
  <si>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</si>
  <si>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</si>
  <si>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</si>
  <si>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</si>
  <si>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</si>
  <si>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</si>
  <si>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</si>
  <si>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</si>
  <si>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</si>
  <si>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</si>
  <si>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</si>
  <si>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</si>
  <si>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</si>
  <si>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</si>
  <si>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</si>
  <si>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</si>
  <si>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</si>
  <si>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</si>
  <si>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</si>
  <si>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</si>
  <si>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</si>
  <si>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</si>
  <si>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</si>
  <si>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</si>
  <si>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</si>
  <si>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</si>
  <si>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</si>
  <si>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</si>
  <si>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</si>
  <si>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</si>
  <si>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</si>
  <si>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</si>
  <si>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</si>
  <si>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</si>
  <si>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</si>
  <si>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</si>
  <si>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</si>
  <si>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</si>
  <si>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</si>
  <si>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</si>
  <si>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</si>
  <si>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</si>
  <si>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</si>
  <si>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</si>
  <si>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</si>
  <si>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</si>
  <si>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</si>
  <si>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</si>
  <si>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</si>
  <si>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</si>
  <si>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</si>
  <si>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</si>
  <si>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</si>
  <si>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</si>
  <si>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</si>
  <si>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</si>
  <si>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</si>
  <si>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</si>
  <si>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</si>
  <si>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</si>
  <si>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</si>
  <si>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</si>
  <si>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</si>
  <si>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</si>
  <si>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</si>
  <si>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</si>
  <si>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</si>
  <si>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</si>
  <si>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</si>
  <si>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</si>
  <si>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</si>
  <si>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</si>
  <si>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</si>
  <si>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</si>
  <si>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</si>
  <si>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</si>
  <si>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</si>
  <si>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</si>
  <si>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</si>
  <si>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</si>
  <si>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</si>
  <si>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</si>
  <si>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</si>
  <si>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</si>
  <si>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</si>
  <si>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</si>
  <si>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</si>
  <si>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</si>
  <si>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</si>
  <si>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</si>
  <si>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</si>
  <si>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</si>
  <si>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</si>
  <si>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</si>
  <si>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</si>
  <si>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</si>
  <si>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</si>
  <si>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</si>
  <si>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</si>
  <si>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</si>
  <si>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</si>
  <si>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</si>
  <si>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</si>
  <si>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</si>
  <si>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</si>
  <si>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</si>
  <si>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</si>
  <si>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</si>
  <si>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</si>
  <si>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</si>
  <si>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</si>
  <si>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</si>
  <si>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</si>
  <si>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</si>
  <si>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</si>
  <si>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</si>
  <si>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</si>
  <si>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</si>
  <si>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</si>
  <si>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</si>
  <si>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</si>
  <si>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</si>
  <si>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</si>
  <si>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</si>
  <si>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</si>
  <si>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</si>
  <si>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</si>
  <si>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</si>
  <si>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</si>
  <si>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</si>
  <si>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</si>
  <si>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</si>
  <si>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</si>
  <si>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</si>
  <si>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</si>
  <si>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</si>
  <si>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</si>
  <si>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</si>
  <si>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</si>
  <si>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</si>
  <si>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</si>
  <si>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</si>
  <si>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</si>
  <si>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</si>
  <si>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</si>
  <si>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</si>
  <si>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</si>
  <si>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</si>
  <si>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</si>
  <si>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</si>
  <si>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</si>
  <si>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</si>
  <si>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</si>
  <si>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</si>
  <si>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</si>
  <si>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</si>
  <si>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</si>
  <si>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</si>
  <si>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</si>
  <si>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</si>
  <si>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</si>
  <si>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</si>
  <si>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</si>
  <si>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</si>
  <si>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</si>
  <si>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</si>
  <si>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</si>
  <si>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</si>
  <si>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</si>
  <si>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</si>
  <si>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</si>
  <si>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</si>
  <si>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</si>
  <si>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</si>
  <si>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</si>
  <si>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</si>
  <si>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</si>
  <si>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</si>
  <si>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</si>
  <si>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</si>
  <si>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</si>
  <si>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</si>
  <si>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</si>
  <si>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</si>
  <si>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</si>
  <si>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</si>
  <si>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</si>
  <si>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</si>
  <si>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</si>
  <si>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</si>
  <si>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</si>
  <si>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</si>
  <si>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</si>
  <si>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</si>
  <si>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</si>
  <si>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</si>
  <si>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</si>
  <si>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</si>
  <si>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</si>
  <si>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</si>
  <si>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</si>
  <si>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</si>
  <si>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</si>
  <si>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</si>
  <si>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</si>
  <si>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</si>
  <si>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</si>
  <si>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</si>
  <si>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</si>
  <si>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</si>
  <si>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</si>
  <si>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</si>
  <si>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</si>
  <si>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</si>
  <si>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</si>
  <si>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</si>
  <si>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</si>
  <si>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</si>
  <si>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</si>
  <si>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</si>
  <si>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</si>
  <si>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</si>
  <si>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</si>
  <si>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</si>
  <si>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</si>
  <si>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</si>
  <si>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</si>
  <si>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</si>
  <si>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</si>
  <si>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</si>
  <si>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</si>
  <si>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</si>
  <si>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</si>
  <si>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</si>
  <si>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</si>
  <si>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</si>
  <si>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</si>
  <si>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</si>
  <si>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</si>
  <si>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</si>
  <si>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</si>
  <si>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</si>
  <si>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</si>
  <si>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</si>
  <si>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</si>
  <si>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</si>
  <si>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</si>
  <si>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</si>
  <si>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</si>
  <si>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</si>
  <si>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</si>
  <si>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</si>
  <si>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</si>
  <si>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</si>
  <si>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</si>
  <si>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</si>
  <si>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</si>
  <si>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</si>
  <si>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</si>
  <si>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</si>
  <si>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</si>
  <si>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</si>
  <si>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</si>
  <si>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</si>
  <si>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</si>
  <si>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</si>
  <si>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</si>
  <si>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</si>
  <si>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</si>
  <si>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</si>
  <si>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</si>
  <si>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</si>
  <si>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</si>
  <si>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</si>
  <si>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</si>
  <si>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</si>
  <si>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</si>
  <si>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</si>
  <si>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</si>
  <si>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</si>
  <si>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</si>
  <si>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</si>
  <si>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</si>
  <si>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</si>
  <si>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</si>
  <si>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</si>
  <si>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</si>
  <si>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</si>
  <si>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</si>
  <si>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</si>
  <si>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</si>
  <si>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</si>
  <si>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</si>
  <si>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</si>
  <si>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</si>
  <si>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</si>
  <si>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</si>
  <si>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</si>
  <si>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</si>
  <si>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</si>
  <si>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</si>
  <si>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</si>
  <si>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</si>
  <si>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</si>
  <si>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</si>
  <si>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</si>
  <si>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</si>
  <si>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</si>
  <si>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</si>
  <si>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</si>
  <si>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</si>
  <si>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</si>
  <si>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</si>
  <si>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</si>
  <si>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</si>
  <si>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</si>
  <si>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</si>
  <si>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</si>
  <si>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</si>
  <si>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</si>
  <si>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</si>
  <si>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</si>
  <si>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</si>
  <si>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</si>
  <si>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</si>
  <si>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</si>
  <si>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</si>
  <si>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</si>
  <si>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</si>
  <si>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</si>
  <si>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</si>
  <si>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</si>
  <si>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</si>
  <si>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</si>
  <si>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</si>
  <si>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</si>
  <si>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</si>
  <si>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</si>
  <si>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</si>
  <si>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</si>
  <si>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</si>
  <si>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</si>
  <si>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</si>
  <si>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</si>
  <si>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</si>
  <si>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</si>
  <si>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</si>
  <si>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</si>
  <si>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</si>
  <si>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</si>
  <si>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</si>
  <si>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</si>
  <si>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</si>
  <si>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</si>
  <si>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</si>
  <si>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</si>
  <si>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</si>
  <si>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</si>
  <si>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</si>
  <si>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</si>
  <si>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</si>
  <si>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</si>
  <si>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</si>
  <si>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</si>
  <si>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</si>
  <si>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</si>
  <si>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</si>
  <si>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</si>
  <si>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</si>
  <si>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</si>
  <si>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</si>
  <si>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</si>
  <si>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</si>
  <si>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</si>
  <si>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</si>
  <si>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</si>
  <si>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</si>
  <si>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</si>
  <si>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</si>
  <si>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</si>
  <si>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</si>
  <si>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</si>
  <si>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</si>
  <si>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</si>
  <si>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</si>
  <si>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</si>
  <si>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</si>
  <si>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</si>
  <si>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</si>
  <si>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</si>
  <si>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</si>
  <si>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</si>
  <si>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</si>
  <si>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</si>
  <si>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</si>
  <si>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</si>
  <si>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</si>
  <si>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</si>
  <si>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</si>
  <si>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</si>
  <si>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</si>
  <si>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</si>
  <si>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</si>
  <si>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</si>
  <si>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</si>
  <si>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</si>
  <si>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</si>
  <si>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</si>
  <si>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</si>
  <si>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</si>
  <si>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</si>
  <si>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</si>
  <si>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</si>
  <si>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</si>
  <si>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</si>
  <si>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</si>
  <si>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</si>
  <si>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</si>
  <si>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</si>
  <si>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</si>
  <si>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</si>
  <si>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</si>
  <si>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</si>
  <si>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</si>
  <si>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</si>
  <si>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</si>
  <si>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</si>
  <si>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</si>
  <si>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</si>
  <si>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</si>
  <si>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</si>
  <si>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</si>
  <si>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</si>
  <si>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</si>
  <si>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</si>
  <si>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</si>
  <si>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</si>
  <si>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</si>
  <si>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</si>
  <si>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</si>
  <si>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</si>
  <si>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</si>
  <si>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</si>
  <si>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</si>
  <si>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</si>
  <si>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</si>
  <si>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</si>
  <si>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</si>
  <si>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</si>
  <si>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</si>
  <si>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</si>
  <si>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</si>
  <si>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</si>
  <si>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</si>
  <si>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</si>
  <si>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</si>
  <si>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</si>
  <si>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</si>
  <si>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</si>
  <si>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</si>
  <si>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</si>
  <si>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</si>
  <si>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</si>
  <si>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</si>
  <si>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</si>
  <si>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</si>
  <si>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</si>
  <si>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</si>
  <si>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</si>
  <si>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</si>
  <si>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</si>
  <si>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</si>
  <si>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</si>
  <si>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</si>
  <si>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</si>
  <si>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</si>
  <si>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</si>
  <si>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</si>
  <si>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</si>
  <si>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</si>
  <si>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</si>
  <si>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</si>
  <si>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</si>
  <si>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</si>
  <si>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</si>
  <si>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</si>
  <si>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</si>
  <si>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</si>
  <si>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</si>
  <si>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</si>
  <si>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</si>
  <si>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</si>
  <si>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</si>
  <si>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</si>
  <si>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</si>
  <si>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</si>
  <si>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</si>
  <si>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</si>
  <si>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</si>
  <si>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</si>
  <si>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</si>
  <si>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</si>
  <si>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</si>
  <si>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</si>
  <si>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</si>
  <si>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</si>
  <si>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</si>
  <si>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</si>
  <si>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</si>
  <si>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</si>
  <si>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</si>
  <si>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</si>
  <si>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</si>
  <si>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</si>
  <si>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</si>
  <si>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</si>
  <si>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</si>
  <si>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</si>
  <si>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</si>
  <si>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</si>
  <si>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</si>
  <si>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</si>
  <si>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</si>
  <si>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</si>
  <si>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</si>
  <si>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</si>
  <si>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</si>
  <si>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</si>
  <si>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</si>
  <si>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</si>
  <si>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</si>
  <si>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</si>
  <si>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</si>
  <si>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</si>
  <si>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</si>
  <si>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</si>
  <si>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</si>
  <si>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</si>
  <si>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</si>
  <si>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</si>
  <si>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</si>
  <si>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</si>
  <si>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</si>
  <si>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</si>
  <si>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</si>
  <si>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</si>
  <si>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</si>
  <si>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</si>
  <si>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</si>
  <si>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</si>
  <si>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</si>
  <si>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</si>
  <si>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</si>
  <si>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</si>
  <si>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</si>
  <si>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</si>
  <si>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</si>
  <si>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</si>
  <si>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</si>
  <si>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</si>
  <si>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</si>
  <si>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</si>
  <si>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</si>
  <si>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</si>
  <si>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</si>
  <si>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</si>
  <si>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</si>
  <si>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</si>
  <si>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</si>
  <si>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</si>
  <si>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</si>
  <si>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</si>
  <si>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</si>
  <si>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</si>
  <si>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</si>
  <si>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</si>
  <si>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</si>
  <si>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</si>
  <si>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</si>
  <si>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</si>
  <si>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</si>
  <si>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</si>
  <si>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</si>
  <si>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</si>
  <si>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</si>
  <si>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</si>
  <si>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</si>
  <si>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</si>
  <si>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</si>
  <si>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</si>
  <si>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</si>
  <si>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</si>
  <si>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</si>
  <si>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</si>
  <si>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</si>
  <si>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</si>
  <si>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</si>
  <si>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</si>
  <si>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</si>
  <si>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</si>
  <si>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</si>
  <si>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</si>
  <si>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</si>
  <si>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</si>
  <si>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</si>
  <si>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</si>
  <si>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</si>
  <si>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</si>
  <si>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</si>
  <si>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</si>
  <si>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</si>
  <si>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</si>
  <si>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</si>
  <si>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</si>
  <si>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</si>
  <si>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</si>
  <si>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</si>
  <si>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</si>
  <si>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</si>
  <si>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</si>
  <si>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</si>
  <si>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</si>
  <si>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</si>
  <si>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</si>
  <si>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</si>
  <si>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</si>
  <si>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</si>
  <si>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904</t>
  </si>
  <si>
    <t>BHC Fairfax Hospital Inc</t>
  </si>
  <si>
    <t>10200 NE 132nd St</t>
  </si>
  <si>
    <t>Kirkland</t>
  </si>
  <si>
    <t>King</t>
  </si>
  <si>
    <t>Rebecca Shauinger</t>
  </si>
  <si>
    <t>Heather Tuck</t>
  </si>
  <si>
    <t>425-821-2000</t>
  </si>
  <si>
    <t>425-284-6090</t>
  </si>
  <si>
    <t>Ron Escarda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</si>
</sst>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77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0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6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.15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.15" customHeight="1" x14ac:dyDescent="0.25">
      <c r="A40" s="199"/>
      <c r="C40" s="232"/>
    </row>
    <row r="41" spans="1:83" ht="12.15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.15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.15" customHeight="1" x14ac:dyDescent="0.25">
      <c r="A43" s="199"/>
      <c r="C43" s="232"/>
      <c r="F43" s="181"/>
    </row>
    <row r="44" spans="1:83" ht="12.15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15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3827239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1788999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8864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77529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57498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98655</v>
      </c>
      <c r="AV48" s="195">
        <f>ROUND(((B48/CE61)*AV61),0)</f>
        <v>175125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89850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19371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53268</v>
      </c>
      <c r="BF48" s="195">
        <f>ROUND(((B48/CE61)*BF61),0)</f>
        <v>58042</v>
      </c>
      <c r="BG48" s="195">
        <f>ROUND(((B48/CE61)*BG61),0)</f>
        <v>42160</v>
      </c>
      <c r="BH48" s="195">
        <f>ROUND(((B48/CE61)*BH61),0)</f>
        <v>0</v>
      </c>
      <c r="BI48" s="195">
        <f>ROUND(((B48/CE61)*BI61),0)</f>
        <v>156899</v>
      </c>
      <c r="BJ48" s="195">
        <f>ROUND(((B48/CE61)*BJ61),0)</f>
        <v>62028</v>
      </c>
      <c r="BK48" s="195">
        <f>ROUND(((B48/CE61)*BK61),0)</f>
        <v>62617</v>
      </c>
      <c r="BL48" s="195">
        <f>ROUND(((B48/CE61)*BL61),0)</f>
        <v>255974</v>
      </c>
      <c r="BM48" s="195">
        <f>ROUND(((B48/CE61)*BM61),0)</f>
        <v>0</v>
      </c>
      <c r="BN48" s="195">
        <f>ROUND(((B48/CE61)*BN61),0)</f>
        <v>114893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45332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47349</v>
      </c>
      <c r="BW48" s="195">
        <f>ROUND(((B48/CE61)*BW61),0)</f>
        <v>486</v>
      </c>
      <c r="BX48" s="195">
        <f>ROUND(((B48/CE61)*BX61),0)</f>
        <v>102588</v>
      </c>
      <c r="BY48" s="195">
        <f>ROUND(((B48/CE61)*BY61),0)</f>
        <v>409295</v>
      </c>
      <c r="BZ48" s="195">
        <f>ROUND(((B48/CE61)*BZ61),0)</f>
        <v>0</v>
      </c>
      <c r="CA48" s="195">
        <f>ROUND(((B48/CE61)*CA61),0)</f>
        <v>72445</v>
      </c>
      <c r="CB48" s="195">
        <f>ROUND(((B48/CE61)*CB61),0)</f>
        <v>0</v>
      </c>
      <c r="CC48" s="195">
        <f>ROUND(((B48/CE61)*CC61),0)</f>
        <v>27973</v>
      </c>
      <c r="CD48" s="195"/>
      <c r="CE48" s="195">
        <f>SUM(C48:CD48)</f>
        <v>3827240</v>
      </c>
    </row>
    <row r="49" spans="1:84" ht="12.6" customHeight="1" x14ac:dyDescent="0.25">
      <c r="A49" s="175" t="s">
        <v>206</v>
      </c>
      <c r="B49" s="195">
        <f>B47+B48</f>
        <v>3827239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1318235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786391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3579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84865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62562</v>
      </c>
      <c r="AZ52" s="195">
        <f>ROUND((B52/(CE76+CF76)*AZ76),0)</f>
        <v>24539</v>
      </c>
      <c r="BA52" s="195">
        <f>ROUND((B52/(CE76+CF76)*BA76),0)</f>
        <v>8180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1534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322286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3083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8947</v>
      </c>
      <c r="BW52" s="195">
        <f>ROUND((B52/(CE76+CF76)*BW76),0)</f>
        <v>10736</v>
      </c>
      <c r="BX52" s="195">
        <f>ROUND((B52/(CE76+CF76)*BX76),0)</f>
        <v>0</v>
      </c>
      <c r="BY52" s="195">
        <f>ROUND((B52/(CE76+CF76)*BY76),0)</f>
        <v>1534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1318236</v>
      </c>
    </row>
    <row r="53" spans="1:84" ht="12.6" customHeight="1" x14ac:dyDescent="0.25">
      <c r="A53" s="175" t="s">
        <v>206</v>
      </c>
      <c r="B53" s="195">
        <f>B51+B52</f>
        <v>1318235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48547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5312</v>
      </c>
      <c r="AV59" s="244"/>
      <c r="AW59" s="244"/>
      <c r="AX59" s="244"/>
      <c r="AY59" s="185">
        <v>151347</v>
      </c>
      <c r="AZ59" s="185"/>
      <c r="BA59" s="244"/>
      <c r="BB59" s="244"/>
      <c r="BC59" s="244"/>
      <c r="BD59" s="244"/>
      <c r="BE59" s="185">
        <v>82513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/>
      <c r="F60" s="219"/>
      <c r="G60" s="187"/>
      <c r="H60" s="187">
        <v>130.69903846153846</v>
      </c>
      <c r="I60" s="187"/>
      <c r="J60" s="219"/>
      <c r="K60" s="187"/>
      <c r="L60" s="187"/>
      <c r="M60" s="187"/>
      <c r="N60" s="187"/>
      <c r="O60" s="18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>
        <v>3.3</v>
      </c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>
        <v>5.13</v>
      </c>
      <c r="AN60" s="217"/>
      <c r="AO60" s="217"/>
      <c r="AP60" s="217"/>
      <c r="AQ60" s="217"/>
      <c r="AR60" s="217"/>
      <c r="AS60" s="217"/>
      <c r="AT60" s="217"/>
      <c r="AU60" s="217">
        <v>6.98</v>
      </c>
      <c r="AV60" s="217">
        <v>17.561057692307692</v>
      </c>
      <c r="AW60" s="217"/>
      <c r="AX60" s="217"/>
      <c r="AY60" s="217">
        <v>10.349038461538461</v>
      </c>
      <c r="AZ60" s="217"/>
      <c r="BA60" s="217"/>
      <c r="BB60" s="217">
        <v>2.4</v>
      </c>
      <c r="BC60" s="217"/>
      <c r="BD60" s="217"/>
      <c r="BE60" s="217">
        <v>3.5322115384615387</v>
      </c>
      <c r="BF60" s="217">
        <v>10.950000000000001</v>
      </c>
      <c r="BG60" s="217">
        <v>2.5</v>
      </c>
      <c r="BH60" s="217"/>
      <c r="BI60" s="217">
        <v>11.011538461538461</v>
      </c>
      <c r="BJ60" s="217">
        <v>3.3850961538461539</v>
      </c>
      <c r="BK60" s="217">
        <v>5.5168269230769234</v>
      </c>
      <c r="BL60" s="217">
        <v>19.399038461538463</v>
      </c>
      <c r="BM60" s="217"/>
      <c r="BN60" s="217">
        <v>2.0274038461538462</v>
      </c>
      <c r="BO60" s="217"/>
      <c r="BP60" s="217"/>
      <c r="BQ60" s="217"/>
      <c r="BR60" s="217">
        <v>3.3240384615384615</v>
      </c>
      <c r="BS60" s="217"/>
      <c r="BT60" s="217"/>
      <c r="BU60" s="217"/>
      <c r="BV60" s="217">
        <v>5.40625</v>
      </c>
      <c r="BW60" s="217"/>
      <c r="BX60" s="217">
        <v>6.4793269230769228</v>
      </c>
      <c r="BY60" s="217">
        <v>16.289423076923075</v>
      </c>
      <c r="BZ60" s="217"/>
      <c r="CA60" s="217">
        <v>6.8423076923076929</v>
      </c>
      <c r="CB60" s="217"/>
      <c r="CC60" s="217">
        <v>1.5817307692307692</v>
      </c>
      <c r="CD60" s="245" t="s">
        <v>221</v>
      </c>
      <c r="CE60" s="247">
        <f t="shared" ref="CE60:CE70" si="0">SUM(C60:CD60)</f>
        <v>274.66432692307694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9862044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>
        <v>48863</v>
      </c>
      <c r="W61" s="185"/>
      <c r="X61" s="185"/>
      <c r="Y61" s="185"/>
      <c r="Z61" s="185"/>
      <c r="AA61" s="185"/>
      <c r="AB61" s="185">
        <v>427387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316962</v>
      </c>
      <c r="AN61" s="185"/>
      <c r="AO61" s="185"/>
      <c r="AP61" s="185"/>
      <c r="AQ61" s="185"/>
      <c r="AR61" s="185"/>
      <c r="AS61" s="185"/>
      <c r="AT61" s="185"/>
      <c r="AU61" s="185">
        <v>543844</v>
      </c>
      <c r="AV61" s="185">
        <v>965396</v>
      </c>
      <c r="AW61" s="185"/>
      <c r="AX61" s="185"/>
      <c r="AY61" s="185">
        <v>495307</v>
      </c>
      <c r="AZ61" s="185"/>
      <c r="BA61" s="185"/>
      <c r="BB61" s="185">
        <v>106786</v>
      </c>
      <c r="BC61" s="185"/>
      <c r="BD61" s="185"/>
      <c r="BE61" s="185">
        <v>293647</v>
      </c>
      <c r="BF61" s="185">
        <v>319961</v>
      </c>
      <c r="BG61" s="185">
        <v>232413</v>
      </c>
      <c r="BH61" s="185"/>
      <c r="BI61" s="185">
        <v>864920</v>
      </c>
      <c r="BJ61" s="185">
        <v>341935</v>
      </c>
      <c r="BK61" s="185">
        <v>345183</v>
      </c>
      <c r="BL61" s="185">
        <v>1411086</v>
      </c>
      <c r="BM61" s="185"/>
      <c r="BN61" s="185">
        <v>633362</v>
      </c>
      <c r="BO61" s="185"/>
      <c r="BP61" s="185"/>
      <c r="BQ61" s="185"/>
      <c r="BR61" s="185">
        <v>249898</v>
      </c>
      <c r="BS61" s="185"/>
      <c r="BT61" s="185"/>
      <c r="BU61" s="185"/>
      <c r="BV61" s="185">
        <v>261014</v>
      </c>
      <c r="BW61" s="185">
        <v>2678</v>
      </c>
      <c r="BX61" s="185">
        <v>565528</v>
      </c>
      <c r="BY61" s="185">
        <v>2256280</v>
      </c>
      <c r="BZ61" s="185"/>
      <c r="CA61" s="185">
        <v>399363</v>
      </c>
      <c r="CB61" s="185"/>
      <c r="CC61" s="185">
        <v>154203</v>
      </c>
      <c r="CD61" s="245" t="s">
        <v>221</v>
      </c>
      <c r="CE61" s="195">
        <f t="shared" si="0"/>
        <v>21098060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1788999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8864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77529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57498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98655</v>
      </c>
      <c r="AV62" s="195">
        <f t="shared" si="1"/>
        <v>175125</v>
      </c>
      <c r="AW62" s="195">
        <f t="shared" si="1"/>
        <v>0</v>
      </c>
      <c r="AX62" s="195">
        <f t="shared" si="1"/>
        <v>0</v>
      </c>
      <c r="AY62" s="195">
        <f>ROUND(AY47+AY48,0)</f>
        <v>89850</v>
      </c>
      <c r="AZ62" s="195">
        <f>ROUND(AZ47+AZ48,0)</f>
        <v>0</v>
      </c>
      <c r="BA62" s="195">
        <f>ROUND(BA47+BA48,0)</f>
        <v>0</v>
      </c>
      <c r="BB62" s="195">
        <f t="shared" si="1"/>
        <v>19371</v>
      </c>
      <c r="BC62" s="195">
        <f t="shared" si="1"/>
        <v>0</v>
      </c>
      <c r="BD62" s="195">
        <f t="shared" si="1"/>
        <v>0</v>
      </c>
      <c r="BE62" s="195">
        <f t="shared" si="1"/>
        <v>53268</v>
      </c>
      <c r="BF62" s="195">
        <f t="shared" si="1"/>
        <v>58042</v>
      </c>
      <c r="BG62" s="195">
        <f t="shared" si="1"/>
        <v>42160</v>
      </c>
      <c r="BH62" s="195">
        <f t="shared" si="1"/>
        <v>0</v>
      </c>
      <c r="BI62" s="195">
        <f t="shared" si="1"/>
        <v>156899</v>
      </c>
      <c r="BJ62" s="195">
        <f t="shared" si="1"/>
        <v>62028</v>
      </c>
      <c r="BK62" s="195">
        <f t="shared" si="1"/>
        <v>62617</v>
      </c>
      <c r="BL62" s="195">
        <f t="shared" si="1"/>
        <v>255974</v>
      </c>
      <c r="BM62" s="195">
        <f t="shared" si="1"/>
        <v>0</v>
      </c>
      <c r="BN62" s="195">
        <f t="shared" si="1"/>
        <v>114893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45332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47349</v>
      </c>
      <c r="BW62" s="195">
        <f t="shared" si="2"/>
        <v>486</v>
      </c>
      <c r="BX62" s="195">
        <f t="shared" si="2"/>
        <v>102588</v>
      </c>
      <c r="BY62" s="195">
        <f t="shared" si="2"/>
        <v>409295</v>
      </c>
      <c r="BZ62" s="195">
        <f t="shared" si="2"/>
        <v>0</v>
      </c>
      <c r="CA62" s="195">
        <f t="shared" si="2"/>
        <v>72445</v>
      </c>
      <c r="CB62" s="195">
        <f t="shared" si="2"/>
        <v>0</v>
      </c>
      <c r="CC62" s="195">
        <f t="shared" si="2"/>
        <v>27973</v>
      </c>
      <c r="CD62" s="245" t="s">
        <v>221</v>
      </c>
      <c r="CE62" s="195">
        <f t="shared" si="0"/>
        <v>3827240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-2235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67838</v>
      </c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6098432</v>
      </c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6164035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3072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>
        <v>54</v>
      </c>
      <c r="W64" s="185"/>
      <c r="X64" s="185"/>
      <c r="Y64" s="185"/>
      <c r="Z64" s="185"/>
      <c r="AA64" s="185"/>
      <c r="AB64" s="185">
        <v>465369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15441</v>
      </c>
      <c r="AN64" s="185"/>
      <c r="AO64" s="185"/>
      <c r="AP64" s="185"/>
      <c r="AQ64" s="185"/>
      <c r="AR64" s="185"/>
      <c r="AS64" s="185"/>
      <c r="AT64" s="185"/>
      <c r="AU64" s="185">
        <v>4686</v>
      </c>
      <c r="AV64" s="185">
        <v>6125</v>
      </c>
      <c r="AW64" s="185"/>
      <c r="AX64" s="185"/>
      <c r="AY64" s="185">
        <v>1006778</v>
      </c>
      <c r="AZ64" s="185"/>
      <c r="BA64" s="185"/>
      <c r="BB64" s="185">
        <v>37</v>
      </c>
      <c r="BC64" s="185"/>
      <c r="BD64" s="185"/>
      <c r="BE64" s="185">
        <v>58255</v>
      </c>
      <c r="BF64" s="185">
        <v>79429</v>
      </c>
      <c r="BG64" s="185">
        <v>3804</v>
      </c>
      <c r="BH64" s="185">
        <v>1724</v>
      </c>
      <c r="BI64" s="185">
        <v>218411</v>
      </c>
      <c r="BJ64" s="185">
        <v>1364</v>
      </c>
      <c r="BK64" s="185">
        <v>6904</v>
      </c>
      <c r="BL64" s="185">
        <v>2930</v>
      </c>
      <c r="BM64" s="185"/>
      <c r="BN64" s="185">
        <v>10599</v>
      </c>
      <c r="BO64" s="185"/>
      <c r="BP64" s="185"/>
      <c r="BQ64" s="185"/>
      <c r="BR64" s="185">
        <v>8427</v>
      </c>
      <c r="BS64" s="185"/>
      <c r="BT64" s="185"/>
      <c r="BU64" s="185"/>
      <c r="BV64" s="185">
        <v>34546</v>
      </c>
      <c r="BW64" s="185">
        <v>2784</v>
      </c>
      <c r="BX64" s="185"/>
      <c r="BY64" s="185">
        <v>5588</v>
      </c>
      <c r="BZ64" s="185"/>
      <c r="CA64" s="185">
        <v>1705</v>
      </c>
      <c r="CB64" s="185"/>
      <c r="CC64" s="185">
        <v>394</v>
      </c>
      <c r="CD64" s="245" t="s">
        <v>221</v>
      </c>
      <c r="CE64" s="195">
        <f t="shared" si="0"/>
        <v>1938426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6095</v>
      </c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253794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259889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59619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147994</v>
      </c>
      <c r="V66" s="185"/>
      <c r="W66" s="185"/>
      <c r="X66" s="185"/>
      <c r="Y66" s="185">
        <v>5229</v>
      </c>
      <c r="Z66" s="185"/>
      <c r="AA66" s="185"/>
      <c r="AB66" s="185">
        <v>61843</v>
      </c>
      <c r="AC66" s="185"/>
      <c r="AD66" s="185"/>
      <c r="AE66" s="185"/>
      <c r="AF66" s="185"/>
      <c r="AG66" s="185">
        <v>26685</v>
      </c>
      <c r="AH66" s="185"/>
      <c r="AI66" s="185"/>
      <c r="AJ66" s="185"/>
      <c r="AK66" s="185"/>
      <c r="AL66" s="185"/>
      <c r="AM66" s="185">
        <v>32662</v>
      </c>
      <c r="AN66" s="185"/>
      <c r="AO66" s="185"/>
      <c r="AP66" s="185"/>
      <c r="AQ66" s="185"/>
      <c r="AR66" s="185"/>
      <c r="AS66" s="185"/>
      <c r="AT66" s="185"/>
      <c r="AU66" s="185">
        <v>985</v>
      </c>
      <c r="AV66" s="185">
        <v>3000</v>
      </c>
      <c r="AW66" s="185"/>
      <c r="AX66" s="185"/>
      <c r="AY66" s="185">
        <v>58570</v>
      </c>
      <c r="AZ66" s="185"/>
      <c r="BA66" s="185">
        <v>165858</v>
      </c>
      <c r="BB66" s="185"/>
      <c r="BC66" s="185"/>
      <c r="BD66" s="185"/>
      <c r="BE66" s="185">
        <v>96048</v>
      </c>
      <c r="BF66" s="185">
        <v>387854</v>
      </c>
      <c r="BG66" s="185">
        <v>2070</v>
      </c>
      <c r="BH66" s="185"/>
      <c r="BI66" s="185">
        <v>121511</v>
      </c>
      <c r="BJ66" s="185">
        <v>-1552</v>
      </c>
      <c r="BK66" s="185">
        <v>20438</v>
      </c>
      <c r="BL66" s="185"/>
      <c r="BM66" s="185"/>
      <c r="BN66" s="185">
        <v>155109</v>
      </c>
      <c r="BO66" s="185"/>
      <c r="BP66" s="185"/>
      <c r="BQ66" s="185"/>
      <c r="BR66" s="185">
        <v>43402</v>
      </c>
      <c r="BS66" s="185"/>
      <c r="BT66" s="185"/>
      <c r="BU66" s="185"/>
      <c r="BV66" s="185">
        <v>232138</v>
      </c>
      <c r="BW66" s="185">
        <v>207929</v>
      </c>
      <c r="BX66" s="185">
        <v>4</v>
      </c>
      <c r="BY66" s="185"/>
      <c r="BZ66" s="185"/>
      <c r="CA66" s="185"/>
      <c r="CB66" s="185"/>
      <c r="CC66" s="185">
        <v>22019</v>
      </c>
      <c r="CD66" s="245" t="s">
        <v>221</v>
      </c>
      <c r="CE66" s="195">
        <f t="shared" si="0"/>
        <v>1849415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786391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3579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84865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62562</v>
      </c>
      <c r="AZ67" s="195">
        <f>ROUND(AZ51+AZ52,0)</f>
        <v>24539</v>
      </c>
      <c r="BA67" s="195">
        <f>ROUND(BA51+BA52,0)</f>
        <v>8180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1534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322286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3083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8947</v>
      </c>
      <c r="BW67" s="195">
        <f t="shared" si="4"/>
        <v>10736</v>
      </c>
      <c r="BX67" s="195">
        <f t="shared" si="4"/>
        <v>0</v>
      </c>
      <c r="BY67" s="195">
        <f t="shared" si="4"/>
        <v>1534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1318236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>
        <v>62064</v>
      </c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29118</v>
      </c>
      <c r="BF68" s="185"/>
      <c r="BG68" s="185">
        <v>380</v>
      </c>
      <c r="BH68" s="185"/>
      <c r="BI68" s="185"/>
      <c r="BJ68" s="185"/>
      <c r="BK68" s="185">
        <v>4286</v>
      </c>
      <c r="BL68" s="185"/>
      <c r="BM68" s="185"/>
      <c r="BN68" s="185">
        <v>110980</v>
      </c>
      <c r="BO68" s="185"/>
      <c r="BP68" s="185"/>
      <c r="BQ68" s="185"/>
      <c r="BR68" s="185"/>
      <c r="BS68" s="185"/>
      <c r="BT68" s="185"/>
      <c r="BU68" s="185"/>
      <c r="BV68" s="185">
        <v>396</v>
      </c>
      <c r="BW68" s="185"/>
      <c r="BX68" s="185"/>
      <c r="BY68" s="185">
        <v>6387</v>
      </c>
      <c r="BZ68" s="185"/>
      <c r="CA68" s="185"/>
      <c r="CB68" s="185"/>
      <c r="CC68" s="185"/>
      <c r="CD68" s="245" t="s">
        <v>221</v>
      </c>
      <c r="CE68" s="195">
        <f t="shared" si="0"/>
        <v>213611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9632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4954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v>606</v>
      </c>
      <c r="AN69" s="185"/>
      <c r="AO69" s="184"/>
      <c r="AP69" s="185"/>
      <c r="AQ69" s="184"/>
      <c r="AR69" s="184"/>
      <c r="AS69" s="184"/>
      <c r="AT69" s="184"/>
      <c r="AU69" s="185">
        <v>850</v>
      </c>
      <c r="AV69" s="185">
        <v>3432</v>
      </c>
      <c r="AW69" s="185"/>
      <c r="AX69" s="185"/>
      <c r="AY69" s="185">
        <v>7339</v>
      </c>
      <c r="AZ69" s="185"/>
      <c r="BA69" s="185"/>
      <c r="BB69" s="185"/>
      <c r="BC69" s="185">
        <v>48607</v>
      </c>
      <c r="BD69" s="185"/>
      <c r="BE69" s="185">
        <v>471016</v>
      </c>
      <c r="BF69" s="185">
        <v>2843</v>
      </c>
      <c r="BG69" s="185">
        <v>147852</v>
      </c>
      <c r="BH69" s="220"/>
      <c r="BI69" s="185">
        <v>87821</v>
      </c>
      <c r="BJ69" s="185">
        <v>91109</v>
      </c>
      <c r="BK69" s="185">
        <v>43689</v>
      </c>
      <c r="BL69" s="185">
        <v>131</v>
      </c>
      <c r="BM69" s="185"/>
      <c r="BN69" s="185">
        <v>307678</v>
      </c>
      <c r="BO69" s="185"/>
      <c r="BP69" s="185"/>
      <c r="BQ69" s="185"/>
      <c r="BR69" s="185">
        <v>118879</v>
      </c>
      <c r="BS69" s="185"/>
      <c r="BT69" s="185"/>
      <c r="BU69" s="185"/>
      <c r="BV69" s="185">
        <v>7983</v>
      </c>
      <c r="BW69" s="185">
        <v>21531</v>
      </c>
      <c r="BX69" s="185">
        <v>1259</v>
      </c>
      <c r="BY69" s="185">
        <v>16349</v>
      </c>
      <c r="BZ69" s="185"/>
      <c r="CA69" s="185">
        <v>602</v>
      </c>
      <c r="CB69" s="185"/>
      <c r="CC69" s="185">
        <v>2502</v>
      </c>
      <c r="CD69" s="188">
        <v>14337914</v>
      </c>
      <c r="CE69" s="195">
        <f t="shared" si="0"/>
        <v>15734578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373557</v>
      </c>
      <c r="CE70" s="195">
        <f t="shared" si="0"/>
        <v>373557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12507522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147994</v>
      </c>
      <c r="V71" s="195">
        <f t="shared" si="5"/>
        <v>57781</v>
      </c>
      <c r="W71" s="195">
        <f t="shared" si="5"/>
        <v>0</v>
      </c>
      <c r="X71" s="195">
        <f t="shared" si="5"/>
        <v>0</v>
      </c>
      <c r="Y71" s="195">
        <f t="shared" si="5"/>
        <v>5229</v>
      </c>
      <c r="Z71" s="195">
        <f t="shared" si="5"/>
        <v>0</v>
      </c>
      <c r="AA71" s="195">
        <f t="shared" si="5"/>
        <v>0</v>
      </c>
      <c r="AB71" s="195">
        <f t="shared" si="5"/>
        <v>1040661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26685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423169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869882</v>
      </c>
      <c r="AV71" s="195">
        <f t="shared" si="6"/>
        <v>1153078</v>
      </c>
      <c r="AW71" s="195">
        <f t="shared" si="6"/>
        <v>0</v>
      </c>
      <c r="AX71" s="195">
        <f t="shared" si="6"/>
        <v>0</v>
      </c>
      <c r="AY71" s="195">
        <f t="shared" si="6"/>
        <v>1720406</v>
      </c>
      <c r="AZ71" s="195">
        <f t="shared" si="6"/>
        <v>24539</v>
      </c>
      <c r="BA71" s="195">
        <f t="shared" si="6"/>
        <v>174038</v>
      </c>
      <c r="BB71" s="195">
        <f t="shared" si="6"/>
        <v>126194</v>
      </c>
      <c r="BC71" s="195">
        <f t="shared" si="6"/>
        <v>48607</v>
      </c>
      <c r="BD71" s="195">
        <f t="shared" si="6"/>
        <v>0</v>
      </c>
      <c r="BE71" s="195">
        <f t="shared" si="6"/>
        <v>1255146</v>
      </c>
      <c r="BF71" s="195">
        <f t="shared" si="6"/>
        <v>848129</v>
      </c>
      <c r="BG71" s="195">
        <f t="shared" si="6"/>
        <v>430213</v>
      </c>
      <c r="BH71" s="195">
        <f t="shared" si="6"/>
        <v>1724</v>
      </c>
      <c r="BI71" s="195">
        <f t="shared" si="6"/>
        <v>1449562</v>
      </c>
      <c r="BJ71" s="195">
        <f t="shared" si="6"/>
        <v>494884</v>
      </c>
      <c r="BK71" s="195">
        <f t="shared" si="6"/>
        <v>483117</v>
      </c>
      <c r="BL71" s="195">
        <f t="shared" si="6"/>
        <v>1670121</v>
      </c>
      <c r="BM71" s="195">
        <f t="shared" si="6"/>
        <v>0</v>
      </c>
      <c r="BN71" s="195">
        <f t="shared" si="6"/>
        <v>1654907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469021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592373</v>
      </c>
      <c r="BW71" s="195">
        <f t="shared" si="7"/>
        <v>6344576</v>
      </c>
      <c r="BX71" s="195">
        <f t="shared" si="7"/>
        <v>669379</v>
      </c>
      <c r="BY71" s="195">
        <f t="shared" si="7"/>
        <v>2695433</v>
      </c>
      <c r="BZ71" s="195">
        <f t="shared" si="7"/>
        <v>0</v>
      </c>
      <c r="CA71" s="195">
        <f t="shared" si="7"/>
        <v>474115</v>
      </c>
      <c r="CB71" s="195">
        <f t="shared" si="7"/>
        <v>0</v>
      </c>
      <c r="CC71" s="195">
        <f t="shared" si="7"/>
        <v>207091</v>
      </c>
      <c r="CD71" s="241">
        <f>CD69-CD70</f>
        <v>13964357</v>
      </c>
      <c r="CE71" s="195">
        <f>SUM(CE61:CE69)-CE70</f>
        <v>52029933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146115965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146115965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3468483</v>
      </c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3468483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146115965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3468483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149584448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49223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224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>
        <v>5312</v>
      </c>
      <c r="AV76" s="185"/>
      <c r="AW76" s="185"/>
      <c r="AX76" s="185"/>
      <c r="AY76" s="185">
        <v>3916</v>
      </c>
      <c r="AZ76" s="185">
        <v>1536</v>
      </c>
      <c r="BA76" s="185">
        <v>512</v>
      </c>
      <c r="BB76" s="185"/>
      <c r="BC76" s="185"/>
      <c r="BD76" s="185"/>
      <c r="BE76" s="185"/>
      <c r="BF76" s="185"/>
      <c r="BG76" s="185">
        <v>96</v>
      </c>
      <c r="BH76" s="185"/>
      <c r="BI76" s="185"/>
      <c r="BJ76" s="185"/>
      <c r="BK76" s="185"/>
      <c r="BL76" s="185"/>
      <c r="BM76" s="185"/>
      <c r="BN76" s="185">
        <v>20173</v>
      </c>
      <c r="BO76" s="185"/>
      <c r="BP76" s="185"/>
      <c r="BQ76" s="185"/>
      <c r="BR76" s="185">
        <v>193</v>
      </c>
      <c r="BS76" s="185"/>
      <c r="BT76" s="185"/>
      <c r="BU76" s="185"/>
      <c r="BV76" s="185">
        <v>560</v>
      </c>
      <c r="BW76" s="185">
        <v>672</v>
      </c>
      <c r="BX76" s="185"/>
      <c r="BY76" s="185">
        <v>96</v>
      </c>
      <c r="BZ76" s="185"/>
      <c r="CA76" s="185"/>
      <c r="CB76" s="185"/>
      <c r="CC76" s="185"/>
      <c r="CD76" s="245" t="s">
        <v>221</v>
      </c>
      <c r="CE76" s="195">
        <f t="shared" si="8"/>
        <v>82513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48547*3</f>
        <v>145641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>
        <v>5706</v>
      </c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151347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8*2080</f>
        <v>16640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16640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184">
        <v>174620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174620</v>
      </c>
      <c r="CF79" s="195">
        <f>BA59</f>
        <v>0</v>
      </c>
    </row>
    <row r="80" spans="1:84" ht="21.15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130.69903846153846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6.98</v>
      </c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137.67903846153845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1001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1002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1003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1004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1004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1005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1006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1011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1008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/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1009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1010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4" t="s">
        <v>275</v>
      </c>
      <c r="B108" s="205"/>
      <c r="C108" s="205"/>
      <c r="D108" s="205"/>
      <c r="E108" s="205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3613-C113</f>
        <v>2996</v>
      </c>
      <c r="D111" s="174">
        <f>48547-D113</f>
        <v>43915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617</v>
      </c>
      <c r="D113" s="174">
        <v>4632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12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157</v>
      </c>
    </row>
    <row r="128" spans="1:5" ht="12.6" customHeight="1" x14ac:dyDescent="0.25">
      <c r="A128" s="173" t="s">
        <v>292</v>
      </c>
      <c r="B128" s="172" t="s">
        <v>256</v>
      </c>
      <c r="C128" s="189">
        <v>157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595</v>
      </c>
      <c r="C138" s="189">
        <v>1841</v>
      </c>
      <c r="D138" s="174">
        <f>3613-C138-B138</f>
        <v>1177</v>
      </c>
      <c r="E138" s="175">
        <f>SUM(B138:D138)</f>
        <v>3613</v>
      </c>
    </row>
    <row r="139" spans="1:6" ht="12.6" customHeight="1" x14ac:dyDescent="0.25">
      <c r="A139" s="173" t="s">
        <v>215</v>
      </c>
      <c r="B139" s="174">
        <v>9982</v>
      </c>
      <c r="C139" s="189">
        <v>27350</v>
      </c>
      <c r="D139" s="174">
        <f>48547-B139-C139</f>
        <v>11215</v>
      </c>
      <c r="E139" s="175">
        <f>SUM(B139:D139)</f>
        <v>48547</v>
      </c>
    </row>
    <row r="140" spans="1:6" ht="12.6" customHeight="1" x14ac:dyDescent="0.25">
      <c r="A140" s="173" t="s">
        <v>298</v>
      </c>
      <c r="B140" s="174">
        <v>342</v>
      </c>
      <c r="C140" s="174">
        <v>315</v>
      </c>
      <c r="D140" s="174">
        <f>5706-C140-B140</f>
        <v>5049</v>
      </c>
      <c r="E140" s="175">
        <f>SUM(B140:D140)</f>
        <v>5706</v>
      </c>
    </row>
    <row r="141" spans="1:6" ht="12.6" customHeight="1" x14ac:dyDescent="0.25">
      <c r="A141" s="173" t="s">
        <v>245</v>
      </c>
      <c r="B141" s="174">
        <f>B139*2800</f>
        <v>27949600</v>
      </c>
      <c r="C141" s="189">
        <f t="shared" ref="C141" si="10">C139*2800</f>
        <v>76580000</v>
      </c>
      <c r="D141" s="174">
        <f>146115965-B141-C141</f>
        <v>41586365</v>
      </c>
      <c r="E141" s="175">
        <f>SUM(B141:D141)</f>
        <v>146115965</v>
      </c>
      <c r="F141" s="199"/>
    </row>
    <row r="142" spans="1:6" ht="12.6" customHeight="1" x14ac:dyDescent="0.25">
      <c r="A142" s="173" t="s">
        <v>246</v>
      </c>
      <c r="B142" s="174">
        <v>185925</v>
      </c>
      <c r="C142" s="189">
        <v>176550</v>
      </c>
      <c r="D142" s="174">
        <f>3468483-C142-B142</f>
        <v>3106008</v>
      </c>
      <c r="E142" s="175">
        <f>SUM(B142:D142)</f>
        <v>3468483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3.8" x14ac:dyDescent="0.25">
      <c r="A164" s="253" t="s">
        <v>306</v>
      </c>
      <c r="B164" s="253"/>
      <c r="C164" s="253"/>
      <c r="D164" s="253"/>
      <c r="E164" s="253"/>
    </row>
    <row r="165" spans="1:5" ht="13.8" x14ac:dyDescent="0.25">
      <c r="A165" s="173" t="s">
        <v>307</v>
      </c>
      <c r="B165" s="172" t="s">
        <v>256</v>
      </c>
      <c r="C165" s="189">
        <v>1729083</v>
      </c>
      <c r="D165" s="175"/>
      <c r="E165" s="175"/>
    </row>
    <row r="166" spans="1:5" ht="13.8" x14ac:dyDescent="0.25">
      <c r="A166" s="173" t="s">
        <v>308</v>
      </c>
      <c r="B166" s="172" t="s">
        <v>256</v>
      </c>
      <c r="C166" s="189">
        <v>33505</v>
      </c>
      <c r="D166" s="175"/>
      <c r="E166" s="175"/>
    </row>
    <row r="167" spans="1:5" ht="13.8" x14ac:dyDescent="0.25">
      <c r="A167" s="177" t="s">
        <v>309</v>
      </c>
      <c r="B167" s="172" t="s">
        <v>256</v>
      </c>
      <c r="C167" s="189">
        <v>548932</v>
      </c>
      <c r="D167" s="175"/>
      <c r="E167" s="175"/>
    </row>
    <row r="168" spans="1:5" ht="13.8" x14ac:dyDescent="0.25">
      <c r="A168" s="173" t="s">
        <v>310</v>
      </c>
      <c r="B168" s="172" t="s">
        <v>256</v>
      </c>
      <c r="C168" s="189">
        <v>1622502</v>
      </c>
      <c r="D168" s="175"/>
      <c r="E168" s="175"/>
    </row>
    <row r="169" spans="1:5" ht="13.8" x14ac:dyDescent="0.25">
      <c r="A169" s="173" t="s">
        <v>311</v>
      </c>
      <c r="B169" s="172" t="s">
        <v>256</v>
      </c>
      <c r="C169" s="189">
        <v>69224</v>
      </c>
      <c r="D169" s="175"/>
      <c r="E169" s="175"/>
    </row>
    <row r="170" spans="1:5" ht="13.8" x14ac:dyDescent="0.25">
      <c r="A170" s="173" t="s">
        <v>312</v>
      </c>
      <c r="B170" s="172" t="s">
        <v>256</v>
      </c>
      <c r="C170" s="189">
        <v>315868</v>
      </c>
      <c r="D170" s="175"/>
      <c r="E170" s="175"/>
    </row>
    <row r="171" spans="1:5" ht="13.8" x14ac:dyDescent="0.25">
      <c r="A171" s="173" t="s">
        <v>313</v>
      </c>
      <c r="B171" s="172" t="s">
        <v>256</v>
      </c>
      <c r="C171" s="189">
        <v>-491874</v>
      </c>
      <c r="D171" s="175"/>
      <c r="E171" s="175"/>
    </row>
    <row r="172" spans="1:5" ht="13.8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3.8" x14ac:dyDescent="0.25">
      <c r="A173" s="173" t="s">
        <v>203</v>
      </c>
      <c r="B173" s="175"/>
      <c r="C173" s="191"/>
      <c r="D173" s="175">
        <f>SUM(C165:C172)</f>
        <v>3827240</v>
      </c>
      <c r="E173" s="175"/>
    </row>
    <row r="174" spans="1:5" ht="13.8" x14ac:dyDescent="0.25">
      <c r="A174" s="253" t="s">
        <v>314</v>
      </c>
      <c r="B174" s="253"/>
      <c r="C174" s="253"/>
      <c r="D174" s="253"/>
      <c r="E174" s="253"/>
    </row>
    <row r="175" spans="1:5" ht="13.8" x14ac:dyDescent="0.25">
      <c r="A175" s="173" t="s">
        <v>315</v>
      </c>
      <c r="B175" s="172" t="s">
        <v>256</v>
      </c>
      <c r="C175" s="189">
        <v>124128</v>
      </c>
      <c r="D175" s="175"/>
      <c r="E175" s="175"/>
    </row>
    <row r="176" spans="1:5" ht="13.8" x14ac:dyDescent="0.25">
      <c r="A176" s="173" t="s">
        <v>316</v>
      </c>
      <c r="B176" s="172" t="s">
        <v>256</v>
      </c>
      <c r="C176" s="189">
        <f>213611-C175</f>
        <v>89483</v>
      </c>
      <c r="D176" s="175"/>
      <c r="E176" s="175"/>
    </row>
    <row r="177" spans="1:5" ht="13.8" x14ac:dyDescent="0.25">
      <c r="A177" s="173" t="s">
        <v>203</v>
      </c>
      <c r="B177" s="175"/>
      <c r="C177" s="191"/>
      <c r="D177" s="175">
        <f>SUM(C175:C176)</f>
        <v>213611</v>
      </c>
      <c r="E177" s="175"/>
    </row>
    <row r="178" spans="1:5" ht="13.8" x14ac:dyDescent="0.25">
      <c r="A178" s="253" t="s">
        <v>317</v>
      </c>
      <c r="B178" s="253"/>
      <c r="C178" s="253"/>
      <c r="D178" s="253"/>
      <c r="E178" s="253"/>
    </row>
    <row r="179" spans="1:5" ht="13.8" x14ac:dyDescent="0.25">
      <c r="A179" s="173" t="s">
        <v>318</v>
      </c>
      <c r="B179" s="172" t="s">
        <v>256</v>
      </c>
      <c r="C179" s="189">
        <v>287675</v>
      </c>
      <c r="D179" s="175"/>
      <c r="E179" s="175"/>
    </row>
    <row r="180" spans="1:5" ht="13.8" x14ac:dyDescent="0.25">
      <c r="A180" s="173" t="s">
        <v>319</v>
      </c>
      <c r="B180" s="172" t="s">
        <v>256</v>
      </c>
      <c r="C180" s="189">
        <v>42201</v>
      </c>
      <c r="D180" s="175"/>
      <c r="E180" s="175"/>
    </row>
    <row r="181" spans="1:5" ht="13.8" x14ac:dyDescent="0.25">
      <c r="A181" s="173" t="s">
        <v>203</v>
      </c>
      <c r="B181" s="175"/>
      <c r="C181" s="191"/>
      <c r="D181" s="175">
        <f>SUM(C179:C180)</f>
        <v>329876</v>
      </c>
      <c r="E181" s="175"/>
    </row>
    <row r="182" spans="1:5" ht="13.8" x14ac:dyDescent="0.25">
      <c r="A182" s="253" t="s">
        <v>320</v>
      </c>
      <c r="B182" s="253"/>
      <c r="C182" s="253"/>
      <c r="D182" s="253"/>
      <c r="E182" s="253"/>
    </row>
    <row r="183" spans="1:5" ht="13.8" x14ac:dyDescent="0.25">
      <c r="A183" s="173" t="s">
        <v>321</v>
      </c>
      <c r="B183" s="172" t="s">
        <v>256</v>
      </c>
      <c r="C183" s="189">
        <v>135566</v>
      </c>
      <c r="D183" s="175"/>
      <c r="E183" s="175"/>
    </row>
    <row r="184" spans="1:5" ht="13.8" x14ac:dyDescent="0.25">
      <c r="A184" s="173" t="s">
        <v>322</v>
      </c>
      <c r="B184" s="172" t="s">
        <v>256</v>
      </c>
      <c r="C184" s="189">
        <v>930854</v>
      </c>
      <c r="D184" s="175"/>
      <c r="E184" s="175"/>
    </row>
    <row r="185" spans="1:5" ht="13.8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3.8" x14ac:dyDescent="0.25">
      <c r="A186" s="173" t="s">
        <v>203</v>
      </c>
      <c r="B186" s="175"/>
      <c r="C186" s="191"/>
      <c r="D186" s="175">
        <f>SUM(C183:C185)</f>
        <v>1066420</v>
      </c>
      <c r="E186" s="175"/>
    </row>
    <row r="187" spans="1:5" ht="13.8" x14ac:dyDescent="0.25">
      <c r="A187" s="253" t="s">
        <v>323</v>
      </c>
      <c r="B187" s="253"/>
      <c r="C187" s="253"/>
      <c r="D187" s="253"/>
      <c r="E187" s="253"/>
    </row>
    <row r="188" spans="1:5" ht="13.8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3.8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3.8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4313939.9000000004</v>
      </c>
      <c r="C195" s="189"/>
      <c r="D195" s="174"/>
      <c r="E195" s="175">
        <f t="shared" ref="E195:E203" si="11">SUM(B195:C195)-D195</f>
        <v>4313939.9000000004</v>
      </c>
    </row>
    <row r="196" spans="1:8" ht="12.6" customHeight="1" x14ac:dyDescent="0.25">
      <c r="A196" s="173" t="s">
        <v>333</v>
      </c>
      <c r="B196" s="174">
        <v>2024521.67</v>
      </c>
      <c r="C196" s="189"/>
      <c r="D196" s="174"/>
      <c r="E196" s="175">
        <f t="shared" si="11"/>
        <v>2024521.67</v>
      </c>
    </row>
    <row r="197" spans="1:8" ht="12.6" customHeight="1" x14ac:dyDescent="0.25">
      <c r="A197" s="173" t="s">
        <v>334</v>
      </c>
      <c r="B197" s="174">
        <v>20895005</v>
      </c>
      <c r="C197" s="189">
        <v>136941.07</v>
      </c>
      <c r="D197" s="174"/>
      <c r="E197" s="175">
        <f t="shared" si="11"/>
        <v>21031946.07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1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1"/>
        <v>0</v>
      </c>
    </row>
    <row r="200" spans="1:8" ht="12.6" customHeight="1" x14ac:dyDescent="0.25">
      <c r="A200" s="173" t="s">
        <v>337</v>
      </c>
      <c r="B200" s="174">
        <f>4417499.22+3512</f>
        <v>4421011.22</v>
      </c>
      <c r="C200" s="189">
        <v>307414.05000000005</v>
      </c>
      <c r="D200" s="174">
        <v>569436.63</v>
      </c>
      <c r="E200" s="175">
        <f t="shared" si="11"/>
        <v>4158988.6399999997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1"/>
        <v>0</v>
      </c>
    </row>
    <row r="202" spans="1:8" ht="12.6" customHeight="1" x14ac:dyDescent="0.25">
      <c r="A202" s="173" t="s">
        <v>339</v>
      </c>
      <c r="B202" s="174">
        <v>386240</v>
      </c>
      <c r="C202" s="189">
        <v>14854.69</v>
      </c>
      <c r="D202" s="174"/>
      <c r="E202" s="175">
        <f t="shared" si="11"/>
        <v>401094.69</v>
      </c>
    </row>
    <row r="203" spans="1:8" ht="12.6" customHeight="1" x14ac:dyDescent="0.25">
      <c r="A203" s="173" t="s">
        <v>340</v>
      </c>
      <c r="B203" s="174">
        <v>152958.95000000004</v>
      </c>
      <c r="C203" s="189">
        <v>386314.91000000003</v>
      </c>
      <c r="D203" s="174">
        <v>503515.39</v>
      </c>
      <c r="E203" s="175">
        <f t="shared" si="11"/>
        <v>35758.470000000088</v>
      </c>
    </row>
    <row r="204" spans="1:8" ht="12.6" customHeight="1" x14ac:dyDescent="0.25">
      <c r="A204" s="173" t="s">
        <v>203</v>
      </c>
      <c r="B204" s="175">
        <f>SUM(B195:B203)</f>
        <v>32193676.739999998</v>
      </c>
      <c r="C204" s="191">
        <f>SUM(C195:C203)</f>
        <v>845524.72000000009</v>
      </c>
      <c r="D204" s="175">
        <f>SUM(D195:D203)</f>
        <v>1072952.02</v>
      </c>
      <c r="E204" s="175">
        <f>SUM(E195:E203)</f>
        <v>31966249.440000001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858839.85</v>
      </c>
      <c r="C209" s="189">
        <v>114199.91</v>
      </c>
      <c r="D209" s="174"/>
      <c r="E209" s="175">
        <f t="shared" ref="E209:E216" si="12">SUM(B209:C209)-D209</f>
        <v>973039.76</v>
      </c>
      <c r="H209" s="255"/>
    </row>
    <row r="210" spans="1:8" ht="12.6" customHeight="1" x14ac:dyDescent="0.25">
      <c r="A210" s="173" t="s">
        <v>334</v>
      </c>
      <c r="B210" s="174">
        <v>4130143.6999999993</v>
      </c>
      <c r="C210" s="189">
        <v>755705.4600000002</v>
      </c>
      <c r="D210" s="174"/>
      <c r="E210" s="175">
        <f t="shared" si="12"/>
        <v>4885849.1599999992</v>
      </c>
      <c r="H210" s="255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2"/>
        <v>0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2"/>
        <v>0</v>
      </c>
      <c r="H212" s="255"/>
    </row>
    <row r="213" spans="1:8" ht="12.6" customHeight="1" x14ac:dyDescent="0.25">
      <c r="A213" s="173" t="s">
        <v>337</v>
      </c>
      <c r="B213" s="174">
        <v>3015944.72</v>
      </c>
      <c r="C213" s="189">
        <v>381748.89</v>
      </c>
      <c r="D213" s="174">
        <v>566237.62</v>
      </c>
      <c r="E213" s="175">
        <f t="shared" si="12"/>
        <v>2831455.99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2"/>
        <v>0</v>
      </c>
      <c r="H214" s="255"/>
    </row>
    <row r="215" spans="1:8" ht="12.6" customHeight="1" x14ac:dyDescent="0.25">
      <c r="A215" s="173" t="s">
        <v>339</v>
      </c>
      <c r="B215" s="174">
        <v>205862.52</v>
      </c>
      <c r="C215" s="189">
        <v>66391.64</v>
      </c>
      <c r="D215" s="174"/>
      <c r="E215" s="175">
        <f t="shared" si="12"/>
        <v>272254.15999999997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2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8210790.7899999991</v>
      </c>
      <c r="C217" s="191">
        <f>SUM(C208:C216)</f>
        <v>1318045.9000000001</v>
      </c>
      <c r="D217" s="175">
        <f>SUM(D208:D216)</f>
        <v>566237.62</v>
      </c>
      <c r="E217" s="175">
        <f>SUM(E208:E216)</f>
        <v>8962599.0700000003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6" t="s">
        <v>991</v>
      </c>
      <c r="C220" s="276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1375945</v>
      </c>
      <c r="D221" s="172">
        <f>C221</f>
        <v>1375945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17580694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53411787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1377964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88928709-SUM(C223:C226)</f>
        <v>16558264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88928709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107956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6974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114930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1579215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10294272-C238-C233-C234</f>
        <v>8600127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10179342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100598926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3.8" x14ac:dyDescent="0.25">
      <c r="A250" s="173" t="s">
        <v>362</v>
      </c>
      <c r="B250" s="172" t="s">
        <v>256</v>
      </c>
      <c r="C250" s="189">
        <v>-131876.54999999999</v>
      </c>
      <c r="D250" s="175"/>
      <c r="E250" s="175"/>
    </row>
    <row r="251" spans="1:5" ht="13.8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3.8" x14ac:dyDescent="0.25">
      <c r="A252" s="173" t="s">
        <v>364</v>
      </c>
      <c r="B252" s="172" t="s">
        <v>256</v>
      </c>
      <c r="C252" s="189">
        <v>10042182.640000001</v>
      </c>
      <c r="D252" s="175"/>
      <c r="E252" s="175"/>
    </row>
    <row r="253" spans="1:5" ht="13.8" x14ac:dyDescent="0.25">
      <c r="A253" s="173" t="s">
        <v>365</v>
      </c>
      <c r="B253" s="172" t="s">
        <v>256</v>
      </c>
      <c r="C253" s="189">
        <v>1410649.37</v>
      </c>
      <c r="D253" s="175"/>
      <c r="E253" s="175"/>
    </row>
    <row r="254" spans="1:5" ht="13.8" x14ac:dyDescent="0.25">
      <c r="A254" s="173" t="s">
        <v>977</v>
      </c>
      <c r="B254" s="172" t="s">
        <v>256</v>
      </c>
      <c r="C254" s="189">
        <v>-72118.8</v>
      </c>
      <c r="D254" s="175"/>
      <c r="E254" s="175"/>
    </row>
    <row r="255" spans="1:5" ht="13.8" x14ac:dyDescent="0.25">
      <c r="A255" s="173" t="s">
        <v>366</v>
      </c>
      <c r="B255" s="172" t="s">
        <v>256</v>
      </c>
      <c r="C255" s="189">
        <v>590683.66</v>
      </c>
      <c r="D255" s="175"/>
      <c r="E255" s="175"/>
    </row>
    <row r="256" spans="1:5" ht="13.8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3.8" x14ac:dyDescent="0.25">
      <c r="A257" s="173" t="s">
        <v>368</v>
      </c>
      <c r="B257" s="172" t="s">
        <v>256</v>
      </c>
      <c r="C257" s="189">
        <v>221684.66</v>
      </c>
      <c r="D257" s="175"/>
      <c r="E257" s="175"/>
    </row>
    <row r="258" spans="1:5" ht="13.8" x14ac:dyDescent="0.25">
      <c r="A258" s="173" t="s">
        <v>369</v>
      </c>
      <c r="B258" s="172" t="s">
        <v>256</v>
      </c>
      <c r="C258" s="189">
        <v>143479.24</v>
      </c>
      <c r="D258" s="175"/>
      <c r="E258" s="175"/>
    </row>
    <row r="259" spans="1:5" ht="13.8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3.8" x14ac:dyDescent="0.25">
      <c r="A260" s="173" t="s">
        <v>371</v>
      </c>
      <c r="B260" s="175"/>
      <c r="C260" s="191"/>
      <c r="D260" s="175">
        <f>SUM(C250:C252)-C253+SUM(C254:C259)</f>
        <v>9383385.4799999986</v>
      </c>
      <c r="E260" s="175"/>
    </row>
    <row r="261" spans="1:5" ht="13.8" x14ac:dyDescent="0.25">
      <c r="A261" s="253" t="s">
        <v>372</v>
      </c>
      <c r="B261" s="253"/>
      <c r="C261" s="253"/>
      <c r="D261" s="253"/>
      <c r="E261" s="253"/>
    </row>
    <row r="262" spans="1:5" ht="13.8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3.8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3.8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3.8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3.8" x14ac:dyDescent="0.25">
      <c r="A266" s="253" t="s">
        <v>375</v>
      </c>
      <c r="B266" s="253"/>
      <c r="C266" s="253"/>
      <c r="D266" s="253"/>
      <c r="E266" s="253"/>
    </row>
    <row r="267" spans="1:5" ht="13.8" x14ac:dyDescent="0.25">
      <c r="A267" s="173" t="s">
        <v>332</v>
      </c>
      <c r="B267" s="172" t="s">
        <v>256</v>
      </c>
      <c r="C267" s="189">
        <v>4313939.9000000004</v>
      </c>
      <c r="D267" s="175"/>
      <c r="E267" s="175"/>
    </row>
    <row r="268" spans="1:5" ht="13.8" x14ac:dyDescent="0.25">
      <c r="A268" s="173" t="s">
        <v>333</v>
      </c>
      <c r="B268" s="172" t="s">
        <v>256</v>
      </c>
      <c r="C268" s="189">
        <v>2024521.67</v>
      </c>
      <c r="D268" s="175"/>
      <c r="E268" s="175"/>
    </row>
    <row r="269" spans="1:5" ht="13.8" x14ac:dyDescent="0.25">
      <c r="A269" s="173" t="s">
        <v>334</v>
      </c>
      <c r="B269" s="172" t="s">
        <v>256</v>
      </c>
      <c r="C269" s="189">
        <v>976895.1</v>
      </c>
      <c r="D269" s="175"/>
      <c r="E269" s="175"/>
    </row>
    <row r="270" spans="1:5" ht="13.8" x14ac:dyDescent="0.25">
      <c r="A270" s="173" t="s">
        <v>376</v>
      </c>
      <c r="B270" s="172" t="s">
        <v>256</v>
      </c>
      <c r="C270" s="189">
        <v>20055050.98</v>
      </c>
      <c r="D270" s="175"/>
      <c r="E270" s="175"/>
    </row>
    <row r="271" spans="1:5" ht="13.8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3.8" x14ac:dyDescent="0.25">
      <c r="A272" s="173" t="s">
        <v>378</v>
      </c>
      <c r="B272" s="172" t="s">
        <v>256</v>
      </c>
      <c r="C272" s="189">
        <v>4158989.0100000002</v>
      </c>
      <c r="D272" s="175"/>
      <c r="E272" s="175"/>
    </row>
    <row r="273" spans="1:5" ht="13.8" x14ac:dyDescent="0.25">
      <c r="A273" s="173" t="s">
        <v>339</v>
      </c>
      <c r="B273" s="172" t="s">
        <v>256</v>
      </c>
      <c r="C273" s="189">
        <v>401094.69</v>
      </c>
      <c r="D273" s="175"/>
      <c r="E273" s="175"/>
    </row>
    <row r="274" spans="1:5" ht="13.8" x14ac:dyDescent="0.25">
      <c r="A274" s="173" t="s">
        <v>340</v>
      </c>
      <c r="B274" s="172" t="s">
        <v>256</v>
      </c>
      <c r="C274" s="189">
        <v>35758.47</v>
      </c>
      <c r="D274" s="175"/>
      <c r="E274" s="175"/>
    </row>
    <row r="275" spans="1:5" ht="13.8" x14ac:dyDescent="0.25">
      <c r="A275" s="173" t="s">
        <v>379</v>
      </c>
      <c r="B275" s="175"/>
      <c r="C275" s="191"/>
      <c r="D275" s="175">
        <f>SUM(C267:C274)</f>
        <v>31966249.82</v>
      </c>
      <c r="E275" s="175"/>
    </row>
    <row r="276" spans="1:5" ht="13.8" x14ac:dyDescent="0.25">
      <c r="A276" s="173" t="s">
        <v>380</v>
      </c>
      <c r="B276" s="172" t="s">
        <v>256</v>
      </c>
      <c r="C276" s="189">
        <v>8962599.0700000003</v>
      </c>
      <c r="D276" s="175"/>
      <c r="E276" s="175"/>
    </row>
    <row r="277" spans="1:5" ht="13.8" x14ac:dyDescent="0.25">
      <c r="A277" s="173" t="s">
        <v>381</v>
      </c>
      <c r="B277" s="175"/>
      <c r="C277" s="191"/>
      <c r="D277" s="175">
        <f>D275-C276</f>
        <v>23003650.75</v>
      </c>
      <c r="E277" s="175"/>
    </row>
    <row r="278" spans="1:5" ht="13.8" x14ac:dyDescent="0.25">
      <c r="A278" s="253" t="s">
        <v>382</v>
      </c>
      <c r="B278" s="253"/>
      <c r="C278" s="253"/>
      <c r="D278" s="253"/>
      <c r="E278" s="253"/>
    </row>
    <row r="279" spans="1:5" ht="13.8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3.8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3.8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3.8" x14ac:dyDescent="0.25">
      <c r="A282" s="173" t="s">
        <v>373</v>
      </c>
      <c r="B282" s="172" t="s">
        <v>256</v>
      </c>
      <c r="C282" s="189">
        <v>1113518.83</v>
      </c>
      <c r="D282" s="175"/>
      <c r="E282" s="175"/>
    </row>
    <row r="283" spans="1:5" ht="13.8" x14ac:dyDescent="0.25">
      <c r="A283" s="173" t="s">
        <v>386</v>
      </c>
      <c r="B283" s="175"/>
      <c r="C283" s="191"/>
      <c r="D283" s="175">
        <f>C279-C280+C281+C282</f>
        <v>1113518.83</v>
      </c>
      <c r="E283" s="175"/>
    </row>
    <row r="284" spans="1:5" ht="13.8" x14ac:dyDescent="0.25">
      <c r="A284" s="173"/>
      <c r="B284" s="175"/>
      <c r="C284" s="191"/>
      <c r="D284" s="175"/>
      <c r="E284" s="175"/>
    </row>
    <row r="285" spans="1:5" ht="13.8" x14ac:dyDescent="0.25">
      <c r="A285" s="253" t="s">
        <v>387</v>
      </c>
      <c r="B285" s="253"/>
      <c r="C285" s="253"/>
      <c r="D285" s="253"/>
      <c r="E285" s="253"/>
    </row>
    <row r="286" spans="1:5" ht="13.8" x14ac:dyDescent="0.25">
      <c r="A286" s="173" t="s">
        <v>388</v>
      </c>
      <c r="B286" s="172" t="s">
        <v>256</v>
      </c>
      <c r="C286" s="189">
        <v>56670018.130000003</v>
      </c>
      <c r="D286" s="175"/>
      <c r="E286" s="175"/>
    </row>
    <row r="287" spans="1:5" ht="13.8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3.8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3.8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3.8" x14ac:dyDescent="0.25">
      <c r="A290" s="173" t="s">
        <v>392</v>
      </c>
      <c r="B290" s="175"/>
      <c r="C290" s="191"/>
      <c r="D290" s="175">
        <f>SUM(C286:C289)</f>
        <v>56670018.130000003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90170573.189999998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324015.68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2391584.7599999998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487955.32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3203555.76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86967017.430000007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90170573.190000013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90170573.189999998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146115965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3468483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149584448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1375945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88928709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114930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10294272-C365</f>
        <v>10179342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100598926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48985522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373557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373557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49359079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21098606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3827239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6164036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1936979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259889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1849415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1318235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213611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329876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1066420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2380551-C382-C387+11397100+1887840</f>
        <v>14339182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52403488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-3044409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-3044409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-3044409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15" customHeight="1" x14ac:dyDescent="0.25">
      <c r="A400" s="179"/>
      <c r="B400" s="179"/>
    </row>
    <row r="401" spans="1:5" ht="12.15" customHeight="1" x14ac:dyDescent="0.25">
      <c r="A401" s="179"/>
      <c r="B401" s="179"/>
    </row>
    <row r="402" spans="1:5" ht="12.15" customHeight="1" x14ac:dyDescent="0.25">
      <c r="A402" s="179"/>
      <c r="B402" s="179"/>
    </row>
    <row r="403" spans="1:5" ht="12.15" customHeight="1" x14ac:dyDescent="0.25">
      <c r="A403" s="179"/>
      <c r="B403" s="179"/>
    </row>
    <row r="404" spans="1:5" ht="12.15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BHC Fairfax Hospital Inc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2996</v>
      </c>
      <c r="C414" s="194">
        <f>E138</f>
        <v>3613</v>
      </c>
      <c r="D414" s="179"/>
    </row>
    <row r="415" spans="1:5" ht="12.6" customHeight="1" x14ac:dyDescent="0.25">
      <c r="A415" s="179" t="s">
        <v>464</v>
      </c>
      <c r="B415" s="179">
        <f>D111</f>
        <v>43915</v>
      </c>
      <c r="C415" s="179">
        <f>E139</f>
        <v>48547</v>
      </c>
      <c r="D415" s="194">
        <f>SUM(C59:H59)+N59</f>
        <v>48547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617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4632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21098606</v>
      </c>
      <c r="C427" s="179">
        <f t="shared" ref="C427:C434" si="14">CE61</f>
        <v>21098060</v>
      </c>
      <c r="D427" s="179"/>
    </row>
    <row r="428" spans="1:7" ht="12.6" customHeight="1" x14ac:dyDescent="0.25">
      <c r="A428" s="179" t="s">
        <v>3</v>
      </c>
      <c r="B428" s="179">
        <f t="shared" si="13"/>
        <v>3827239</v>
      </c>
      <c r="C428" s="179">
        <f t="shared" si="14"/>
        <v>3827240</v>
      </c>
      <c r="D428" s="179">
        <f>D173</f>
        <v>3827240</v>
      </c>
    </row>
    <row r="429" spans="1:7" ht="12.6" customHeight="1" x14ac:dyDescent="0.25">
      <c r="A429" s="179" t="s">
        <v>236</v>
      </c>
      <c r="B429" s="179">
        <f t="shared" si="13"/>
        <v>6164036</v>
      </c>
      <c r="C429" s="179">
        <f t="shared" si="14"/>
        <v>6164035</v>
      </c>
      <c r="D429" s="179"/>
    </row>
    <row r="430" spans="1:7" ht="12.6" customHeight="1" x14ac:dyDescent="0.25">
      <c r="A430" s="179" t="s">
        <v>237</v>
      </c>
      <c r="B430" s="179">
        <f t="shared" si="13"/>
        <v>1936979</v>
      </c>
      <c r="C430" s="179">
        <f t="shared" si="14"/>
        <v>1938426</v>
      </c>
      <c r="D430" s="179"/>
    </row>
    <row r="431" spans="1:7" ht="12.6" customHeight="1" x14ac:dyDescent="0.25">
      <c r="A431" s="179" t="s">
        <v>444</v>
      </c>
      <c r="B431" s="179">
        <f t="shared" si="13"/>
        <v>259889</v>
      </c>
      <c r="C431" s="179">
        <f t="shared" si="14"/>
        <v>259889</v>
      </c>
      <c r="D431" s="179"/>
    </row>
    <row r="432" spans="1:7" ht="12.6" customHeight="1" x14ac:dyDescent="0.25">
      <c r="A432" s="179" t="s">
        <v>445</v>
      </c>
      <c r="B432" s="179">
        <f t="shared" si="13"/>
        <v>1849415</v>
      </c>
      <c r="C432" s="179">
        <f t="shared" si="14"/>
        <v>1849415</v>
      </c>
      <c r="D432" s="179"/>
    </row>
    <row r="433" spans="1:7" ht="12.6" customHeight="1" x14ac:dyDescent="0.25">
      <c r="A433" s="179" t="s">
        <v>6</v>
      </c>
      <c r="B433" s="179">
        <f t="shared" si="13"/>
        <v>1318235</v>
      </c>
      <c r="C433" s="179">
        <f t="shared" si="14"/>
        <v>1318236</v>
      </c>
      <c r="D433" s="179">
        <f>C217</f>
        <v>1318045.9000000001</v>
      </c>
    </row>
    <row r="434" spans="1:7" ht="12.6" customHeight="1" x14ac:dyDescent="0.25">
      <c r="A434" s="179" t="s">
        <v>474</v>
      </c>
      <c r="B434" s="179">
        <f t="shared" si="13"/>
        <v>213611</v>
      </c>
      <c r="C434" s="179">
        <f t="shared" si="14"/>
        <v>213611</v>
      </c>
      <c r="D434" s="179">
        <f>D177</f>
        <v>213611</v>
      </c>
    </row>
    <row r="435" spans="1:7" ht="12.6" customHeight="1" x14ac:dyDescent="0.25">
      <c r="A435" s="179" t="s">
        <v>447</v>
      </c>
      <c r="B435" s="179">
        <f t="shared" si="13"/>
        <v>329876</v>
      </c>
      <c r="C435" s="179"/>
      <c r="D435" s="179">
        <f>D181</f>
        <v>329876</v>
      </c>
    </row>
    <row r="436" spans="1:7" ht="12.6" customHeight="1" x14ac:dyDescent="0.25">
      <c r="A436" s="179" t="s">
        <v>475</v>
      </c>
      <c r="B436" s="179">
        <f t="shared" si="13"/>
        <v>1066420</v>
      </c>
      <c r="C436" s="179"/>
      <c r="D436" s="179">
        <f>D186</f>
        <v>1066420</v>
      </c>
    </row>
    <row r="437" spans="1:7" ht="12.6" customHeight="1" x14ac:dyDescent="0.25">
      <c r="A437" s="194" t="s">
        <v>449</v>
      </c>
      <c r="B437" s="194">
        <f t="shared" si="13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1396296</v>
      </c>
      <c r="C438" s="194">
        <f>CD69</f>
        <v>14337914</v>
      </c>
      <c r="D438" s="194">
        <f>D181+D186+D190</f>
        <v>1396296</v>
      </c>
    </row>
    <row r="439" spans="1:7" ht="12.6" customHeight="1" x14ac:dyDescent="0.25">
      <c r="A439" s="179" t="s">
        <v>451</v>
      </c>
      <c r="B439" s="194">
        <f>C389</f>
        <v>14339182</v>
      </c>
      <c r="C439" s="194">
        <f>SUM(C69:CC69)</f>
        <v>1396664</v>
      </c>
      <c r="D439" s="179"/>
    </row>
    <row r="440" spans="1:7" ht="12.6" customHeight="1" x14ac:dyDescent="0.25">
      <c r="A440" s="179" t="s">
        <v>477</v>
      </c>
      <c r="B440" s="194">
        <f>B438+B439</f>
        <v>15735478</v>
      </c>
      <c r="C440" s="194">
        <f>CE69</f>
        <v>15734578</v>
      </c>
      <c r="D440" s="179"/>
    </row>
    <row r="441" spans="1:7" ht="12.6" customHeight="1" x14ac:dyDescent="0.25">
      <c r="A441" s="179" t="s">
        <v>478</v>
      </c>
      <c r="B441" s="179">
        <f>D390</f>
        <v>52403488</v>
      </c>
      <c r="C441" s="179">
        <f>SUM(C427:C437)+C440</f>
        <v>52403490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1375945</v>
      </c>
      <c r="C444" s="179">
        <f>C363</f>
        <v>1375945</v>
      </c>
      <c r="D444" s="179"/>
    </row>
    <row r="445" spans="1:7" ht="12.6" customHeight="1" x14ac:dyDescent="0.25">
      <c r="A445" s="179" t="s">
        <v>343</v>
      </c>
      <c r="B445" s="179">
        <f>D229</f>
        <v>88928709</v>
      </c>
      <c r="C445" s="179">
        <f>C364</f>
        <v>88928709</v>
      </c>
      <c r="D445" s="179"/>
    </row>
    <row r="446" spans="1:7" ht="12.6" customHeight="1" x14ac:dyDescent="0.25">
      <c r="A446" s="179" t="s">
        <v>351</v>
      </c>
      <c r="B446" s="179">
        <f>D236</f>
        <v>114930</v>
      </c>
      <c r="C446" s="179">
        <f>C365</f>
        <v>114930</v>
      </c>
      <c r="D446" s="179"/>
    </row>
    <row r="447" spans="1:7" ht="12.6" customHeight="1" x14ac:dyDescent="0.25">
      <c r="A447" s="179" t="s">
        <v>356</v>
      </c>
      <c r="B447" s="179">
        <f>D240</f>
        <v>10179342</v>
      </c>
      <c r="C447" s="179">
        <f>C366</f>
        <v>10179342</v>
      </c>
      <c r="D447" s="179"/>
    </row>
    <row r="448" spans="1:7" ht="12.6" customHeight="1" x14ac:dyDescent="0.25">
      <c r="A448" s="179" t="s">
        <v>358</v>
      </c>
      <c r="B448" s="179">
        <f>D242</f>
        <v>100598926</v>
      </c>
      <c r="C448" s="179">
        <f>D367</f>
        <v>100598926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107956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6974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373557</v>
      </c>
      <c r="C458" s="194">
        <f>CE70</f>
        <v>373557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146115965</v>
      </c>
      <c r="C463" s="194">
        <f>CE73</f>
        <v>146115965</v>
      </c>
      <c r="D463" s="194">
        <f>E141+E147+E153</f>
        <v>146115965</v>
      </c>
    </row>
    <row r="464" spans="1:7" ht="12.6" customHeight="1" x14ac:dyDescent="0.25">
      <c r="A464" s="179" t="s">
        <v>246</v>
      </c>
      <c r="B464" s="194">
        <f>C360</f>
        <v>3468483</v>
      </c>
      <c r="C464" s="194">
        <f>CE74</f>
        <v>3468483</v>
      </c>
      <c r="D464" s="194">
        <f>E142+E148+E154</f>
        <v>3468483</v>
      </c>
    </row>
    <row r="465" spans="1:7" ht="12.6" customHeight="1" x14ac:dyDescent="0.25">
      <c r="A465" s="179" t="s">
        <v>247</v>
      </c>
      <c r="B465" s="194">
        <f>D361</f>
        <v>149584448</v>
      </c>
      <c r="C465" s="194">
        <f>CE75</f>
        <v>149584448</v>
      </c>
      <c r="D465" s="194">
        <f>D463+D464</f>
        <v>149584448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4313939.9000000004</v>
      </c>
      <c r="C468" s="179">
        <f>E195</f>
        <v>4313939.9000000004</v>
      </c>
      <c r="D468" s="179"/>
    </row>
    <row r="469" spans="1:7" ht="12.6" customHeight="1" x14ac:dyDescent="0.25">
      <c r="A469" s="179" t="s">
        <v>333</v>
      </c>
      <c r="B469" s="179">
        <f t="shared" si="15"/>
        <v>2024521.67</v>
      </c>
      <c r="C469" s="179">
        <f>E196</f>
        <v>2024521.67</v>
      </c>
      <c r="D469" s="179"/>
    </row>
    <row r="470" spans="1:7" ht="12.6" customHeight="1" x14ac:dyDescent="0.25">
      <c r="A470" s="179" t="s">
        <v>334</v>
      </c>
      <c r="B470" s="179">
        <f t="shared" si="15"/>
        <v>976895.1</v>
      </c>
      <c r="C470" s="179">
        <f>E197</f>
        <v>21031946.07</v>
      </c>
      <c r="D470" s="179"/>
    </row>
    <row r="471" spans="1:7" ht="12.6" customHeight="1" x14ac:dyDescent="0.25">
      <c r="A471" s="179" t="s">
        <v>494</v>
      </c>
      <c r="B471" s="179">
        <f t="shared" si="15"/>
        <v>20055050.98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5"/>
        <v>4158989.0100000002</v>
      </c>
      <c r="C473" s="179">
        <f>SUM(E200:E201)</f>
        <v>4158988.6399999997</v>
      </c>
      <c r="D473" s="179"/>
    </row>
    <row r="474" spans="1:7" ht="12.6" customHeight="1" x14ac:dyDescent="0.25">
      <c r="A474" s="179" t="s">
        <v>339</v>
      </c>
      <c r="B474" s="179">
        <f t="shared" si="15"/>
        <v>401094.69</v>
      </c>
      <c r="C474" s="179">
        <f>E202</f>
        <v>401094.69</v>
      </c>
      <c r="D474" s="179"/>
    </row>
    <row r="475" spans="1:7" ht="12.6" customHeight="1" x14ac:dyDescent="0.25">
      <c r="A475" s="179" t="s">
        <v>340</v>
      </c>
      <c r="B475" s="179">
        <f t="shared" si="15"/>
        <v>35758.47</v>
      </c>
      <c r="C475" s="179">
        <f>E203</f>
        <v>35758.470000000088</v>
      </c>
      <c r="D475" s="179"/>
    </row>
    <row r="476" spans="1:7" ht="12.6" customHeight="1" x14ac:dyDescent="0.25">
      <c r="A476" s="179" t="s">
        <v>203</v>
      </c>
      <c r="B476" s="179">
        <f>D275</f>
        <v>31966249.82</v>
      </c>
      <c r="C476" s="179">
        <f>E204</f>
        <v>31966249.440000001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8962599.0700000003</v>
      </c>
      <c r="C478" s="179">
        <f>E217</f>
        <v>8962599.0700000003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90170573.189999998</v>
      </c>
    </row>
    <row r="482" spans="1:12" ht="12.6" customHeight="1" x14ac:dyDescent="0.25">
      <c r="A482" s="180" t="s">
        <v>499</v>
      </c>
      <c r="C482" s="180">
        <f>D339</f>
        <v>90170573.190000013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904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6">IF(B496=0,"",IF(D496=0,"",B496/D496))</f>
        <v/>
      </c>
      <c r="G496" s="260" t="str">
        <f t="shared" si="16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6"/>
        <v/>
      </c>
      <c r="G497" s="259" t="str">
        <f t="shared" si="16"/>
        <v/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0</v>
      </c>
      <c r="C498" s="236">
        <f>E71</f>
        <v>0</v>
      </c>
      <c r="D498" s="236">
        <f>'Prior Year'!E59</f>
        <v>0</v>
      </c>
      <c r="E498" s="180">
        <f>E59</f>
        <v>0</v>
      </c>
      <c r="F498" s="259" t="str">
        <f t="shared" si="16"/>
        <v/>
      </c>
      <c r="G498" s="259" t="str">
        <f t="shared" si="16"/>
        <v/>
      </c>
      <c r="H498" s="261" t="str">
        <f t="shared" si="17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6"/>
        <v/>
      </c>
      <c r="G499" s="259" t="str">
        <f t="shared" si="16"/>
        <v/>
      </c>
      <c r="H499" s="261" t="str">
        <f t="shared" si="17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12594691</v>
      </c>
      <c r="C501" s="236">
        <f>H71</f>
        <v>12507522</v>
      </c>
      <c r="D501" s="236">
        <f>'Prior Year'!H59</f>
        <v>49146</v>
      </c>
      <c r="E501" s="180">
        <f>H59</f>
        <v>48547</v>
      </c>
      <c r="F501" s="259">
        <f t="shared" si="16"/>
        <v>256.27092744068693</v>
      </c>
      <c r="G501" s="259">
        <f t="shared" si="16"/>
        <v>257.63738233052504</v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6"/>
        <v/>
      </c>
      <c r="G502" s="259" t="str">
        <f t="shared" si="16"/>
        <v/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0</v>
      </c>
      <c r="C503" s="236">
        <f>J71</f>
        <v>0</v>
      </c>
      <c r="D503" s="236">
        <f>'Prior Year'!J59</f>
        <v>0</v>
      </c>
      <c r="E503" s="180">
        <f>J59</f>
        <v>0</v>
      </c>
      <c r="F503" s="259" t="str">
        <f t="shared" si="16"/>
        <v/>
      </c>
      <c r="G503" s="259" t="str">
        <f t="shared" si="16"/>
        <v/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6"/>
        <v/>
      </c>
      <c r="G504" s="259" t="str">
        <f t="shared" si="16"/>
        <v/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0</v>
      </c>
      <c r="C505" s="236">
        <f>L71</f>
        <v>0</v>
      </c>
      <c r="D505" s="236">
        <f>'Prior Year'!L59</f>
        <v>0</v>
      </c>
      <c r="E505" s="180">
        <f>L59</f>
        <v>0</v>
      </c>
      <c r="F505" s="259" t="str">
        <f t="shared" si="16"/>
        <v/>
      </c>
      <c r="G505" s="259" t="str">
        <f t="shared" si="16"/>
        <v/>
      </c>
      <c r="H505" s="261" t="str">
        <f t="shared" si="17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6"/>
        <v/>
      </c>
      <c r="G507" s="259" t="str">
        <f t="shared" si="16"/>
        <v/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0</v>
      </c>
      <c r="C508" s="236">
        <f>O71</f>
        <v>0</v>
      </c>
      <c r="D508" s="236">
        <f>'Prior Year'!O59</f>
        <v>0</v>
      </c>
      <c r="E508" s="180">
        <f>O59</f>
        <v>0</v>
      </c>
      <c r="F508" s="259" t="str">
        <f t="shared" si="16"/>
        <v/>
      </c>
      <c r="G508" s="259" t="str">
        <f t="shared" si="16"/>
        <v/>
      </c>
      <c r="H508" s="261" t="str">
        <f t="shared" si="17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0</v>
      </c>
      <c r="C509" s="236">
        <f>P71</f>
        <v>0</v>
      </c>
      <c r="D509" s="236">
        <f>'Prior Year'!P59</f>
        <v>0</v>
      </c>
      <c r="E509" s="180">
        <f>P59</f>
        <v>0</v>
      </c>
      <c r="F509" s="259" t="str">
        <f t="shared" si="16"/>
        <v/>
      </c>
      <c r="G509" s="259" t="str">
        <f t="shared" si="16"/>
        <v/>
      </c>
      <c r="H509" s="261" t="str">
        <f t="shared" si="17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0</v>
      </c>
      <c r="C510" s="236">
        <f>Q71</f>
        <v>0</v>
      </c>
      <c r="D510" s="236">
        <f>'Prior Year'!Q59</f>
        <v>0</v>
      </c>
      <c r="E510" s="180">
        <f>Q59</f>
        <v>0</v>
      </c>
      <c r="F510" s="259" t="str">
        <f t="shared" si="16"/>
        <v/>
      </c>
      <c r="G510" s="259" t="str">
        <f t="shared" si="16"/>
        <v/>
      </c>
      <c r="H510" s="261" t="str">
        <f t="shared" si="17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0</v>
      </c>
      <c r="C511" s="236">
        <f>R71</f>
        <v>0</v>
      </c>
      <c r="D511" s="236">
        <f>'Prior Year'!R59</f>
        <v>0</v>
      </c>
      <c r="E511" s="180">
        <f>R59</f>
        <v>0</v>
      </c>
      <c r="F511" s="259" t="str">
        <f t="shared" si="16"/>
        <v/>
      </c>
      <c r="G511" s="259" t="str">
        <f t="shared" si="16"/>
        <v/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0</v>
      </c>
      <c r="C512" s="236">
        <f>S71</f>
        <v>0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f>'Prior Year'!T71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112083</v>
      </c>
      <c r="C514" s="236">
        <f>U71</f>
        <v>147994</v>
      </c>
      <c r="D514" s="236">
        <f>'Prior Year'!U59</f>
        <v>0</v>
      </c>
      <c r="E514" s="180">
        <f>U59</f>
        <v>0</v>
      </c>
      <c r="F514" s="259" t="str">
        <f t="shared" si="18"/>
        <v/>
      </c>
      <c r="G514" s="259" t="str">
        <f t="shared" si="18"/>
        <v/>
      </c>
      <c r="H514" s="261" t="str">
        <f t="shared" si="17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45322</v>
      </c>
      <c r="C515" s="236">
        <f>V71</f>
        <v>57781</v>
      </c>
      <c r="D515" s="236">
        <f>'Prior Year'!V59</f>
        <v>0</v>
      </c>
      <c r="E515" s="180">
        <f>V59</f>
        <v>0</v>
      </c>
      <c r="F515" s="259" t="str">
        <f t="shared" si="18"/>
        <v/>
      </c>
      <c r="G515" s="259" t="str">
        <f t="shared" si="18"/>
        <v/>
      </c>
      <c r="H515" s="261" t="str">
        <f t="shared" si="17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0</v>
      </c>
      <c r="C516" s="236">
        <f>W71</f>
        <v>0</v>
      </c>
      <c r="D516" s="236">
        <f>'Prior Year'!W59</f>
        <v>0</v>
      </c>
      <c r="E516" s="180">
        <f>W59</f>
        <v>0</v>
      </c>
      <c r="F516" s="259" t="str">
        <f t="shared" si="18"/>
        <v/>
      </c>
      <c r="G516" s="259" t="str">
        <f t="shared" si="18"/>
        <v/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8"/>
        <v/>
      </c>
      <c r="G517" s="259" t="str">
        <f t="shared" si="18"/>
        <v/>
      </c>
      <c r="H517" s="261" t="str">
        <f t="shared" si="17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45209</v>
      </c>
      <c r="C518" s="236">
        <f>Y71</f>
        <v>5229</v>
      </c>
      <c r="D518" s="236">
        <f>'Prior Year'!Y59</f>
        <v>0</v>
      </c>
      <c r="E518" s="180">
        <f>Y59</f>
        <v>0</v>
      </c>
      <c r="F518" s="259" t="str">
        <f t="shared" si="18"/>
        <v/>
      </c>
      <c r="G518" s="259" t="str">
        <f t="shared" si="18"/>
        <v/>
      </c>
      <c r="H518" s="261" t="str">
        <f t="shared" si="17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8"/>
        <v/>
      </c>
      <c r="G519" s="259" t="str">
        <f t="shared" si="18"/>
        <v/>
      </c>
      <c r="H519" s="261" t="str">
        <f t="shared" si="17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8"/>
        <v/>
      </c>
      <c r="G520" s="259" t="str">
        <f t="shared" si="18"/>
        <v/>
      </c>
      <c r="H520" s="261" t="str">
        <f t="shared" si="17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1084344</v>
      </c>
      <c r="C521" s="236">
        <f>AB71</f>
        <v>1040661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0</v>
      </c>
      <c r="C522" s="236">
        <f>AC71</f>
        <v>0</v>
      </c>
      <c r="D522" s="236">
        <f>'Prior Year'!AC59</f>
        <v>0</v>
      </c>
      <c r="E522" s="180">
        <f>AC59</f>
        <v>0</v>
      </c>
      <c r="F522" s="259" t="str">
        <f t="shared" si="18"/>
        <v/>
      </c>
      <c r="G522" s="259" t="str">
        <f t="shared" si="18"/>
        <v/>
      </c>
      <c r="H522" s="261" t="str">
        <f t="shared" si="17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8"/>
        <v/>
      </c>
      <c r="G523" s="259" t="str">
        <f t="shared" si="18"/>
        <v/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0</v>
      </c>
      <c r="C524" s="236">
        <f>AE71</f>
        <v>0</v>
      </c>
      <c r="D524" s="236">
        <f>'Prior Year'!AE59</f>
        <v>0</v>
      </c>
      <c r="E524" s="180">
        <f>AE59</f>
        <v>0</v>
      </c>
      <c r="F524" s="259" t="str">
        <f t="shared" si="18"/>
        <v/>
      </c>
      <c r="G524" s="259" t="str">
        <f t="shared" si="18"/>
        <v/>
      </c>
      <c r="H524" s="261" t="str">
        <f t="shared" si="17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8"/>
        <v/>
      </c>
      <c r="G525" s="259" t="str">
        <f t="shared" si="18"/>
        <v/>
      </c>
      <c r="H525" s="261" t="str">
        <f t="shared" si="17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4334</v>
      </c>
      <c r="C526" s="236">
        <f>AG71</f>
        <v>26685</v>
      </c>
      <c r="D526" s="236">
        <f>'Prior Year'!AG59</f>
        <v>0</v>
      </c>
      <c r="E526" s="180">
        <f>AG59</f>
        <v>0</v>
      </c>
      <c r="F526" s="259" t="str">
        <f t="shared" si="18"/>
        <v/>
      </c>
      <c r="G526" s="259" t="str">
        <f t="shared" si="18"/>
        <v/>
      </c>
      <c r="H526" s="261" t="str">
        <f t="shared" si="17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8"/>
        <v/>
      </c>
      <c r="G527" s="259" t="str">
        <f t="shared" si="18"/>
        <v/>
      </c>
      <c r="H527" s="261" t="str">
        <f t="shared" si="17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9">IF(B528=0,"",IF(D528=0,"",B528/D528))</f>
        <v/>
      </c>
      <c r="G528" s="259" t="str">
        <f t="shared" si="19"/>
        <v/>
      </c>
      <c r="H528" s="261" t="str">
        <f t="shared" si="17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0</v>
      </c>
      <c r="C529" s="236">
        <f>AJ71</f>
        <v>0</v>
      </c>
      <c r="D529" s="236">
        <f>'Prior Year'!AJ59</f>
        <v>0</v>
      </c>
      <c r="E529" s="180">
        <f>AJ59</f>
        <v>0</v>
      </c>
      <c r="F529" s="259" t="str">
        <f t="shared" si="19"/>
        <v/>
      </c>
      <c r="G529" s="259" t="str">
        <f t="shared" si="19"/>
        <v/>
      </c>
      <c r="H529" s="261" t="str">
        <f t="shared" si="17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9"/>
        <v/>
      </c>
      <c r="G530" s="259" t="str">
        <f t="shared" si="19"/>
        <v/>
      </c>
      <c r="H530" s="261" t="str">
        <f t="shared" si="17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9"/>
        <v/>
      </c>
      <c r="G531" s="259" t="str">
        <f t="shared" si="19"/>
        <v/>
      </c>
      <c r="H531" s="261" t="str">
        <f t="shared" si="17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394154</v>
      </c>
      <c r="C532" s="236">
        <f>AM71</f>
        <v>423169</v>
      </c>
      <c r="D532" s="236">
        <f>'Prior Year'!AM59</f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9"/>
        <v/>
      </c>
      <c r="G534" s="259" t="str">
        <f t="shared" si="19"/>
        <v/>
      </c>
      <c r="H534" s="261" t="str">
        <f t="shared" si="17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9"/>
        <v/>
      </c>
      <c r="G535" s="259" t="str">
        <f t="shared" si="19"/>
        <v/>
      </c>
      <c r="H535" s="261" t="str">
        <f t="shared" si="17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9"/>
        <v/>
      </c>
      <c r="G539" s="259" t="str">
        <f t="shared" si="19"/>
        <v/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663167</v>
      </c>
      <c r="C540" s="236">
        <f>AU71</f>
        <v>869882</v>
      </c>
      <c r="D540" s="236">
        <f>'Prior Year'!AU59</f>
        <v>4623</v>
      </c>
      <c r="E540" s="180">
        <f>AU59</f>
        <v>5312</v>
      </c>
      <c r="F540" s="259">
        <f t="shared" si="19"/>
        <v>143.4494916720744</v>
      </c>
      <c r="G540" s="259">
        <f t="shared" si="19"/>
        <v>163.75790662650601</v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1269204</v>
      </c>
      <c r="C541" s="236">
        <f>AV71</f>
        <v>1153078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1679967</v>
      </c>
      <c r="C544" s="236">
        <f>AY71</f>
        <v>1720406</v>
      </c>
      <c r="D544" s="236">
        <f>'Prior Year'!AY59</f>
        <v>152061</v>
      </c>
      <c r="E544" s="180">
        <f>AY59</f>
        <v>151347</v>
      </c>
      <c r="F544" s="259">
        <f t="shared" ref="F544:G550" si="20">IF(B544=0,"",IF(D544=0,"",B544/D544))</f>
        <v>11.047980744569614</v>
      </c>
      <c r="G544" s="259">
        <f t="shared" si="20"/>
        <v>11.367295024017654</v>
      </c>
      <c r="H544" s="261" t="str">
        <f t="shared" si="17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28932</v>
      </c>
      <c r="C545" s="236">
        <f>AZ71</f>
        <v>24539</v>
      </c>
      <c r="D545" s="236">
        <f>'Prior Year'!AZ59</f>
        <v>0</v>
      </c>
      <c r="E545" s="180">
        <f>AZ59</f>
        <v>0</v>
      </c>
      <c r="F545" s="259" t="str">
        <f t="shared" si="20"/>
        <v/>
      </c>
      <c r="G545" s="259" t="str">
        <f t="shared" si="20"/>
        <v/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154300</v>
      </c>
      <c r="C546" s="236">
        <f>BA71</f>
        <v>174038</v>
      </c>
      <c r="D546" s="236">
        <f>'Prior Year'!BA59</f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113084</v>
      </c>
      <c r="C547" s="236">
        <f>BB71</f>
        <v>126194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75087</v>
      </c>
      <c r="C548" s="236">
        <f>BC71</f>
        <v>48607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1268476</v>
      </c>
      <c r="C550" s="236">
        <f>BE71</f>
        <v>1255146</v>
      </c>
      <c r="D550" s="236">
        <f>'Prior Year'!BE59</f>
        <v>77201</v>
      </c>
      <c r="E550" s="180">
        <f>BE59</f>
        <v>82513</v>
      </c>
      <c r="F550" s="259">
        <f t="shared" si="20"/>
        <v>16.4308234349296</v>
      </c>
      <c r="G550" s="259">
        <f t="shared" si="20"/>
        <v>15.211493946408444</v>
      </c>
      <c r="H550" s="261" t="str">
        <f t="shared" si="17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603658</v>
      </c>
      <c r="C551" s="236">
        <f>BF71</f>
        <v>848129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341547</v>
      </c>
      <c r="C552" s="236">
        <f>BG71</f>
        <v>430213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2199</v>
      </c>
      <c r="C553" s="236">
        <f>BH71</f>
        <v>1724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1634857</v>
      </c>
      <c r="C554" s="236">
        <f>BI71</f>
        <v>1449562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454864</v>
      </c>
      <c r="C555" s="236">
        <f>BJ71</f>
        <v>494884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506275</v>
      </c>
      <c r="C556" s="236">
        <f>BK71</f>
        <v>483117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1454935</v>
      </c>
      <c r="C557" s="236">
        <f>BL71</f>
        <v>1670121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1612267</v>
      </c>
      <c r="C559" s="236">
        <f>BN71</f>
        <v>1654907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1808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496059</v>
      </c>
      <c r="C563" s="236">
        <f>BR71</f>
        <v>469021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628192</v>
      </c>
      <c r="C567" s="236">
        <f>BV71</f>
        <v>592373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6284368</v>
      </c>
      <c r="C568" s="236">
        <f>BW71</f>
        <v>6344576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630980</v>
      </c>
      <c r="C569" s="236">
        <f>BX71</f>
        <v>669379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1843936</v>
      </c>
      <c r="C570" s="236">
        <f>BY71</f>
        <v>2695433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665870</v>
      </c>
      <c r="C572" s="236">
        <f>CA71</f>
        <v>474115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183686</v>
      </c>
      <c r="C574" s="236">
        <f>CC71</f>
        <v>207091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13720242</v>
      </c>
      <c r="C575" s="236">
        <f>CD71</f>
        <v>13964357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82513</v>
      </c>
      <c r="E612" s="180">
        <f>SUM(C624:D647)+SUM(C668:D713)</f>
        <v>45504225.826075882</v>
      </c>
      <c r="F612" s="180">
        <f>CE64-(AX64+BD64+BE64+BG64+BJ64+BN64+BP64+BQ64+CB64+CC64+CD64)</f>
        <v>1864010</v>
      </c>
      <c r="G612" s="180">
        <f>CE77-(AX77+AY77+BD77+BE77+BG77+BJ77+BN77+BP77+BQ77+CB77+CC77+CD77)</f>
        <v>151347</v>
      </c>
      <c r="H612" s="197">
        <f>CE60-(AX60+AY60+AZ60+BD60+BE60+BG60+BJ60+BN60+BO60+BP60+BQ60+BR60+CB60+CC60+CD60)</f>
        <v>247.96480769230772</v>
      </c>
      <c r="I612" s="180">
        <f>CE78-(AX78+AY78+AZ78+BD78+BE78+BF78+BG78+BJ78+BN78+BO78+BP78+BQ78+BR78+CB78+CC78+CD78)</f>
        <v>16640</v>
      </c>
      <c r="J612" s="180">
        <f>CE79-(AX79+AY79+AZ79+BA79+BD79+BE79+BF79+BG79+BJ79+BN79+BO79+BP79+BQ79+BR79+CB79+CC79+CD79)</f>
        <v>174620</v>
      </c>
      <c r="K612" s="180">
        <f>CE75-(AW75+AX75+AY75+AZ75+BA75+BB75+BC75+BD75+BE75+BF75+BG75+BH75+BI75+BJ75+BK75+BL75+BM75+BN75+BO75+BP75+BQ75+BR75+BS75+BT75+BU75+BV75+BW75+BX75+CB75+CC75+CD75)</f>
        <v>149584448</v>
      </c>
      <c r="L612" s="197">
        <f>CE80-(AW80+AX80+AY80+AZ80+BA80+BB80+BC80+BD80+BE80+BF80+BG80+BH80+BI80+BJ80+BK80+BL80+BM80+BN80+BO80+BP80+BQ80+BR80+BS80+BT80+BU80+BV80+BW80+BX80+BY80+BZ80+CA80+CB80+CC80+CD80)</f>
        <v>137.67903846153845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1255146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13964357</v>
      </c>
      <c r="D615" s="262">
        <f>SUM(C614:C615)</f>
        <v>15219503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494884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430213</v>
      </c>
      <c r="D618" s="180">
        <f>(D615/D612)*BG76</f>
        <v>17707.176905457323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1654907</v>
      </c>
      <c r="D619" s="180">
        <f>(D615/D612)*BN76</f>
        <v>3720904.9970186516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207091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6525707.173924109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1720406</v>
      </c>
      <c r="D625" s="180">
        <f>(D615/D612)*AY76</f>
        <v>722305.25793511327</v>
      </c>
      <c r="E625" s="180">
        <f>(E623/E612)*SUM(C625:D625)</f>
        <v>350306.33068363968</v>
      </c>
      <c r="F625" s="180">
        <f>(F624/F612)*AY64</f>
        <v>0</v>
      </c>
      <c r="G625" s="180">
        <f>SUM(C625:F625)</f>
        <v>2793017.588618753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469021</v>
      </c>
      <c r="D626" s="180">
        <f>(D615/D612)*BR76</f>
        <v>35598.803570346492</v>
      </c>
      <c r="E626" s="180">
        <f>(E623/E612)*SUM(C626:D626)</f>
        <v>72366.928839742031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24539</v>
      </c>
      <c r="D628" s="180">
        <f>(D615/D612)*AZ76</f>
        <v>283314.83048731717</v>
      </c>
      <c r="E628" s="180">
        <f>(E623/E612)*SUM(C628:D628)</f>
        <v>44148.953501805969</v>
      </c>
      <c r="F628" s="180">
        <f>(F624/F612)*AZ64</f>
        <v>0</v>
      </c>
      <c r="G628" s="180">
        <f>(G625/G612)*AZ77</f>
        <v>0</v>
      </c>
      <c r="H628" s="180">
        <f>SUM(C626:G628)</f>
        <v>928989.51639921172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848129</v>
      </c>
      <c r="D629" s="180">
        <f>(D615/D612)*BF76</f>
        <v>0</v>
      </c>
      <c r="E629" s="180">
        <f>(E623/E612)*SUM(C629:D629)</f>
        <v>121629.17617513872</v>
      </c>
      <c r="F629" s="180">
        <f>(F624/F612)*BF64</f>
        <v>0</v>
      </c>
      <c r="G629" s="180">
        <f>(G625/G612)*BF77</f>
        <v>0</v>
      </c>
      <c r="H629" s="180">
        <f>(H628/H612)*BF60</f>
        <v>41023.705336420346</v>
      </c>
      <c r="I629" s="180">
        <f>SUM(C629:H629)</f>
        <v>1010781.881511559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174038</v>
      </c>
      <c r="D630" s="180">
        <f>(D615/D612)*BA76</f>
        <v>94438.276829105715</v>
      </c>
      <c r="E630" s="180">
        <f>(E623/E612)*SUM(C630:D630)</f>
        <v>38501.865132889703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306978.1419619954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126194</v>
      </c>
      <c r="D632" s="180">
        <f>(D615/D612)*BB76</f>
        <v>0</v>
      </c>
      <c r="E632" s="180">
        <f>(E623/E612)*SUM(C632:D632)</f>
        <v>18097.33219621715</v>
      </c>
      <c r="F632" s="180">
        <f>(F624/F612)*BB64</f>
        <v>0</v>
      </c>
      <c r="G632" s="180">
        <f>(G625/G612)*BB77</f>
        <v>0</v>
      </c>
      <c r="H632" s="180">
        <f>(H628/H612)*BB60</f>
        <v>8991.4970600373363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48607</v>
      </c>
      <c r="D633" s="180">
        <f>(D615/D612)*BC76</f>
        <v>0</v>
      </c>
      <c r="E633" s="180">
        <f>(E623/E612)*SUM(C633:D633)</f>
        <v>6970.6723462409236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1449562</v>
      </c>
      <c r="D634" s="180">
        <f>(D615/D612)*BI76</f>
        <v>0</v>
      </c>
      <c r="E634" s="180">
        <f>(E623/E612)*SUM(C634:D634)</f>
        <v>207879.97094166858</v>
      </c>
      <c r="F634" s="180">
        <f>(F624/F612)*BI64</f>
        <v>0</v>
      </c>
      <c r="G634" s="180">
        <f>(G625/G612)*BI77</f>
        <v>0</v>
      </c>
      <c r="H634" s="180">
        <f>(H628/H612)*BI60</f>
        <v>41254.256543087962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483117</v>
      </c>
      <c r="D635" s="180">
        <f>(D615/D612)*BK76</f>
        <v>0</v>
      </c>
      <c r="E635" s="180">
        <f>(E623/E612)*SUM(C635:D635)</f>
        <v>69283.237227125224</v>
      </c>
      <c r="F635" s="180">
        <f>(F624/F612)*BK64</f>
        <v>0</v>
      </c>
      <c r="G635" s="180">
        <f>(G625/G612)*BK77</f>
        <v>0</v>
      </c>
      <c r="H635" s="180">
        <f>(H628/H612)*BK60</f>
        <v>20668.555441492073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1724</v>
      </c>
      <c r="D636" s="180">
        <f>(D615/D612)*BH76</f>
        <v>0</v>
      </c>
      <c r="E636" s="180">
        <f>(E623/E612)*SUM(C636:D636)</f>
        <v>247.23679973911888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1670121</v>
      </c>
      <c r="D637" s="180">
        <f>(D615/D612)*BL76</f>
        <v>0</v>
      </c>
      <c r="E637" s="180">
        <f>(E623/E612)*SUM(C637:D637)</f>
        <v>239510.07611200519</v>
      </c>
      <c r="F637" s="180">
        <f>(F624/F612)*BL64</f>
        <v>0</v>
      </c>
      <c r="G637" s="180">
        <f>(G625/G612)*BL77</f>
        <v>0</v>
      </c>
      <c r="H637" s="180">
        <f>(H628/H612)*BL60</f>
        <v>72677.665539364287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592373</v>
      </c>
      <c r="D642" s="180">
        <f>(D615/D612)*BV76</f>
        <v>103291.86528183437</v>
      </c>
      <c r="E642" s="180">
        <f>(E623/E612)*SUM(C642:D642)</f>
        <v>99764.475048274951</v>
      </c>
      <c r="F642" s="180">
        <f>(F624/F612)*BV64</f>
        <v>0</v>
      </c>
      <c r="G642" s="180">
        <f>(G625/G612)*BV77</f>
        <v>0</v>
      </c>
      <c r="H642" s="180">
        <f>(H628/H612)*BV60</f>
        <v>20254.283742011186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6344576</v>
      </c>
      <c r="D643" s="180">
        <f>(D615/D612)*BW76</f>
        <v>123950.23833820125</v>
      </c>
      <c r="E643" s="180">
        <f>(E623/E612)*SUM(C643:D643)</f>
        <v>927643.69268866465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669379</v>
      </c>
      <c r="D644" s="180">
        <f>(D615/D612)*BX76</f>
        <v>0</v>
      </c>
      <c r="E644" s="180">
        <f>(E623/E612)*SUM(C644:D644)</f>
        <v>95994.850216108855</v>
      </c>
      <c r="F644" s="180">
        <f>(F624/F612)*BX64</f>
        <v>0</v>
      </c>
      <c r="G644" s="180">
        <f>(G625/G612)*BX77</f>
        <v>0</v>
      </c>
      <c r="H644" s="180">
        <f>(H628/H612)*BX60</f>
        <v>24274.52040827788</v>
      </c>
      <c r="I644" s="180">
        <f>(I629/I612)*BX78</f>
        <v>0</v>
      </c>
      <c r="J644" s="180">
        <f>(J630/J612)*BX79</f>
        <v>0</v>
      </c>
      <c r="K644" s="180">
        <f>SUM(C631:J644)</f>
        <v>13466407.425930351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2695433</v>
      </c>
      <c r="D645" s="180">
        <f>(D615/D612)*BY76</f>
        <v>17707.176905457323</v>
      </c>
      <c r="E645" s="180">
        <f>(E623/E612)*SUM(C645:D645)</f>
        <v>389088.22191515786</v>
      </c>
      <c r="F645" s="180">
        <f>(F624/F612)*BY64</f>
        <v>0</v>
      </c>
      <c r="G645" s="180">
        <f>(G625/G612)*BY77</f>
        <v>0</v>
      </c>
      <c r="H645" s="180">
        <f>(H628/H612)*BY60</f>
        <v>61027.624877440903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474115</v>
      </c>
      <c r="D647" s="180">
        <f>(D615/D612)*CA76</f>
        <v>0</v>
      </c>
      <c r="E647" s="180">
        <f>(E623/E612)*SUM(C647:D647)</f>
        <v>67992.271060505998</v>
      </c>
      <c r="F647" s="180">
        <f>(F624/F612)*CA64</f>
        <v>0</v>
      </c>
      <c r="G647" s="180">
        <f>(G625/G612)*CA77</f>
        <v>0</v>
      </c>
      <c r="H647" s="180">
        <f>(H628/H612)*CA60</f>
        <v>25634.412291356446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3730997.7070499184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35797932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1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12507522</v>
      </c>
      <c r="D673" s="180">
        <f>(D615/D612)*H76</f>
        <v>9079170.5085138101</v>
      </c>
      <c r="E673" s="180">
        <f>(E623/E612)*SUM(C673:D673)</f>
        <v>3095722.0259613493</v>
      </c>
      <c r="F673" s="180">
        <f>(F624/F612)*H64</f>
        <v>0</v>
      </c>
      <c r="G673" s="180">
        <f>(G625/G612)*H77</f>
        <v>2687716.8006238895</v>
      </c>
      <c r="H673" s="180">
        <f>(H628/H612)*H60</f>
        <v>489658.34169859573</v>
      </c>
      <c r="I673" s="180">
        <f>(I629/I612)*H78</f>
        <v>1010781.881511559</v>
      </c>
      <c r="J673" s="180">
        <f>(J630/J612)*H79</f>
        <v>306978.1419619954</v>
      </c>
      <c r="K673" s="180">
        <f>(K644/K612)*H75</f>
        <v>13154155.678824175</v>
      </c>
      <c r="L673" s="180">
        <f>(L647/L612)*H80</f>
        <v>3541844.9915297306</v>
      </c>
      <c r="M673" s="180">
        <f t="shared" si="21"/>
        <v>33366028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1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1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147994</v>
      </c>
      <c r="D686" s="180">
        <f>(D615/D612)*U76</f>
        <v>0</v>
      </c>
      <c r="E686" s="180">
        <f>(E623/E612)*SUM(C686:D686)</f>
        <v>21223.644397094642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1"/>
        <v>21224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57781</v>
      </c>
      <c r="D687" s="180">
        <f>(D615/D612)*V76</f>
        <v>0</v>
      </c>
      <c r="E687" s="180">
        <f>(E623/E612)*SUM(C687:D687)</f>
        <v>8286.3048293074407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8286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1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1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5229</v>
      </c>
      <c r="D690" s="180">
        <f>(D615/D612)*Y76</f>
        <v>0</v>
      </c>
      <c r="E690" s="180">
        <f>(E623/E612)*SUM(C690:D690)</f>
        <v>749.8847017609354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1"/>
        <v>750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1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1040661</v>
      </c>
      <c r="D693" s="180">
        <f>(D615/D612)*AB76</f>
        <v>41316.746112733752</v>
      </c>
      <c r="E693" s="180">
        <f>(E623/E612)*SUM(C693:D693)</f>
        <v>155165.14810780578</v>
      </c>
      <c r="F693" s="180">
        <f>(F624/F612)*AB64</f>
        <v>0</v>
      </c>
      <c r="G693" s="180">
        <f>(G625/G612)*AB77</f>
        <v>0</v>
      </c>
      <c r="H693" s="180">
        <f>(H628/H612)*AB60</f>
        <v>12363.308457551337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1"/>
        <v>208845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1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1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26685</v>
      </c>
      <c r="D698" s="180">
        <f>(D615/D612)*AG76</f>
        <v>0</v>
      </c>
      <c r="E698" s="180">
        <f>(E623/E612)*SUM(C698:D698)</f>
        <v>3826.864269743844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1"/>
        <v>3827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1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423169</v>
      </c>
      <c r="D704" s="180">
        <f>(D615/D612)*AM76</f>
        <v>0</v>
      </c>
      <c r="E704" s="180">
        <f>(E623/E612)*SUM(C704:D704)</f>
        <v>60686.165492345244</v>
      </c>
      <c r="F704" s="180">
        <f>(F624/F612)*AM64</f>
        <v>0</v>
      </c>
      <c r="G704" s="180">
        <f>(G625/G612)*AM77</f>
        <v>0</v>
      </c>
      <c r="H704" s="180">
        <f>(H628/H612)*AM60</f>
        <v>19219.324965829805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79905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869882</v>
      </c>
      <c r="D712" s="180">
        <f>(D615/D612)*AU76</f>
        <v>979797.12210197176</v>
      </c>
      <c r="E712" s="180">
        <f>(E623/E612)*SUM(C712:D712)</f>
        <v>265260.29390530998</v>
      </c>
      <c r="F712" s="180">
        <f>(F624/F612)*AU64</f>
        <v>0</v>
      </c>
      <c r="G712" s="180">
        <f>(G625/G612)*AU77</f>
        <v>105300.78799486349</v>
      </c>
      <c r="H712" s="180">
        <f>(H628/H612)*AU60</f>
        <v>26150.270616275255</v>
      </c>
      <c r="I712" s="180">
        <f>(I629/I612)*AU78</f>
        <v>0</v>
      </c>
      <c r="J712" s="180">
        <f>(J630/J612)*AU79</f>
        <v>0</v>
      </c>
      <c r="K712" s="180">
        <f>(K644/K612)*AU75</f>
        <v>312251.74710617767</v>
      </c>
      <c r="L712" s="180">
        <f>(L647/L612)*AU80</f>
        <v>189152.71552018818</v>
      </c>
      <c r="M712" s="180">
        <f t="shared" si="21"/>
        <v>1877913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1153078</v>
      </c>
      <c r="D713" s="180">
        <f>(D615/D612)*AV76</f>
        <v>0</v>
      </c>
      <c r="E713" s="180">
        <f>(E623/E612)*SUM(C713:D713)</f>
        <v>165361.55137446852</v>
      </c>
      <c r="F713" s="180">
        <f>(F624/F612)*AV64</f>
        <v>0</v>
      </c>
      <c r="G713" s="180">
        <f>(G625/G612)*AV77</f>
        <v>0</v>
      </c>
      <c r="H713" s="180">
        <f>(H628/H612)*AV60</f>
        <v>65791.749421471104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1"/>
        <v>231153</v>
      </c>
      <c r="N713" s="199" t="s">
        <v>741</v>
      </c>
    </row>
    <row r="715" spans="1:15" ht="12.6" customHeight="1" x14ac:dyDescent="0.25">
      <c r="C715" s="180">
        <f>SUM(C614:C647)+SUM(C668:C713)</f>
        <v>52029933</v>
      </c>
      <c r="D715" s="180">
        <f>SUM(D616:D647)+SUM(D668:D713)</f>
        <v>15219503</v>
      </c>
      <c r="E715" s="180">
        <f>SUM(E624:E647)+SUM(E668:E713)</f>
        <v>6525707.1739241099</v>
      </c>
      <c r="F715" s="180">
        <f>SUM(F625:F648)+SUM(F668:F713)</f>
        <v>0</v>
      </c>
      <c r="G715" s="180">
        <f>SUM(G626:G647)+SUM(G668:G713)</f>
        <v>2793017.588618753</v>
      </c>
      <c r="H715" s="180">
        <f>SUM(H629:H647)+SUM(H668:H713)</f>
        <v>928989.5163992116</v>
      </c>
      <c r="I715" s="180">
        <f>SUM(I630:I647)+SUM(I668:I713)</f>
        <v>1010781.881511559</v>
      </c>
      <c r="J715" s="180">
        <f>SUM(J631:J647)+SUM(J668:J713)</f>
        <v>306978.1419619954</v>
      </c>
      <c r="K715" s="180">
        <f>SUM(K668:K713)</f>
        <v>13466407.425930353</v>
      </c>
      <c r="L715" s="180">
        <f>SUM(L668:L713)</f>
        <v>3730997.7070499188</v>
      </c>
      <c r="M715" s="180">
        <f>SUM(M668:M713)</f>
        <v>35797931</v>
      </c>
      <c r="N715" s="198" t="s">
        <v>742</v>
      </c>
    </row>
    <row r="716" spans="1:15" ht="12.6" customHeight="1" x14ac:dyDescent="0.25">
      <c r="C716" s="180">
        <f>CE71</f>
        <v>52029933</v>
      </c>
      <c r="D716" s="180">
        <f>D615</f>
        <v>15219503</v>
      </c>
      <c r="E716" s="180">
        <f>E623</f>
        <v>6525707.173924109</v>
      </c>
      <c r="F716" s="180">
        <f>F624</f>
        <v>0</v>
      </c>
      <c r="G716" s="180">
        <f>G625</f>
        <v>2793017.588618753</v>
      </c>
      <c r="H716" s="180">
        <f>H628</f>
        <v>928989.51639921172</v>
      </c>
      <c r="I716" s="180">
        <f>I629</f>
        <v>1010781.881511559</v>
      </c>
      <c r="J716" s="180">
        <f>J630</f>
        <v>306978.1419619954</v>
      </c>
      <c r="K716" s="180">
        <f>K644</f>
        <v>13466407.425930351</v>
      </c>
      <c r="L716" s="180">
        <f>L647</f>
        <v>3730997.7070499184</v>
      </c>
      <c r="M716" s="180">
        <f>C648</f>
        <v>35797932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245" transitionEvaluation="1" transitionEntry="1" codeName="Sheet10">
    <pageSetUpPr autoPageBreaks="0" fitToPage="1"/>
  </sheetPr>
  <dimension ref="A1:CF719"/>
  <sheetViews>
    <sheetView showGridLines="0" topLeftCell="A43" zoomScaleNormal="100" workbookViewId="0">
      <pane xSplit="2" ySplit="16" topLeftCell="C245" activePane="bottomRight" state="frozen"/>
      <selection activeCell="A43" sqref="A43"/>
      <selection pane="topRight" activeCell="C43" sqref="C43"/>
      <selection pane="bottomLeft" activeCell="A59" sqref="A59"/>
      <selection pane="bottomRight" activeCell="A269" sqref="A26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968</v>
      </c>
      <c r="B1" s="230"/>
      <c r="C1" s="230"/>
      <c r="D1" s="230"/>
      <c r="E1" s="230"/>
      <c r="F1" s="230"/>
    </row>
    <row r="2" spans="1:6" ht="12.75" customHeight="1" x14ac:dyDescent="0.25">
      <c r="A2" s="230" t="s">
        <v>969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993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964</v>
      </c>
      <c r="C10" s="232"/>
    </row>
    <row r="11" spans="1:6" ht="12.75" customHeight="1" x14ac:dyDescent="0.25">
      <c r="A11" s="198" t="s">
        <v>967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995</v>
      </c>
      <c r="C16" s="232"/>
      <c r="F16" s="273" t="s">
        <v>994</v>
      </c>
    </row>
    <row r="17" spans="1:6" ht="12.75" customHeight="1" x14ac:dyDescent="0.25">
      <c r="A17" s="180" t="s">
        <v>966</v>
      </c>
      <c r="C17" s="273" t="s">
        <v>994</v>
      </c>
    </row>
    <row r="18" spans="1:6" ht="12.75" customHeight="1" x14ac:dyDescent="0.25">
      <c r="A18" s="224"/>
      <c r="C18" s="232"/>
    </row>
    <row r="19" spans="1:6" ht="12.75" customHeight="1" x14ac:dyDescent="0.25">
      <c r="C19" s="232"/>
    </row>
    <row r="20" spans="1:6" ht="12.75" customHeight="1" x14ac:dyDescent="0.25">
      <c r="A20" s="269" t="s">
        <v>970</v>
      </c>
      <c r="B20" s="269"/>
      <c r="C20" s="274"/>
      <c r="D20" s="269"/>
      <c r="E20" s="269"/>
      <c r="F20" s="269"/>
    </row>
    <row r="21" spans="1:6" ht="22.65" customHeight="1" x14ac:dyDescent="0.25">
      <c r="A21" s="199"/>
      <c r="C21" s="232"/>
    </row>
    <row r="22" spans="1:6" ht="12.6" customHeight="1" x14ac:dyDescent="0.25">
      <c r="A22" s="233" t="s">
        <v>990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971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972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973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974</v>
      </c>
      <c r="C36" s="232"/>
    </row>
    <row r="37" spans="1:83" ht="12.6" customHeight="1" x14ac:dyDescent="0.25">
      <c r="A37" s="199" t="s">
        <v>965</v>
      </c>
      <c r="C37" s="232"/>
    </row>
    <row r="38" spans="1:83" ht="12.15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.15" customHeight="1" x14ac:dyDescent="0.25">
      <c r="A40" s="199"/>
      <c r="C40" s="232"/>
    </row>
    <row r="41" spans="1:83" ht="12.15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.15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.15" customHeight="1" x14ac:dyDescent="0.25">
      <c r="A43" s="199"/>
      <c r="C43" s="232"/>
      <c r="F43" s="181"/>
    </row>
    <row r="44" spans="1:83" ht="12.15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15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930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3903599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1904941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7461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79060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56335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84475</v>
      </c>
      <c r="AV48" s="195">
        <f>ROUND(((B48/CE61)*AV61),0)</f>
        <v>208800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86412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18777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54721</v>
      </c>
      <c r="BF48" s="195">
        <f>ROUND(((B48/CE61)*BF61),0)</f>
        <v>48653</v>
      </c>
      <c r="BG48" s="195">
        <f>ROUND(((B48/CE61)*BG61),0)</f>
        <v>42546</v>
      </c>
      <c r="BH48" s="195">
        <f>ROUND(((B48/CE61)*BH61),0)</f>
        <v>0</v>
      </c>
      <c r="BI48" s="195">
        <f>ROUND(((B48/CE61)*BI61),0)</f>
        <v>187744</v>
      </c>
      <c r="BJ48" s="195">
        <f>ROUND(((B48/CE61)*BJ61),0)</f>
        <v>46941</v>
      </c>
      <c r="BK48" s="195">
        <f>ROUND(((B48/CE61)*BK61),0)</f>
        <v>65773</v>
      </c>
      <c r="BL48" s="195">
        <f>ROUND(((B48/CE61)*BL61),0)</f>
        <v>241393</v>
      </c>
      <c r="BM48" s="195">
        <f>ROUND(((B48/CE61)*BM61),0)</f>
        <v>0</v>
      </c>
      <c r="BN48" s="195">
        <f>ROUND(((B48/CE61)*BN61),0)</f>
        <v>115597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56069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55631</v>
      </c>
      <c r="BW48" s="195">
        <f>ROUND(((B48/CE61)*BW61),0)</f>
        <v>0</v>
      </c>
      <c r="BX48" s="195">
        <f>ROUND(((B48/CE61)*BX61),0)</f>
        <v>103864</v>
      </c>
      <c r="BY48" s="195">
        <f>ROUND(((B48/CE61)*BY61),0)</f>
        <v>303243</v>
      </c>
      <c r="BZ48" s="195">
        <f>ROUND(((B48/CE61)*BZ61),0)</f>
        <v>0</v>
      </c>
      <c r="CA48" s="195">
        <f>ROUND(((B48/CE61)*CA61),0)</f>
        <v>108850</v>
      </c>
      <c r="CB48" s="195">
        <f>ROUND(((B48/CE61)*CB61),0)</f>
        <v>0</v>
      </c>
      <c r="CC48" s="195">
        <f>ROUND(((B48/CE61)*CC61),0)</f>
        <v>26312</v>
      </c>
      <c r="CD48" s="195"/>
      <c r="CE48" s="195">
        <f>SUM(C48:CD48)</f>
        <v>3903598</v>
      </c>
    </row>
    <row r="49" spans="1:84" ht="12.6" customHeight="1" x14ac:dyDescent="0.25">
      <c r="A49" s="175" t="s">
        <v>206</v>
      </c>
      <c r="B49" s="195">
        <f>B47+B48</f>
        <v>3903599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1454177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927177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4219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73763</v>
      </c>
      <c r="AZ52" s="195">
        <f>ROUND((B52/(CE76+CF76)*AZ76),0)</f>
        <v>28932</v>
      </c>
      <c r="BA52" s="195">
        <f>ROUND((B52/(CE76+CF76)*BA76),0)</f>
        <v>9644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379984</v>
      </c>
      <c r="BO52" s="195">
        <f>ROUND((B52/(CE76+CF76)*BO76),0)</f>
        <v>0</v>
      </c>
      <c r="BP52" s="195">
        <f>ROUND((B52/(CE76+CF76)*BP76),0)</f>
        <v>1808</v>
      </c>
      <c r="BQ52" s="195">
        <f>ROUND((B52/(CE76+CF76)*BQ76),0)</f>
        <v>0</v>
      </c>
      <c r="BR52" s="195">
        <f>ROUND((B52/(CE76+CF76)*BR76),0)</f>
        <v>3635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10548</v>
      </c>
      <c r="BW52" s="195">
        <f>ROUND((B52/(CE76+CF76)*BW76),0)</f>
        <v>12658</v>
      </c>
      <c r="BX52" s="195">
        <f>ROUND((B52/(CE76+CF76)*BX76),0)</f>
        <v>0</v>
      </c>
      <c r="BY52" s="195">
        <f>ROUND((B52/(CE76+CF76)*BY76),0)</f>
        <v>1808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1454176</v>
      </c>
    </row>
    <row r="53" spans="1:84" ht="12.6" customHeight="1" x14ac:dyDescent="0.25">
      <c r="A53" s="175" t="s">
        <v>206</v>
      </c>
      <c r="B53" s="195">
        <f>B51+B52</f>
        <v>1454177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930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948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49146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4"/>
      <c r="T59" s="244"/>
      <c r="U59" s="220"/>
      <c r="V59" s="185"/>
      <c r="W59" s="185"/>
      <c r="X59" s="185"/>
      <c r="Y59" s="185"/>
      <c r="Z59" s="185"/>
      <c r="AA59" s="185"/>
      <c r="AB59" s="244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4623</v>
      </c>
      <c r="AV59" s="244"/>
      <c r="AW59" s="244"/>
      <c r="AX59" s="244"/>
      <c r="AY59" s="185">
        <v>152061</v>
      </c>
      <c r="AZ59" s="185"/>
      <c r="BA59" s="244"/>
      <c r="BB59" s="244"/>
      <c r="BC59" s="244"/>
      <c r="BD59" s="244"/>
      <c r="BE59" s="185">
        <v>77201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187"/>
      <c r="F60" s="219"/>
      <c r="G60" s="187"/>
      <c r="H60" s="187">
        <v>136.58653846153845</v>
      </c>
      <c r="I60" s="187"/>
      <c r="J60" s="219"/>
      <c r="K60" s="187"/>
      <c r="L60" s="187"/>
      <c r="M60" s="187"/>
      <c r="N60" s="187"/>
      <c r="O60" s="18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>
        <v>3.1</v>
      </c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>
        <v>4.5599999999999996</v>
      </c>
      <c r="AN60" s="217"/>
      <c r="AO60" s="217"/>
      <c r="AP60" s="217"/>
      <c r="AQ60" s="217"/>
      <c r="AR60" s="217"/>
      <c r="AS60" s="217"/>
      <c r="AT60" s="217"/>
      <c r="AU60" s="217">
        <v>5.48</v>
      </c>
      <c r="AV60" s="217">
        <v>16.579999999999998</v>
      </c>
      <c r="AW60" s="217"/>
      <c r="AX60" s="217"/>
      <c r="AY60" s="217">
        <v>9.43</v>
      </c>
      <c r="AZ60" s="217"/>
      <c r="BA60" s="217"/>
      <c r="BB60" s="217">
        <v>2.0299999999999998</v>
      </c>
      <c r="BC60" s="217"/>
      <c r="BD60" s="217"/>
      <c r="BE60" s="217">
        <v>3.8</v>
      </c>
      <c r="BF60" s="217">
        <v>9.9600000000000009</v>
      </c>
      <c r="BG60" s="217">
        <v>2.41</v>
      </c>
      <c r="BH60" s="217"/>
      <c r="BI60" s="217">
        <v>12.21</v>
      </c>
      <c r="BJ60" s="217">
        <v>2.64</v>
      </c>
      <c r="BK60" s="217">
        <v>5.07</v>
      </c>
      <c r="BL60" s="217">
        <v>18.260000000000002</v>
      </c>
      <c r="BM60" s="217"/>
      <c r="BN60" s="217">
        <v>2.2000000000000002</v>
      </c>
      <c r="BO60" s="217"/>
      <c r="BP60" s="217"/>
      <c r="BQ60" s="217"/>
      <c r="BR60" s="217">
        <v>3.65</v>
      </c>
      <c r="BS60" s="217"/>
      <c r="BT60" s="217"/>
      <c r="BU60" s="217"/>
      <c r="BV60" s="217">
        <v>7.87</v>
      </c>
      <c r="BW60" s="217"/>
      <c r="BX60" s="217">
        <v>6.3427884615384613</v>
      </c>
      <c r="BY60" s="217">
        <v>12.67</v>
      </c>
      <c r="BZ60" s="217"/>
      <c r="CA60" s="217">
        <v>9.4</v>
      </c>
      <c r="CB60" s="217"/>
      <c r="CC60" s="217">
        <v>1.39</v>
      </c>
      <c r="CD60" s="245" t="s">
        <v>221</v>
      </c>
      <c r="CE60" s="247">
        <f t="shared" ref="CE60:CE70" si="0">SUM(C60:CD60)</f>
        <v>275.63932692307685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9565032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>
        <v>37465</v>
      </c>
      <c r="W61" s="185"/>
      <c r="X61" s="185"/>
      <c r="Y61" s="185"/>
      <c r="Z61" s="185"/>
      <c r="AA61" s="185"/>
      <c r="AB61" s="185">
        <v>396976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282868</v>
      </c>
      <c r="AN61" s="185"/>
      <c r="AO61" s="185"/>
      <c r="AP61" s="185"/>
      <c r="AQ61" s="185"/>
      <c r="AR61" s="185"/>
      <c r="AS61" s="185"/>
      <c r="AT61" s="185"/>
      <c r="AU61" s="185">
        <v>424162</v>
      </c>
      <c r="AV61" s="185">
        <v>1048421</v>
      </c>
      <c r="AW61" s="185"/>
      <c r="AX61" s="185"/>
      <c r="AY61" s="185">
        <v>433888</v>
      </c>
      <c r="AZ61" s="185"/>
      <c r="BA61" s="185"/>
      <c r="BB61" s="185">
        <v>94281</v>
      </c>
      <c r="BC61" s="185"/>
      <c r="BD61" s="185"/>
      <c r="BE61" s="185">
        <v>274762</v>
      </c>
      <c r="BF61" s="185">
        <v>244297</v>
      </c>
      <c r="BG61" s="185">
        <v>213631</v>
      </c>
      <c r="BH61" s="185"/>
      <c r="BI61" s="185">
        <v>942696</v>
      </c>
      <c r="BJ61" s="185">
        <v>235700</v>
      </c>
      <c r="BK61" s="185">
        <v>330255</v>
      </c>
      <c r="BL61" s="185">
        <v>1212073</v>
      </c>
      <c r="BM61" s="185"/>
      <c r="BN61" s="185">
        <v>580434</v>
      </c>
      <c r="BO61" s="185"/>
      <c r="BP61" s="185"/>
      <c r="BQ61" s="185"/>
      <c r="BR61" s="185">
        <v>281532</v>
      </c>
      <c r="BS61" s="185"/>
      <c r="BT61" s="185"/>
      <c r="BU61" s="185"/>
      <c r="BV61" s="185">
        <v>279335</v>
      </c>
      <c r="BW61" s="185"/>
      <c r="BX61" s="185">
        <v>521518</v>
      </c>
      <c r="BY61" s="185">
        <v>1522635</v>
      </c>
      <c r="BZ61" s="185"/>
      <c r="CA61" s="185">
        <v>546556</v>
      </c>
      <c r="CB61" s="185"/>
      <c r="CC61" s="185">
        <v>132118</v>
      </c>
      <c r="CD61" s="245" t="s">
        <v>221</v>
      </c>
      <c r="CE61" s="195">
        <f t="shared" si="0"/>
        <v>19600635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1904941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7461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79060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56335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84475</v>
      </c>
      <c r="AV62" s="195">
        <f t="shared" si="1"/>
        <v>208800</v>
      </c>
      <c r="AW62" s="195">
        <f t="shared" si="1"/>
        <v>0</v>
      </c>
      <c r="AX62" s="195">
        <f t="shared" si="1"/>
        <v>0</v>
      </c>
      <c r="AY62" s="195">
        <f>ROUND(AY47+AY48,0)</f>
        <v>86412</v>
      </c>
      <c r="AZ62" s="195">
        <f>ROUND(AZ47+AZ48,0)</f>
        <v>0</v>
      </c>
      <c r="BA62" s="195">
        <f>ROUND(BA47+BA48,0)</f>
        <v>0</v>
      </c>
      <c r="BB62" s="195">
        <f t="shared" si="1"/>
        <v>18777</v>
      </c>
      <c r="BC62" s="195">
        <f t="shared" si="1"/>
        <v>0</v>
      </c>
      <c r="BD62" s="195">
        <f t="shared" si="1"/>
        <v>0</v>
      </c>
      <c r="BE62" s="195">
        <f t="shared" si="1"/>
        <v>54721</v>
      </c>
      <c r="BF62" s="195">
        <f t="shared" si="1"/>
        <v>48653</v>
      </c>
      <c r="BG62" s="195">
        <f t="shared" si="1"/>
        <v>42546</v>
      </c>
      <c r="BH62" s="195">
        <f t="shared" si="1"/>
        <v>0</v>
      </c>
      <c r="BI62" s="195">
        <f t="shared" si="1"/>
        <v>187744</v>
      </c>
      <c r="BJ62" s="195">
        <f t="shared" si="1"/>
        <v>46941</v>
      </c>
      <c r="BK62" s="195">
        <f t="shared" si="1"/>
        <v>65773</v>
      </c>
      <c r="BL62" s="195">
        <f t="shared" si="1"/>
        <v>241393</v>
      </c>
      <c r="BM62" s="195">
        <f t="shared" si="1"/>
        <v>0</v>
      </c>
      <c r="BN62" s="195">
        <f t="shared" si="1"/>
        <v>115597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56069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55631</v>
      </c>
      <c r="BW62" s="195">
        <f t="shared" si="2"/>
        <v>0</v>
      </c>
      <c r="BX62" s="195">
        <f t="shared" si="2"/>
        <v>103864</v>
      </c>
      <c r="BY62" s="195">
        <f t="shared" si="2"/>
        <v>303243</v>
      </c>
      <c r="BZ62" s="195">
        <f t="shared" si="2"/>
        <v>0</v>
      </c>
      <c r="CA62" s="195">
        <f t="shared" si="2"/>
        <v>108850</v>
      </c>
      <c r="CB62" s="195">
        <f t="shared" si="2"/>
        <v>0</v>
      </c>
      <c r="CC62" s="195">
        <f t="shared" si="2"/>
        <v>26312</v>
      </c>
      <c r="CD62" s="245" t="s">
        <v>221</v>
      </c>
      <c r="CE62" s="195">
        <f t="shared" si="0"/>
        <v>3903598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87590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83080</v>
      </c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>
        <v>30949</v>
      </c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6031623</v>
      </c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6233242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11624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>
        <v>632</v>
      </c>
      <c r="W64" s="185"/>
      <c r="X64" s="185"/>
      <c r="Y64" s="185"/>
      <c r="Z64" s="185"/>
      <c r="AA64" s="185"/>
      <c r="AB64" s="185">
        <v>508787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14083</v>
      </c>
      <c r="AN64" s="185"/>
      <c r="AO64" s="185"/>
      <c r="AP64" s="185"/>
      <c r="AQ64" s="185"/>
      <c r="AR64" s="185"/>
      <c r="AS64" s="185"/>
      <c r="AT64" s="185"/>
      <c r="AU64" s="185">
        <v>2264</v>
      </c>
      <c r="AV64" s="185">
        <v>1544</v>
      </c>
      <c r="AW64" s="185"/>
      <c r="AX64" s="185"/>
      <c r="AY64" s="185">
        <v>1075886</v>
      </c>
      <c r="AZ64" s="185"/>
      <c r="BA64" s="185"/>
      <c r="BB64" s="185">
        <v>6</v>
      </c>
      <c r="BC64" s="185"/>
      <c r="BD64" s="185"/>
      <c r="BE64" s="185">
        <v>94588</v>
      </c>
      <c r="BF64" s="185">
        <v>68309</v>
      </c>
      <c r="BG64" s="185">
        <v>6512</v>
      </c>
      <c r="BH64" s="185">
        <v>272</v>
      </c>
      <c r="BI64" s="185">
        <v>205764</v>
      </c>
      <c r="BJ64" s="185">
        <v>2433</v>
      </c>
      <c r="BK64" s="185">
        <v>21720</v>
      </c>
      <c r="BL64" s="185">
        <v>755</v>
      </c>
      <c r="BM64" s="185"/>
      <c r="BN64" s="185">
        <v>20318</v>
      </c>
      <c r="BO64" s="185"/>
      <c r="BP64" s="185"/>
      <c r="BQ64" s="185"/>
      <c r="BR64" s="185">
        <v>24961</v>
      </c>
      <c r="BS64" s="185"/>
      <c r="BT64" s="185"/>
      <c r="BU64" s="185"/>
      <c r="BV64" s="185">
        <v>51254</v>
      </c>
      <c r="BW64" s="185">
        <v>5883</v>
      </c>
      <c r="BX64" s="185">
        <v>963</v>
      </c>
      <c r="BY64" s="185">
        <v>4869</v>
      </c>
      <c r="BZ64" s="185"/>
      <c r="CA64" s="185">
        <v>6641</v>
      </c>
      <c r="CB64" s="185"/>
      <c r="CC64" s="185">
        <v>668</v>
      </c>
      <c r="CD64" s="245" t="s">
        <v>221</v>
      </c>
      <c r="CE64" s="195">
        <f t="shared" si="0"/>
        <v>2130736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6622</v>
      </c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214614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221236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86851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112083</v>
      </c>
      <c r="V66" s="185">
        <v>-236</v>
      </c>
      <c r="W66" s="185"/>
      <c r="X66" s="185"/>
      <c r="Y66" s="185">
        <v>45209</v>
      </c>
      <c r="Z66" s="185"/>
      <c r="AA66" s="185"/>
      <c r="AB66" s="185">
        <v>88915</v>
      </c>
      <c r="AC66" s="185"/>
      <c r="AD66" s="185"/>
      <c r="AE66" s="185"/>
      <c r="AF66" s="185"/>
      <c r="AG66" s="185">
        <v>4334</v>
      </c>
      <c r="AH66" s="185"/>
      <c r="AI66" s="185"/>
      <c r="AJ66" s="185"/>
      <c r="AK66" s="185"/>
      <c r="AL66" s="185"/>
      <c r="AM66" s="185">
        <v>38138</v>
      </c>
      <c r="AN66" s="185"/>
      <c r="AO66" s="185"/>
      <c r="AP66" s="185"/>
      <c r="AQ66" s="185"/>
      <c r="AR66" s="185"/>
      <c r="AS66" s="185"/>
      <c r="AT66" s="185"/>
      <c r="AU66" s="185">
        <v>1115</v>
      </c>
      <c r="AV66" s="185">
        <v>10225</v>
      </c>
      <c r="AW66" s="185"/>
      <c r="AX66" s="185"/>
      <c r="AY66" s="185">
        <v>570</v>
      </c>
      <c r="AZ66" s="185"/>
      <c r="BA66" s="185">
        <v>144656</v>
      </c>
      <c r="BB66" s="185"/>
      <c r="BC66" s="185"/>
      <c r="BD66" s="185"/>
      <c r="BE66" s="185">
        <v>56763</v>
      </c>
      <c r="BF66" s="185">
        <v>241849</v>
      </c>
      <c r="BG66" s="185"/>
      <c r="BH66" s="185">
        <v>1890</v>
      </c>
      <c r="BI66" s="185">
        <v>156266</v>
      </c>
      <c r="BJ66" s="185">
        <v>96880</v>
      </c>
      <c r="BK66" s="185">
        <v>38849</v>
      </c>
      <c r="BL66" s="185"/>
      <c r="BM66" s="185"/>
      <c r="BN66" s="185">
        <v>33886</v>
      </c>
      <c r="BO66" s="185"/>
      <c r="BP66" s="185"/>
      <c r="BQ66" s="185"/>
      <c r="BR66" s="185">
        <v>44517</v>
      </c>
      <c r="BS66" s="185"/>
      <c r="BT66" s="185"/>
      <c r="BU66" s="185"/>
      <c r="BV66" s="185">
        <v>222189</v>
      </c>
      <c r="BW66" s="185">
        <v>193268</v>
      </c>
      <c r="BX66" s="185">
        <v>1730</v>
      </c>
      <c r="BY66" s="185">
        <v>276</v>
      </c>
      <c r="BZ66" s="185"/>
      <c r="CA66" s="185"/>
      <c r="CB66" s="185"/>
      <c r="CC66" s="185">
        <v>21164</v>
      </c>
      <c r="CD66" s="245" t="s">
        <v>221</v>
      </c>
      <c r="CE66" s="195">
        <f t="shared" si="0"/>
        <v>1641387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927177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4219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73763</v>
      </c>
      <c r="AZ67" s="195">
        <f>ROUND(AZ51+AZ52,0)</f>
        <v>28932</v>
      </c>
      <c r="BA67" s="195">
        <f>ROUND(BA51+BA52,0)</f>
        <v>9644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379984</v>
      </c>
      <c r="BO67" s="195">
        <f t="shared" si="3"/>
        <v>0</v>
      </c>
      <c r="BP67" s="195">
        <f t="shared" si="3"/>
        <v>1808</v>
      </c>
      <c r="BQ67" s="195">
        <f t="shared" ref="BQ67:CC67" si="4">ROUND(BQ51+BQ52,0)</f>
        <v>0</v>
      </c>
      <c r="BR67" s="195">
        <f t="shared" si="4"/>
        <v>3635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10548</v>
      </c>
      <c r="BW67" s="195">
        <f t="shared" si="4"/>
        <v>12658</v>
      </c>
      <c r="BX67" s="195">
        <f t="shared" si="4"/>
        <v>0</v>
      </c>
      <c r="BY67" s="195">
        <f t="shared" si="4"/>
        <v>1808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1454176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>
        <v>60261</v>
      </c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38802</v>
      </c>
      <c r="BF68" s="185"/>
      <c r="BG68" s="185"/>
      <c r="BH68" s="185"/>
      <c r="BI68" s="185"/>
      <c r="BJ68" s="185"/>
      <c r="BK68" s="185">
        <v>4534</v>
      </c>
      <c r="BL68" s="185"/>
      <c r="BM68" s="185"/>
      <c r="BN68" s="185">
        <v>61249</v>
      </c>
      <c r="BO68" s="185"/>
      <c r="BP68" s="185"/>
      <c r="BQ68" s="185"/>
      <c r="BR68" s="185">
        <v>2425</v>
      </c>
      <c r="BS68" s="185"/>
      <c r="BT68" s="185"/>
      <c r="BU68" s="185"/>
      <c r="BV68" s="185">
        <v>212</v>
      </c>
      <c r="BW68" s="185"/>
      <c r="BX68" s="185"/>
      <c r="BY68" s="185">
        <v>4649</v>
      </c>
      <c r="BZ68" s="185"/>
      <c r="CA68" s="185"/>
      <c r="CB68" s="185"/>
      <c r="CC68" s="185"/>
      <c r="CD68" s="245" t="s">
        <v>221</v>
      </c>
      <c r="CE68" s="195">
        <f t="shared" si="0"/>
        <v>172132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11476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6387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>
        <v>2730</v>
      </c>
      <c r="AN69" s="185"/>
      <c r="AO69" s="184"/>
      <c r="AP69" s="185"/>
      <c r="AQ69" s="184"/>
      <c r="AR69" s="184"/>
      <c r="AS69" s="184"/>
      <c r="AT69" s="184"/>
      <c r="AU69" s="185">
        <v>1188</v>
      </c>
      <c r="AV69" s="185">
        <v>214</v>
      </c>
      <c r="AW69" s="185"/>
      <c r="AX69" s="185"/>
      <c r="AY69" s="185">
        <v>9448</v>
      </c>
      <c r="AZ69" s="185"/>
      <c r="BA69" s="185"/>
      <c r="BB69" s="185">
        <v>20</v>
      </c>
      <c r="BC69" s="185">
        <f>75023+64</f>
        <v>75087</v>
      </c>
      <c r="BD69" s="185"/>
      <c r="BE69" s="185">
        <v>534226</v>
      </c>
      <c r="BF69" s="185">
        <v>550</v>
      </c>
      <c r="BG69" s="185">
        <v>78858</v>
      </c>
      <c r="BH69" s="220">
        <v>37</v>
      </c>
      <c r="BI69" s="185">
        <v>111438</v>
      </c>
      <c r="BJ69" s="185">
        <v>72910</v>
      </c>
      <c r="BK69" s="185">
        <v>45144</v>
      </c>
      <c r="BL69" s="185">
        <v>714</v>
      </c>
      <c r="BM69" s="185"/>
      <c r="BN69" s="185">
        <v>420799</v>
      </c>
      <c r="BO69" s="185"/>
      <c r="BP69" s="185"/>
      <c r="BQ69" s="185"/>
      <c r="BR69" s="185">
        <v>82920</v>
      </c>
      <c r="BS69" s="185"/>
      <c r="BT69" s="185"/>
      <c r="BU69" s="185"/>
      <c r="BV69" s="185">
        <v>9023</v>
      </c>
      <c r="BW69" s="185">
        <v>40936</v>
      </c>
      <c r="BX69" s="185">
        <v>2905</v>
      </c>
      <c r="BY69" s="185">
        <v>6456</v>
      </c>
      <c r="BZ69" s="185"/>
      <c r="CA69" s="185">
        <v>3823</v>
      </c>
      <c r="CB69" s="185"/>
      <c r="CC69" s="185">
        <v>3424</v>
      </c>
      <c r="CD69" s="188">
        <v>14313661</v>
      </c>
      <c r="CE69" s="195">
        <f t="shared" si="0"/>
        <v>15834374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593419</v>
      </c>
      <c r="CE70" s="195">
        <f t="shared" si="0"/>
        <v>593419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12594691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112083</v>
      </c>
      <c r="V71" s="195">
        <f t="shared" si="5"/>
        <v>45322</v>
      </c>
      <c r="W71" s="195">
        <f t="shared" si="5"/>
        <v>0</v>
      </c>
      <c r="X71" s="195">
        <f t="shared" si="5"/>
        <v>0</v>
      </c>
      <c r="Y71" s="195">
        <f t="shared" si="5"/>
        <v>45209</v>
      </c>
      <c r="Z71" s="195">
        <f t="shared" si="5"/>
        <v>0</v>
      </c>
      <c r="AA71" s="195">
        <f t="shared" si="5"/>
        <v>0</v>
      </c>
      <c r="AB71" s="195">
        <f t="shared" si="5"/>
        <v>1084344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4334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394154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663167</v>
      </c>
      <c r="AV71" s="195">
        <f t="shared" si="6"/>
        <v>1269204</v>
      </c>
      <c r="AW71" s="195">
        <f t="shared" si="6"/>
        <v>0</v>
      </c>
      <c r="AX71" s="195">
        <f t="shared" si="6"/>
        <v>0</v>
      </c>
      <c r="AY71" s="195">
        <f t="shared" si="6"/>
        <v>1679967</v>
      </c>
      <c r="AZ71" s="195">
        <f t="shared" si="6"/>
        <v>28932</v>
      </c>
      <c r="BA71" s="195">
        <f t="shared" si="6"/>
        <v>154300</v>
      </c>
      <c r="BB71" s="195">
        <f t="shared" si="6"/>
        <v>113084</v>
      </c>
      <c r="BC71" s="195">
        <f t="shared" si="6"/>
        <v>75087</v>
      </c>
      <c r="BD71" s="195">
        <f t="shared" si="6"/>
        <v>0</v>
      </c>
      <c r="BE71" s="195">
        <f t="shared" si="6"/>
        <v>1268476</v>
      </c>
      <c r="BF71" s="195">
        <f t="shared" si="6"/>
        <v>603658</v>
      </c>
      <c r="BG71" s="195">
        <f t="shared" si="6"/>
        <v>341547</v>
      </c>
      <c r="BH71" s="195">
        <f t="shared" si="6"/>
        <v>2199</v>
      </c>
      <c r="BI71" s="195">
        <f t="shared" si="6"/>
        <v>1634857</v>
      </c>
      <c r="BJ71" s="195">
        <f t="shared" si="6"/>
        <v>454864</v>
      </c>
      <c r="BK71" s="195">
        <f t="shared" si="6"/>
        <v>506275</v>
      </c>
      <c r="BL71" s="195">
        <f t="shared" si="6"/>
        <v>1454935</v>
      </c>
      <c r="BM71" s="195">
        <f t="shared" si="6"/>
        <v>0</v>
      </c>
      <c r="BN71" s="195">
        <f t="shared" si="6"/>
        <v>1612267</v>
      </c>
      <c r="BO71" s="195">
        <f t="shared" si="6"/>
        <v>0</v>
      </c>
      <c r="BP71" s="195">
        <f t="shared" ref="BP71:CC71" si="7">SUM(BP61:BP69)-BP70</f>
        <v>1808</v>
      </c>
      <c r="BQ71" s="195">
        <f t="shared" si="7"/>
        <v>0</v>
      </c>
      <c r="BR71" s="195">
        <f t="shared" si="7"/>
        <v>496059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628192</v>
      </c>
      <c r="BW71" s="195">
        <f t="shared" si="7"/>
        <v>6284368</v>
      </c>
      <c r="BX71" s="195">
        <f t="shared" si="7"/>
        <v>630980</v>
      </c>
      <c r="BY71" s="195">
        <f t="shared" si="7"/>
        <v>1843936</v>
      </c>
      <c r="BZ71" s="195">
        <f t="shared" si="7"/>
        <v>0</v>
      </c>
      <c r="CA71" s="195">
        <f t="shared" si="7"/>
        <v>665870</v>
      </c>
      <c r="CB71" s="195">
        <f t="shared" si="7"/>
        <v>0</v>
      </c>
      <c r="CC71" s="195">
        <f t="shared" si="7"/>
        <v>183686</v>
      </c>
      <c r="CD71" s="241">
        <f>CD69-CD70</f>
        <v>13720242</v>
      </c>
      <c r="CE71" s="195">
        <f>SUM(CE61:CE69)-CE70</f>
        <v>50598097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147896558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>
        <v>43340</v>
      </c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147939898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2730816</v>
      </c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2730816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147896558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43340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2730816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150670714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49223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224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3916</v>
      </c>
      <c r="AZ76" s="185">
        <v>1536</v>
      </c>
      <c r="BA76" s="185">
        <v>512</v>
      </c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20173</v>
      </c>
      <c r="BO76" s="185"/>
      <c r="BP76" s="185">
        <v>96</v>
      </c>
      <c r="BQ76" s="185"/>
      <c r="BR76" s="185">
        <v>193</v>
      </c>
      <c r="BS76" s="185"/>
      <c r="BT76" s="185"/>
      <c r="BU76" s="185"/>
      <c r="BV76" s="185">
        <v>560</v>
      </c>
      <c r="BW76" s="185">
        <v>672</v>
      </c>
      <c r="BX76" s="185"/>
      <c r="BY76" s="185">
        <v>96</v>
      </c>
      <c r="BZ76" s="185"/>
      <c r="CA76" s="185"/>
      <c r="CB76" s="185"/>
      <c r="CC76" s="185"/>
      <c r="CD76" s="245" t="s">
        <v>221</v>
      </c>
      <c r="CE76" s="195">
        <f t="shared" si="8"/>
        <v>77201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49146*3</f>
        <v>147438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>
        <v>4623</v>
      </c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152061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16640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/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/>
      <c r="BI78" s="184"/>
      <c r="BJ78" s="245" t="s">
        <v>221</v>
      </c>
      <c r="BK78" s="184"/>
      <c r="BL78" s="184"/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16640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/>
      <c r="H79" s="184">
        <f>167604/11*12</f>
        <v>182840.72727272726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182840.72727272726</v>
      </c>
      <c r="CF79" s="195">
        <f>BA59</f>
        <v>0</v>
      </c>
    </row>
    <row r="80" spans="1:84" ht="21.15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136.59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5.48</v>
      </c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142.07</v>
      </c>
      <c r="CF80" s="251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2" t="s">
        <v>1000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223" t="s">
        <v>1002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6" t="s">
        <v>1003</v>
      </c>
      <c r="D84" s="202"/>
      <c r="E84" s="201"/>
    </row>
    <row r="85" spans="1:5" ht="12.6" customHeight="1" x14ac:dyDescent="0.25">
      <c r="A85" s="173" t="s">
        <v>987</v>
      </c>
      <c r="B85" s="172"/>
      <c r="C85" s="267" t="s">
        <v>1004</v>
      </c>
      <c r="D85" s="202"/>
      <c r="E85" s="201"/>
    </row>
    <row r="86" spans="1:5" ht="12.6" customHeight="1" x14ac:dyDescent="0.25">
      <c r="A86" s="173" t="s">
        <v>988</v>
      </c>
      <c r="B86" s="172" t="s">
        <v>256</v>
      </c>
      <c r="C86" s="227" t="s">
        <v>1004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6" t="s">
        <v>1005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6" t="s">
        <v>1006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6" t="s">
        <v>1007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6" t="s">
        <v>1008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6"/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22" t="s">
        <v>1009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66" t="s">
        <v>1010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4" t="s">
        <v>275</v>
      </c>
      <c r="B108" s="205"/>
      <c r="C108" s="205"/>
      <c r="D108" s="205"/>
      <c r="E108" s="205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f>4096-726</f>
        <v>3370</v>
      </c>
      <c r="D111" s="174">
        <f>49146-4727</f>
        <v>44419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726</v>
      </c>
      <c r="D113" s="174">
        <v>4727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975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145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12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157</v>
      </c>
    </row>
    <row r="128" spans="1:5" ht="12.6" customHeight="1" x14ac:dyDescent="0.25">
      <c r="A128" s="173" t="s">
        <v>292</v>
      </c>
      <c r="B128" s="172" t="s">
        <v>256</v>
      </c>
      <c r="C128" s="189">
        <v>157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976</v>
      </c>
      <c r="B136" s="204"/>
      <c r="C136" s="204"/>
      <c r="D136" s="204"/>
      <c r="E136" s="204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744</v>
      </c>
      <c r="C138" s="189">
        <v>1778</v>
      </c>
      <c r="D138" s="174">
        <f>4096-744-1778</f>
        <v>1574</v>
      </c>
      <c r="E138" s="175">
        <f>SUM(B138:D138)</f>
        <v>4096</v>
      </c>
    </row>
    <row r="139" spans="1:6" ht="12.6" customHeight="1" x14ac:dyDescent="0.25">
      <c r="A139" s="173" t="s">
        <v>215</v>
      </c>
      <c r="B139" s="174">
        <v>11690</v>
      </c>
      <c r="C139" s="189">
        <v>24188</v>
      </c>
      <c r="D139" s="174">
        <f>49149-11690-24188</f>
        <v>13271</v>
      </c>
      <c r="E139" s="175">
        <f>SUM(B139:D139)</f>
        <v>49149</v>
      </c>
    </row>
    <row r="140" spans="1:6" ht="12.6" customHeight="1" x14ac:dyDescent="0.25">
      <c r="A140" s="173" t="s">
        <v>298</v>
      </c>
      <c r="B140" s="174">
        <f>154+177</f>
        <v>331</v>
      </c>
      <c r="C140" s="174">
        <v>3</v>
      </c>
      <c r="D140" s="174">
        <f>4623-331-3</f>
        <v>4289</v>
      </c>
      <c r="E140" s="175">
        <f>SUM(B140:D140)</f>
        <v>4623</v>
      </c>
    </row>
    <row r="141" spans="1:6" ht="12.6" customHeight="1" x14ac:dyDescent="0.25">
      <c r="A141" s="173" t="s">
        <v>245</v>
      </c>
      <c r="B141" s="174">
        <v>32726400</v>
      </c>
      <c r="C141" s="189">
        <v>67720800</v>
      </c>
      <c r="D141" s="174">
        <v>47492698</v>
      </c>
      <c r="E141" s="175">
        <f>SUM(B141:D141)</f>
        <v>147939898</v>
      </c>
      <c r="F141" s="199"/>
    </row>
    <row r="142" spans="1:6" ht="12.6" customHeight="1" x14ac:dyDescent="0.25">
      <c r="A142" s="173" t="s">
        <v>246</v>
      </c>
      <c r="B142" s="174">
        <v>186750</v>
      </c>
      <c r="C142" s="189">
        <v>1800</v>
      </c>
      <c r="D142" s="174">
        <v>2542266</v>
      </c>
      <c r="E142" s="175">
        <f>SUM(B142:D142)</f>
        <v>2730816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74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1674043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41331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478865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1613233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56322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276077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-236272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3903599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f>172132-49503</f>
        <v>122629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49503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172132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249397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82633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332030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f>114962+15883</f>
        <v>130845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18519+778416+174237</f>
        <v>971172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51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1102068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4313939.9000000004</v>
      </c>
      <c r="C195" s="189"/>
      <c r="D195" s="174"/>
      <c r="E195" s="175">
        <f t="shared" ref="E195:E203" si="10">SUM(B195:C195)-D195</f>
        <v>4313939.9000000004</v>
      </c>
    </row>
    <row r="196" spans="1:8" ht="12.6" customHeight="1" x14ac:dyDescent="0.25">
      <c r="A196" s="173" t="s">
        <v>333</v>
      </c>
      <c r="B196" s="174">
        <v>2013648.1600000001</v>
      </c>
      <c r="C196" s="189">
        <v>10873.51</v>
      </c>
      <c r="D196" s="174"/>
      <c r="E196" s="175">
        <f t="shared" si="10"/>
        <v>2024521.6700000002</v>
      </c>
    </row>
    <row r="197" spans="1:8" ht="12.6" customHeight="1" x14ac:dyDescent="0.25">
      <c r="A197" s="173" t="s">
        <v>334</v>
      </c>
      <c r="B197" s="174">
        <v>843955.88</v>
      </c>
      <c r="C197" s="189">
        <v>132939.22</v>
      </c>
      <c r="D197" s="174"/>
      <c r="E197" s="175">
        <f t="shared" si="10"/>
        <v>976895.1</v>
      </c>
    </row>
    <row r="198" spans="1:8" ht="12.6" customHeight="1" x14ac:dyDescent="0.25">
      <c r="A198" s="173" t="s">
        <v>335</v>
      </c>
      <c r="B198" s="174">
        <v>19918109.91</v>
      </c>
      <c r="C198" s="189"/>
      <c r="D198" s="174"/>
      <c r="E198" s="175">
        <f t="shared" si="10"/>
        <v>19918109.91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4207948.2999999989</v>
      </c>
      <c r="C200" s="189">
        <v>209550.91999999998</v>
      </c>
      <c r="D200" s="174"/>
      <c r="E200" s="175">
        <f t="shared" si="10"/>
        <v>4417499.2199999988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386240+3512</f>
        <v>389752</v>
      </c>
      <c r="C202" s="189"/>
      <c r="D202" s="174"/>
      <c r="E202" s="175">
        <f t="shared" si="10"/>
        <v>389752</v>
      </c>
    </row>
    <row r="203" spans="1:8" ht="12.6" customHeight="1" x14ac:dyDescent="0.25">
      <c r="A203" s="173" t="s">
        <v>340</v>
      </c>
      <c r="B203" s="174">
        <v>1198</v>
      </c>
      <c r="C203" s="189">
        <v>151761</v>
      </c>
      <c r="D203" s="174"/>
      <c r="E203" s="175">
        <f t="shared" si="10"/>
        <v>152959</v>
      </c>
    </row>
    <row r="204" spans="1:8" ht="12.6" customHeight="1" x14ac:dyDescent="0.25">
      <c r="A204" s="173" t="s">
        <v>203</v>
      </c>
      <c r="B204" s="175">
        <f>SUM(B195:B203)</f>
        <v>31688552.149999999</v>
      </c>
      <c r="C204" s="191">
        <f>SUM(C195:C203)</f>
        <v>505124.65</v>
      </c>
      <c r="D204" s="175">
        <f>SUM(D195:D203)</f>
        <v>0</v>
      </c>
      <c r="E204" s="175">
        <f>SUM(E195:E203)</f>
        <v>32193676.799999997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744881.57000000007</v>
      </c>
      <c r="C209" s="189">
        <v>113958.27999999997</v>
      </c>
      <c r="D209" s="174"/>
      <c r="E209" s="175">
        <f t="shared" ref="E209:E216" si="11">SUM(B209:C209)-D209</f>
        <v>858839.85000000009</v>
      </c>
      <c r="H209" s="255"/>
    </row>
    <row r="210" spans="1:8" ht="12.6" customHeight="1" x14ac:dyDescent="0.25">
      <c r="A210" s="173" t="s">
        <v>334</v>
      </c>
      <c r="B210" s="174">
        <v>223294.98999999996</v>
      </c>
      <c r="C210" s="189">
        <v>77233</v>
      </c>
      <c r="D210" s="174"/>
      <c r="E210" s="175">
        <f t="shared" si="11"/>
        <v>300527.99</v>
      </c>
      <c r="H210" s="255"/>
    </row>
    <row r="211" spans="1:8" ht="12.6" customHeight="1" x14ac:dyDescent="0.25">
      <c r="A211" s="173" t="s">
        <v>335</v>
      </c>
      <c r="B211" s="174">
        <v>3177912.5399999996</v>
      </c>
      <c r="C211" s="189">
        <v>651703.16999999993</v>
      </c>
      <c r="D211" s="174"/>
      <c r="E211" s="175">
        <f t="shared" si="11"/>
        <v>3829615.7099999995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2485362.81</v>
      </c>
      <c r="C213" s="189">
        <v>530581.91</v>
      </c>
      <c r="D213" s="174"/>
      <c r="E213" s="175">
        <f t="shared" si="11"/>
        <v>3015944.72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>
        <v>126740.21999999999</v>
      </c>
      <c r="C215" s="189">
        <v>79122.299999999988</v>
      </c>
      <c r="D215" s="174"/>
      <c r="E215" s="175">
        <f t="shared" si="11"/>
        <v>205862.51999999996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6758192.1299999999</v>
      </c>
      <c r="C217" s="191">
        <f>SUM(C208:C216)</f>
        <v>1452598.66</v>
      </c>
      <c r="D217" s="175">
        <f>SUM(D208:D216)</f>
        <v>0</v>
      </c>
      <c r="E217" s="175">
        <f>SUM(E208:E216)</f>
        <v>8210790.7899999991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76" t="s">
        <v>991</v>
      </c>
      <c r="C220" s="276"/>
      <c r="D220" s="205"/>
      <c r="E220" s="205"/>
    </row>
    <row r="221" spans="1:8" ht="12.6" customHeight="1" x14ac:dyDescent="0.25">
      <c r="A221" s="268" t="s">
        <v>991</v>
      </c>
      <c r="B221" s="205"/>
      <c r="C221" s="189">
        <v>287125</v>
      </c>
      <c r="D221" s="172">
        <f>C221</f>
        <v>287125</v>
      </c>
      <c r="E221" s="205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19294465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49298425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1560930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22675669-C226</f>
        <v>21114739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91268559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395160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36760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431920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>
        <v>10777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7428022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7438799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99426403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-306779.55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7616163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526421.6</v>
      </c>
      <c r="D253" s="175"/>
      <c r="E253" s="175"/>
    </row>
    <row r="254" spans="1:5" ht="12.45" customHeight="1" x14ac:dyDescent="0.25">
      <c r="A254" s="173" t="s">
        <v>977</v>
      </c>
      <c r="B254" s="172" t="s">
        <v>256</v>
      </c>
      <c r="C254" s="189">
        <v>104240.26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1498149.57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180545.82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178513.95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8744411.4500000011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4313939.9000000004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2024521.67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976895.1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19918109.91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4417499.2199999988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389752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152959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32193676.799999997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8210790.79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23982886.009999998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1113707.5900000001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1113707.5900000001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>
        <v>56670018.130000003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56670018.130000003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90511023.180000007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401749.2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2231257.98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978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247725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2880732.18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/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878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879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87630291.930000007</v>
      </c>
      <c r="D337" s="175"/>
      <c r="E337" s="175"/>
    </row>
    <row r="338" spans="1:5" ht="12.6" customHeight="1" x14ac:dyDescent="0.25">
      <c r="A338" s="173" t="s">
        <v>989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90511024.110000014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90511023.180000007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9">
        <v>147939898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2730816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150670714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991</v>
      </c>
      <c r="B363" s="253"/>
      <c r="C363" s="189">
        <v>287125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9">
        <v>91268559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431920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7438798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99426402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51244312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593419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593419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51837731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19600695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3903599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6233241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2130650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221236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1641387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1454177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172131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332030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1102017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51191505-36791163</f>
        <v>14400342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51191505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646226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646226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646226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15" customHeight="1" x14ac:dyDescent="0.25">
      <c r="A400" s="179"/>
      <c r="B400" s="179"/>
    </row>
    <row r="401" spans="1:5" ht="12.15" customHeight="1" x14ac:dyDescent="0.25">
      <c r="A401" s="179"/>
      <c r="B401" s="179"/>
    </row>
    <row r="402" spans="1:5" ht="12.15" customHeight="1" x14ac:dyDescent="0.25">
      <c r="A402" s="179"/>
      <c r="B402" s="179"/>
    </row>
    <row r="403" spans="1:5" ht="12.15" customHeight="1" x14ac:dyDescent="0.25">
      <c r="A403" s="179"/>
      <c r="B403" s="179"/>
    </row>
    <row r="404" spans="1:5" ht="12.15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BHC Fairfax Hospital Inc   H-0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979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3370</v>
      </c>
      <c r="C414" s="194">
        <f>E138</f>
        <v>4096</v>
      </c>
      <c r="D414" s="179"/>
    </row>
    <row r="415" spans="1:5" ht="12.6" customHeight="1" x14ac:dyDescent="0.25">
      <c r="A415" s="179" t="s">
        <v>464</v>
      </c>
      <c r="B415" s="179">
        <f>D111</f>
        <v>44419</v>
      </c>
      <c r="C415" s="179">
        <f>E139</f>
        <v>49149</v>
      </c>
      <c r="D415" s="194">
        <f>SUM(C59:H59)+N59</f>
        <v>49146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726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4727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980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19600695</v>
      </c>
      <c r="C427" s="179">
        <f t="shared" ref="C427:C434" si="13">CE61</f>
        <v>19600635</v>
      </c>
      <c r="D427" s="179"/>
    </row>
    <row r="428" spans="1:7" ht="12.6" customHeight="1" x14ac:dyDescent="0.25">
      <c r="A428" s="179" t="s">
        <v>3</v>
      </c>
      <c r="B428" s="179">
        <f t="shared" si="12"/>
        <v>3903599</v>
      </c>
      <c r="C428" s="179">
        <f t="shared" si="13"/>
        <v>3903598</v>
      </c>
      <c r="D428" s="179">
        <f>D173</f>
        <v>3903599</v>
      </c>
    </row>
    <row r="429" spans="1:7" ht="12.6" customHeight="1" x14ac:dyDescent="0.25">
      <c r="A429" s="179" t="s">
        <v>236</v>
      </c>
      <c r="B429" s="179">
        <f t="shared" si="12"/>
        <v>6233241</v>
      </c>
      <c r="C429" s="179">
        <f t="shared" si="13"/>
        <v>6233242</v>
      </c>
      <c r="D429" s="179"/>
    </row>
    <row r="430" spans="1:7" ht="12.6" customHeight="1" x14ac:dyDescent="0.25">
      <c r="A430" s="179" t="s">
        <v>237</v>
      </c>
      <c r="B430" s="179">
        <f t="shared" si="12"/>
        <v>2130650</v>
      </c>
      <c r="C430" s="179">
        <f t="shared" si="13"/>
        <v>2130736</v>
      </c>
      <c r="D430" s="179"/>
    </row>
    <row r="431" spans="1:7" ht="12.6" customHeight="1" x14ac:dyDescent="0.25">
      <c r="A431" s="179" t="s">
        <v>444</v>
      </c>
      <c r="B431" s="179">
        <f t="shared" si="12"/>
        <v>221236</v>
      </c>
      <c r="C431" s="179">
        <f t="shared" si="13"/>
        <v>221236</v>
      </c>
      <c r="D431" s="179"/>
    </row>
    <row r="432" spans="1:7" ht="12.6" customHeight="1" x14ac:dyDescent="0.25">
      <c r="A432" s="179" t="s">
        <v>445</v>
      </c>
      <c r="B432" s="179">
        <f t="shared" si="12"/>
        <v>1641387</v>
      </c>
      <c r="C432" s="179">
        <f t="shared" si="13"/>
        <v>1641387</v>
      </c>
      <c r="D432" s="179"/>
    </row>
    <row r="433" spans="1:7" ht="12.6" customHeight="1" x14ac:dyDescent="0.25">
      <c r="A433" s="179" t="s">
        <v>6</v>
      </c>
      <c r="B433" s="179">
        <f t="shared" si="12"/>
        <v>1454177</v>
      </c>
      <c r="C433" s="179">
        <f t="shared" si="13"/>
        <v>1454176</v>
      </c>
      <c r="D433" s="179">
        <f>C217</f>
        <v>1452598.66</v>
      </c>
    </row>
    <row r="434" spans="1:7" ht="12.6" customHeight="1" x14ac:dyDescent="0.25">
      <c r="A434" s="179" t="s">
        <v>474</v>
      </c>
      <c r="B434" s="179">
        <f t="shared" si="12"/>
        <v>172131</v>
      </c>
      <c r="C434" s="179">
        <f t="shared" si="13"/>
        <v>172132</v>
      </c>
      <c r="D434" s="179">
        <f>D177</f>
        <v>172132</v>
      </c>
    </row>
    <row r="435" spans="1:7" ht="12.6" customHeight="1" x14ac:dyDescent="0.25">
      <c r="A435" s="179" t="s">
        <v>447</v>
      </c>
      <c r="B435" s="179">
        <f t="shared" si="12"/>
        <v>332030</v>
      </c>
      <c r="C435" s="179"/>
      <c r="D435" s="179">
        <f>D181</f>
        <v>332030</v>
      </c>
    </row>
    <row r="436" spans="1:7" ht="12.6" customHeight="1" x14ac:dyDescent="0.25">
      <c r="A436" s="179" t="s">
        <v>475</v>
      </c>
      <c r="B436" s="179">
        <f t="shared" si="12"/>
        <v>1102017</v>
      </c>
      <c r="C436" s="179"/>
      <c r="D436" s="179">
        <f>D186</f>
        <v>1102068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1434047</v>
      </c>
      <c r="C438" s="194">
        <f>CD69</f>
        <v>14313661</v>
      </c>
      <c r="D438" s="194">
        <f>D181+D186+D190</f>
        <v>1434098</v>
      </c>
    </row>
    <row r="439" spans="1:7" ht="12.6" customHeight="1" x14ac:dyDescent="0.25">
      <c r="A439" s="179" t="s">
        <v>451</v>
      </c>
      <c r="B439" s="194">
        <f>C389</f>
        <v>14400342</v>
      </c>
      <c r="C439" s="194">
        <f>SUM(C69:CC69)</f>
        <v>1520713</v>
      </c>
      <c r="D439" s="179"/>
    </row>
    <row r="440" spans="1:7" ht="12.6" customHeight="1" x14ac:dyDescent="0.25">
      <c r="A440" s="179" t="s">
        <v>477</v>
      </c>
      <c r="B440" s="194">
        <f>B438+B439</f>
        <v>15834389</v>
      </c>
      <c r="C440" s="194">
        <f>CE69</f>
        <v>15834374</v>
      </c>
      <c r="D440" s="179"/>
    </row>
    <row r="441" spans="1:7" ht="12.6" customHeight="1" x14ac:dyDescent="0.25">
      <c r="A441" s="179" t="s">
        <v>478</v>
      </c>
      <c r="B441" s="179">
        <f>D390</f>
        <v>51191505</v>
      </c>
      <c r="C441" s="179">
        <f>SUM(C427:C437)+C440</f>
        <v>51191516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992</v>
      </c>
      <c r="B444" s="179">
        <f>D221</f>
        <v>287125</v>
      </c>
      <c r="C444" s="179">
        <f>C363</f>
        <v>287125</v>
      </c>
      <c r="D444" s="179"/>
    </row>
    <row r="445" spans="1:7" ht="12.6" customHeight="1" x14ac:dyDescent="0.25">
      <c r="A445" s="179" t="s">
        <v>343</v>
      </c>
      <c r="B445" s="179">
        <f>D229</f>
        <v>91268559</v>
      </c>
      <c r="C445" s="179">
        <f>C364</f>
        <v>91268559</v>
      </c>
      <c r="D445" s="179"/>
    </row>
    <row r="446" spans="1:7" ht="12.6" customHeight="1" x14ac:dyDescent="0.25">
      <c r="A446" s="179" t="s">
        <v>351</v>
      </c>
      <c r="B446" s="179">
        <f>D236</f>
        <v>431920</v>
      </c>
      <c r="C446" s="179">
        <f>C365</f>
        <v>431920</v>
      </c>
      <c r="D446" s="179"/>
    </row>
    <row r="447" spans="1:7" ht="12.6" customHeight="1" x14ac:dyDescent="0.25">
      <c r="A447" s="179" t="s">
        <v>356</v>
      </c>
      <c r="B447" s="179">
        <f>D240</f>
        <v>7438799</v>
      </c>
      <c r="C447" s="179">
        <f>C366</f>
        <v>7438798</v>
      </c>
      <c r="D447" s="179"/>
    </row>
    <row r="448" spans="1:7" ht="12.6" customHeight="1" x14ac:dyDescent="0.25">
      <c r="A448" s="179" t="s">
        <v>358</v>
      </c>
      <c r="B448" s="179">
        <f>D242</f>
        <v>99426403</v>
      </c>
      <c r="C448" s="179">
        <f>D367</f>
        <v>99426402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395160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36760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593419</v>
      </c>
      <c r="C458" s="194">
        <f>CE70</f>
        <v>593419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981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147939898</v>
      </c>
      <c r="C463" s="194">
        <f>CE73</f>
        <v>147939898</v>
      </c>
      <c r="D463" s="194">
        <f>E141+E147+E153</f>
        <v>147939898</v>
      </c>
    </row>
    <row r="464" spans="1:7" ht="12.6" customHeight="1" x14ac:dyDescent="0.25">
      <c r="A464" s="179" t="s">
        <v>246</v>
      </c>
      <c r="B464" s="194">
        <f>C360</f>
        <v>2730816</v>
      </c>
      <c r="C464" s="194">
        <f>CE74</f>
        <v>2730816</v>
      </c>
      <c r="D464" s="194">
        <f>E142+E148+E154</f>
        <v>2730816</v>
      </c>
    </row>
    <row r="465" spans="1:7" ht="12.6" customHeight="1" x14ac:dyDescent="0.25">
      <c r="A465" s="179" t="s">
        <v>247</v>
      </c>
      <c r="B465" s="194">
        <f>D361</f>
        <v>150670714</v>
      </c>
      <c r="C465" s="194">
        <f>CE75</f>
        <v>150670714</v>
      </c>
      <c r="D465" s="194">
        <f>D463+D464</f>
        <v>150670714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4313939.9000000004</v>
      </c>
      <c r="C468" s="179">
        <f>E195</f>
        <v>4313939.9000000004</v>
      </c>
      <c r="D468" s="179"/>
    </row>
    <row r="469" spans="1:7" ht="12.6" customHeight="1" x14ac:dyDescent="0.25">
      <c r="A469" s="179" t="s">
        <v>333</v>
      </c>
      <c r="B469" s="179">
        <f t="shared" si="14"/>
        <v>2024521.67</v>
      </c>
      <c r="C469" s="179">
        <f>E196</f>
        <v>2024521.6700000002</v>
      </c>
      <c r="D469" s="179"/>
    </row>
    <row r="470" spans="1:7" ht="12.6" customHeight="1" x14ac:dyDescent="0.25">
      <c r="A470" s="179" t="s">
        <v>334</v>
      </c>
      <c r="B470" s="179">
        <f t="shared" si="14"/>
        <v>976895.1</v>
      </c>
      <c r="C470" s="179">
        <f>E197</f>
        <v>976895.1</v>
      </c>
      <c r="D470" s="179"/>
    </row>
    <row r="471" spans="1:7" ht="12.6" customHeight="1" x14ac:dyDescent="0.25">
      <c r="A471" s="179" t="s">
        <v>494</v>
      </c>
      <c r="B471" s="179">
        <f t="shared" si="14"/>
        <v>19918109.91</v>
      </c>
      <c r="C471" s="179">
        <f>E198</f>
        <v>19918109.91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4417499.2199999988</v>
      </c>
      <c r="C473" s="179">
        <f>SUM(E200:E201)</f>
        <v>4417499.2199999988</v>
      </c>
      <c r="D473" s="179"/>
    </row>
    <row r="474" spans="1:7" ht="12.6" customHeight="1" x14ac:dyDescent="0.25">
      <c r="A474" s="179" t="s">
        <v>339</v>
      </c>
      <c r="B474" s="179">
        <f t="shared" si="14"/>
        <v>389752</v>
      </c>
      <c r="C474" s="179">
        <f>E202</f>
        <v>389752</v>
      </c>
      <c r="D474" s="179"/>
    </row>
    <row r="475" spans="1:7" ht="12.6" customHeight="1" x14ac:dyDescent="0.25">
      <c r="A475" s="179" t="s">
        <v>340</v>
      </c>
      <c r="B475" s="179">
        <f t="shared" si="14"/>
        <v>152959</v>
      </c>
      <c r="C475" s="179">
        <f>E203</f>
        <v>152959</v>
      </c>
      <c r="D475" s="179"/>
    </row>
    <row r="476" spans="1:7" ht="12.6" customHeight="1" x14ac:dyDescent="0.25">
      <c r="A476" s="179" t="s">
        <v>203</v>
      </c>
      <c r="B476" s="179">
        <f>D275</f>
        <v>32193676.799999997</v>
      </c>
      <c r="C476" s="179">
        <f>E204</f>
        <v>32193676.799999997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8210790.79</v>
      </c>
      <c r="C478" s="179">
        <f>E217</f>
        <v>8210790.7899999991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90511023.180000007</v>
      </c>
    </row>
    <row r="482" spans="1:12" ht="12.6" customHeight="1" x14ac:dyDescent="0.25">
      <c r="A482" s="180" t="s">
        <v>499</v>
      </c>
      <c r="C482" s="180">
        <f>D339</f>
        <v>90511024.110000014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904</v>
      </c>
      <c r="B493" s="257" t="s">
        <v>1002</v>
      </c>
      <c r="C493" s="257" t="str">
        <f>RIGHT(C82,4)</f>
        <v>2018</v>
      </c>
      <c r="D493" s="257" t="s">
        <v>1002</v>
      </c>
      <c r="E493" s="257" t="str">
        <f>RIGHT(C82,4)</f>
        <v>2018</v>
      </c>
      <c r="F493" s="257" t="s">
        <v>1002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0</v>
      </c>
      <c r="C498" s="236">
        <f>E71</f>
        <v>0</v>
      </c>
      <c r="D498" s="236">
        <v>0</v>
      </c>
      <c r="E498" s="180">
        <f>E59</f>
        <v>0</v>
      </c>
      <c r="F498" s="259" t="str">
        <f t="shared" si="15"/>
        <v/>
      </c>
      <c r="G498" s="259" t="str">
        <f t="shared" si="15"/>
        <v/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12997469</v>
      </c>
      <c r="C501" s="236">
        <f>H71</f>
        <v>12594691</v>
      </c>
      <c r="D501" s="236">
        <v>46450</v>
      </c>
      <c r="E501" s="180">
        <f>H59</f>
        <v>49146</v>
      </c>
      <c r="F501" s="259">
        <f t="shared" si="15"/>
        <v>279.81634015069966</v>
      </c>
      <c r="G501" s="259">
        <f t="shared" si="15"/>
        <v>256.27092744068693</v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0</v>
      </c>
      <c r="D503" s="236">
        <v>0</v>
      </c>
      <c r="E503" s="180">
        <f>J59</f>
        <v>0</v>
      </c>
      <c r="F503" s="259" t="str">
        <f t="shared" si="15"/>
        <v/>
      </c>
      <c r="G503" s="259" t="str">
        <f t="shared" si="15"/>
        <v/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0</v>
      </c>
      <c r="C505" s="236">
        <f>L71</f>
        <v>0</v>
      </c>
      <c r="D505" s="236">
        <v>0</v>
      </c>
      <c r="E505" s="180">
        <f>L59</f>
        <v>0</v>
      </c>
      <c r="F505" s="259" t="str">
        <f t="shared" si="15"/>
        <v/>
      </c>
      <c r="G505" s="259" t="str">
        <f t="shared" si="15"/>
        <v/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0</v>
      </c>
      <c r="C508" s="236">
        <f>O71</f>
        <v>0</v>
      </c>
      <c r="D508" s="236"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0</v>
      </c>
      <c r="C509" s="236">
        <f>P71</f>
        <v>0</v>
      </c>
      <c r="D509" s="236">
        <v>0</v>
      </c>
      <c r="E509" s="180">
        <f>P59</f>
        <v>0</v>
      </c>
      <c r="F509" s="259" t="str">
        <f t="shared" si="15"/>
        <v/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0</v>
      </c>
      <c r="D510" s="236"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0</v>
      </c>
      <c r="C511" s="236">
        <f>R71</f>
        <v>0</v>
      </c>
      <c r="D511" s="236"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0</v>
      </c>
      <c r="C512" s="236">
        <f>S71</f>
        <v>0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982</v>
      </c>
      <c r="B513" s="236"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265118.73</v>
      </c>
      <c r="C514" s="236">
        <f>U71</f>
        <v>112083</v>
      </c>
      <c r="D514" s="236">
        <v>0</v>
      </c>
      <c r="E514" s="180">
        <f>U59</f>
        <v>0</v>
      </c>
      <c r="F514" s="259" t="str">
        <f t="shared" si="17"/>
        <v/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135192.10999999999</v>
      </c>
      <c r="C515" s="236">
        <f>V71</f>
        <v>45322</v>
      </c>
      <c r="D515" s="236"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0</v>
      </c>
      <c r="C516" s="236">
        <f>W71</f>
        <v>0</v>
      </c>
      <c r="D516" s="236"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0</v>
      </c>
      <c r="C517" s="236">
        <f>X71</f>
        <v>0</v>
      </c>
      <c r="D517" s="236"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30605.55</v>
      </c>
      <c r="C518" s="236">
        <f>Y71</f>
        <v>45209</v>
      </c>
      <c r="D518" s="236">
        <v>0</v>
      </c>
      <c r="E518" s="180">
        <f>Y59</f>
        <v>0</v>
      </c>
      <c r="F518" s="259" t="str">
        <f t="shared" si="17"/>
        <v/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1012631.4600000001</v>
      </c>
      <c r="C521" s="236">
        <f>AB71</f>
        <v>1084344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0</v>
      </c>
      <c r="C522" s="236">
        <f>AC71</f>
        <v>0</v>
      </c>
      <c r="D522" s="236"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0</v>
      </c>
      <c r="C524" s="236">
        <f>AE71</f>
        <v>0</v>
      </c>
      <c r="D524" s="236">
        <v>0</v>
      </c>
      <c r="E524" s="180">
        <f>AE59</f>
        <v>0</v>
      </c>
      <c r="F524" s="259" t="str">
        <f t="shared" si="17"/>
        <v/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6263.2</v>
      </c>
      <c r="C526" s="236">
        <f>AG71</f>
        <v>4334</v>
      </c>
      <c r="D526" s="236">
        <v>0</v>
      </c>
      <c r="E526" s="180">
        <f>AG59</f>
        <v>0</v>
      </c>
      <c r="F526" s="259" t="str">
        <f t="shared" si="17"/>
        <v/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v>0</v>
      </c>
      <c r="C527" s="236">
        <f>AH71</f>
        <v>0</v>
      </c>
      <c r="D527" s="236"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v>0</v>
      </c>
      <c r="C528" s="236">
        <f>AI71</f>
        <v>0</v>
      </c>
      <c r="D528" s="236"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v>0</v>
      </c>
      <c r="C529" s="236">
        <f>AJ71</f>
        <v>0</v>
      </c>
      <c r="D529" s="236"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0</v>
      </c>
      <c r="C530" s="236">
        <f>AK71</f>
        <v>0</v>
      </c>
      <c r="D530" s="236"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0</v>
      </c>
      <c r="C531" s="236">
        <f>AL71</f>
        <v>0</v>
      </c>
      <c r="D531" s="236"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291867.08999999997</v>
      </c>
      <c r="C532" s="236">
        <f>AM71</f>
        <v>394154</v>
      </c>
      <c r="D532" s="236"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983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0</v>
      </c>
      <c r="C534" s="236">
        <f>AO71</f>
        <v>0</v>
      </c>
      <c r="D534" s="236"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661358.9800000001</v>
      </c>
      <c r="C540" s="236">
        <f>AU71</f>
        <v>663167</v>
      </c>
      <c r="D540" s="236">
        <v>4972</v>
      </c>
      <c r="E540" s="180">
        <f>AU59</f>
        <v>4623</v>
      </c>
      <c r="F540" s="259">
        <f t="shared" si="18"/>
        <v>133.01668946098152</v>
      </c>
      <c r="G540" s="259">
        <f t="shared" si="18"/>
        <v>143.4494916720744</v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732266.47</v>
      </c>
      <c r="C541" s="236">
        <f>AV71</f>
        <v>1269204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984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1409155.59</v>
      </c>
      <c r="C544" s="236">
        <f>AY71</f>
        <v>1679967</v>
      </c>
      <c r="D544" s="236">
        <v>144322</v>
      </c>
      <c r="E544" s="180">
        <f>AY59</f>
        <v>152061</v>
      </c>
      <c r="F544" s="259">
        <f t="shared" ref="F544:G550" si="19">IF(B544=0,"",IF(D544=0,"",B544/D544))</f>
        <v>9.763969387896509</v>
      </c>
      <c r="G544" s="259">
        <f t="shared" si="19"/>
        <v>11.047980744569614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30354</v>
      </c>
      <c r="C545" s="236">
        <f>AZ71</f>
        <v>28932</v>
      </c>
      <c r="D545" s="236"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144312.68999999997</v>
      </c>
      <c r="C546" s="236">
        <f>BA71</f>
        <v>154300</v>
      </c>
      <c r="D546" s="236"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1353936.97</v>
      </c>
      <c r="C547" s="236">
        <f>BB71</f>
        <v>113084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73821.75</v>
      </c>
      <c r="C548" s="236">
        <f>BC71</f>
        <v>75087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136464.46999999997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1107774.74</v>
      </c>
      <c r="C550" s="236">
        <f>BE71</f>
        <v>1268476</v>
      </c>
      <c r="D550" s="236">
        <v>77201</v>
      </c>
      <c r="E550" s="180">
        <f>BE59</f>
        <v>77201</v>
      </c>
      <c r="F550" s="259">
        <f t="shared" si="19"/>
        <v>14.349227859742749</v>
      </c>
      <c r="G550" s="259">
        <f t="shared" si="19"/>
        <v>16.4308234349296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466880.80000000005</v>
      </c>
      <c r="C551" s="236">
        <f>BF71</f>
        <v>603658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392430.42000000004</v>
      </c>
      <c r="C552" s="236">
        <f>BG71</f>
        <v>341547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0</v>
      </c>
      <c r="C553" s="236">
        <f>BH71</f>
        <v>2199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5529638</v>
      </c>
      <c r="C554" s="236">
        <f>BI71</f>
        <v>1634857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357399</v>
      </c>
      <c r="C555" s="236">
        <f>BJ71</f>
        <v>454864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450422</v>
      </c>
      <c r="C556" s="236">
        <f>BK71</f>
        <v>506275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1428988</v>
      </c>
      <c r="C557" s="236">
        <f>BL71</f>
        <v>1454935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1141038</v>
      </c>
      <c r="C559" s="236">
        <f>BN71</f>
        <v>1612267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271261</v>
      </c>
      <c r="C561" s="236">
        <f>BP71</f>
        <v>1808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406605</v>
      </c>
      <c r="C563" s="236">
        <f>BR71</f>
        <v>496059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985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460384</v>
      </c>
      <c r="C567" s="236">
        <f>BV71</f>
        <v>628192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6257715</v>
      </c>
      <c r="C568" s="236">
        <f>BW71</f>
        <v>6284368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593613</v>
      </c>
      <c r="C569" s="236">
        <f>BX71</f>
        <v>630980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1753707</v>
      </c>
      <c r="C570" s="236">
        <f>BY71</f>
        <v>1843936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925228</v>
      </c>
      <c r="C572" s="236">
        <f>CA71</f>
        <v>665870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446344</v>
      </c>
      <c r="C574" s="236">
        <f>CC71</f>
        <v>183686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2019180</v>
      </c>
      <c r="C575" s="236">
        <f>CD71</f>
        <v>13720242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77201</v>
      </c>
      <c r="E612" s="180">
        <f>SUM(C624:D647)+SUM(C668:D713)</f>
        <v>44068660.882410847</v>
      </c>
      <c r="F612" s="180">
        <f>CE64-(AX64+BD64+BE64+BG64+BJ64+BN64+BP64+BQ64+CB64+CC64+CD64)</f>
        <v>2006217</v>
      </c>
      <c r="G612" s="180">
        <f>CE77-(AX77+AY77+BD77+BE77+BG77+BJ77+BN77+BP77+BQ77+CB77+CC77+CD77)</f>
        <v>152061</v>
      </c>
      <c r="H612" s="197">
        <f>CE60-(AX60+AY60+AZ60+BD60+BE60+BG60+BJ60+BN60+BO60+BP60+BQ60+BR60+CB60+CC60+CD60)</f>
        <v>250.11932692307684</v>
      </c>
      <c r="I612" s="180">
        <f>CE78-(AX78+AY78+AZ78+BD78+BE78+BF78+BG78+BJ78+BN78+BO78+BP78+BQ78+BR78+CB78+CC78+CD78)</f>
        <v>16640</v>
      </c>
      <c r="J612" s="180">
        <f>CE79-(AX79+AY79+AZ79+BA79+BD79+BE79+BF79+BG79+BJ79+BN79+BO79+BP79+BQ79+BR79+CB79+CC79+CD79)</f>
        <v>182840.72727272726</v>
      </c>
      <c r="K612" s="180">
        <f>CE75-(AW75+AX75+AY75+AZ75+BA75+BB75+BC75+BD75+BE75+BF75+BG75+BH75+BI75+BJ75+BK75+BL75+BM75+BN75+BO75+BP75+BQ75+BR75+BS75+BT75+BU75+BV75+BW75+BX75+CB75+CC75+CD75)</f>
        <v>150670714</v>
      </c>
      <c r="L612" s="197">
        <f>CE80-(AW80+AX80+AY80+AZ80+BA80+BB80+BC80+BD80+BE80+BF80+BG80+BH80+BI80+BJ80+BK80+BL80+BM80+BN80+BO80+BP80+BQ80+BR80+BS80+BT80+BU80+BV80+BW80+BX80+BY80+BZ80+CA80+CB80+CC80+CD80)</f>
        <v>142.07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1268476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9">
        <f>CD69-CD70</f>
        <v>13720242</v>
      </c>
      <c r="D615" s="262">
        <f>SUM(C614:C615)</f>
        <v>14988718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454864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341547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1612267</v>
      </c>
      <c r="D619" s="180">
        <f>(D615/D612)*BN76</f>
        <v>3916625.5387106384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183686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1808</v>
      </c>
      <c r="D621" s="180">
        <f>(D615/D612)*BP76</f>
        <v>18638.578878511937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6529436.1175891506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1679967</v>
      </c>
      <c r="D625" s="180">
        <f>(D615/D612)*AY76</f>
        <v>760298.69675263274</v>
      </c>
      <c r="E625" s="180">
        <f>(E623/E612)*SUM(C625:D625)</f>
        <v>361562.13186069526</v>
      </c>
      <c r="F625" s="180">
        <f>(F624/F612)*AY64</f>
        <v>0</v>
      </c>
      <c r="G625" s="180">
        <f>SUM(C625:F625)</f>
        <v>2801827.8286133283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496059</v>
      </c>
      <c r="D626" s="180">
        <f>(D615/D612)*BR76</f>
        <v>37471.309620341701</v>
      </c>
      <c r="E626" s="180">
        <f>(E623/E612)*SUM(C626:D626)</f>
        <v>79050.554378293207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28932</v>
      </c>
      <c r="D628" s="180">
        <f>(D615/D612)*AZ76</f>
        <v>298217.26205619099</v>
      </c>
      <c r="E628" s="180">
        <f>(E623/E612)*SUM(C628:D628)</f>
        <v>48472.092519718797</v>
      </c>
      <c r="F628" s="180">
        <f>(F624/F612)*AZ64</f>
        <v>0</v>
      </c>
      <c r="G628" s="180">
        <f>(G625/G612)*AZ77</f>
        <v>0</v>
      </c>
      <c r="H628" s="180">
        <f>SUM(C626:G628)</f>
        <v>988202.21857454476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603658</v>
      </c>
      <c r="D629" s="180">
        <f>(D615/D612)*BF76</f>
        <v>0</v>
      </c>
      <c r="E629" s="180">
        <f>(E623/E612)*SUM(C629:D629)</f>
        <v>89441.028362285069</v>
      </c>
      <c r="F629" s="180">
        <f>(F624/F612)*BF64</f>
        <v>0</v>
      </c>
      <c r="G629" s="180">
        <f>(G625/G612)*BF77</f>
        <v>0</v>
      </c>
      <c r="H629" s="180">
        <f>(H628/H612)*BF60</f>
        <v>39351.19376052649</v>
      </c>
      <c r="I629" s="180">
        <f>SUM(C629:H629)</f>
        <v>732450.2221228116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154300</v>
      </c>
      <c r="D630" s="180">
        <f>(D615/D612)*BA76</f>
        <v>99405.754018730324</v>
      </c>
      <c r="E630" s="180">
        <f>(E623/E612)*SUM(C630:D630)</f>
        <v>37590.330188391737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291296.08420712204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113084</v>
      </c>
      <c r="D632" s="180">
        <f>(D615/D612)*BB76</f>
        <v>0</v>
      </c>
      <c r="E632" s="180">
        <f>(E623/E612)*SUM(C632:D632)</f>
        <v>16755.098501669232</v>
      </c>
      <c r="F632" s="180">
        <f>(F624/F612)*BB64</f>
        <v>0</v>
      </c>
      <c r="G632" s="180">
        <f>(G625/G612)*BB77</f>
        <v>0</v>
      </c>
      <c r="H632" s="180">
        <f>(H628/H612)*BB60</f>
        <v>8020.3738287016831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75087</v>
      </c>
      <c r="D633" s="180">
        <f>(D615/D612)*BC76</f>
        <v>0</v>
      </c>
      <c r="E633" s="180">
        <f>(E623/E612)*SUM(C633:D633)</f>
        <v>11125.270429015931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1634857</v>
      </c>
      <c r="D634" s="180">
        <f>(D615/D612)*BI76</f>
        <v>0</v>
      </c>
      <c r="E634" s="180">
        <f>(E623/E612)*SUM(C634:D634)</f>
        <v>242228.69788072101</v>
      </c>
      <c r="F634" s="180">
        <f>(F624/F612)*BI64</f>
        <v>0</v>
      </c>
      <c r="G634" s="180">
        <f>(G625/G612)*BI77</f>
        <v>0</v>
      </c>
      <c r="H634" s="180">
        <f>(H628/H612)*BI60</f>
        <v>48240.770664259886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506275</v>
      </c>
      <c r="D635" s="180">
        <f>(D615/D612)*BK76</f>
        <v>0</v>
      </c>
      <c r="E635" s="180">
        <f>(E623/E612)*SUM(C635:D635)</f>
        <v>75012.269586613402</v>
      </c>
      <c r="F635" s="180">
        <f>(F624/F612)*BK64</f>
        <v>0</v>
      </c>
      <c r="G635" s="180">
        <f>(G625/G612)*BK77</f>
        <v>0</v>
      </c>
      <c r="H635" s="180">
        <f>(H628/H612)*BK60</f>
        <v>20031.179956412579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2199</v>
      </c>
      <c r="D636" s="180">
        <f>(D615/D612)*BH76</f>
        <v>0</v>
      </c>
      <c r="E636" s="180">
        <f>(E623/E612)*SUM(C636:D636)</f>
        <v>325.81498359777368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1454935</v>
      </c>
      <c r="D637" s="180">
        <f>(D615/D612)*BL76</f>
        <v>0</v>
      </c>
      <c r="E637" s="180">
        <f>(E623/E612)*SUM(C637:D637)</f>
        <v>215570.54259246335</v>
      </c>
      <c r="F637" s="180">
        <f>(F624/F612)*BL64</f>
        <v>0</v>
      </c>
      <c r="G637" s="180">
        <f>(G625/G612)*BL77</f>
        <v>0</v>
      </c>
      <c r="H637" s="180">
        <f>(H628/H612)*BL60</f>
        <v>72143.855227631895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628192</v>
      </c>
      <c r="D642" s="180">
        <f>(D615/D612)*BV76</f>
        <v>108725.04345798629</v>
      </c>
      <c r="E642" s="180">
        <f>(E623/E612)*SUM(C642:D642)</f>
        <v>109185.36354123861</v>
      </c>
      <c r="F642" s="180">
        <f>(F624/F612)*BV64</f>
        <v>0</v>
      </c>
      <c r="G642" s="180">
        <f>(G625/G612)*BV77</f>
        <v>0</v>
      </c>
      <c r="H642" s="180">
        <f>(H628/H612)*BV60</f>
        <v>31093.764547725248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6284368</v>
      </c>
      <c r="D643" s="180">
        <f>(D615/D612)*BW76</f>
        <v>130470.05214958356</v>
      </c>
      <c r="E643" s="180">
        <f>(E623/E612)*SUM(C643:D643)</f>
        <v>950454.91348044167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630980</v>
      </c>
      <c r="D644" s="180">
        <f>(D615/D612)*BX76</f>
        <v>0</v>
      </c>
      <c r="E644" s="180">
        <f>(E623/E612)*SUM(C644:D644)</f>
        <v>93489.19433857355</v>
      </c>
      <c r="F644" s="180">
        <f>(F624/F612)*BX64</f>
        <v>0</v>
      </c>
      <c r="G644" s="180">
        <f>(G625/G612)*BX77</f>
        <v>0</v>
      </c>
      <c r="H644" s="180">
        <f>(H628/H612)*BX60</f>
        <v>25059.869250203985</v>
      </c>
      <c r="I644" s="180">
        <f>(I629/I612)*BX78</f>
        <v>0</v>
      </c>
      <c r="J644" s="180">
        <f>(J630/J612)*BX79</f>
        <v>0</v>
      </c>
      <c r="K644" s="180">
        <f>SUM(C631:J644)</f>
        <v>13487909.074416837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1843936</v>
      </c>
      <c r="D645" s="180">
        <f>(D615/D612)*BY76</f>
        <v>18638.578878511937</v>
      </c>
      <c r="E645" s="180">
        <f>(E623/E612)*SUM(C645:D645)</f>
        <v>275968.48834330722</v>
      </c>
      <c r="F645" s="180">
        <f>(F624/F612)*BY64</f>
        <v>0</v>
      </c>
      <c r="G645" s="180">
        <f>(G625/G612)*BY77</f>
        <v>0</v>
      </c>
      <c r="H645" s="180">
        <f>(H628/H612)*BY60</f>
        <v>50058.195275689817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665870</v>
      </c>
      <c r="D647" s="180">
        <f>(D615/D612)*CA76</f>
        <v>0</v>
      </c>
      <c r="E647" s="180">
        <f>(E623/E612)*SUM(C647:D647)</f>
        <v>98658.673546270831</v>
      </c>
      <c r="F647" s="180">
        <f>(F624/F612)*CA64</f>
        <v>0</v>
      </c>
      <c r="G647" s="180">
        <f>(G625/G612)*CA77</f>
        <v>0</v>
      </c>
      <c r="H647" s="180">
        <f>(H628/H612)*CA60</f>
        <v>37138.676842263958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2990268.6128860437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34385589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12594691</v>
      </c>
      <c r="D673" s="180">
        <f>(D615/D612)*H76</f>
        <v>9556737.1680936776</v>
      </c>
      <c r="E673" s="180">
        <f>(E623/E612)*SUM(C673:D673)</f>
        <v>3282067.8514118707</v>
      </c>
      <c r="F673" s="180">
        <f>(F624/F612)*H64</f>
        <v>0</v>
      </c>
      <c r="G673" s="180">
        <f>(G625/G612)*H77</f>
        <v>2716645.8947073342</v>
      </c>
      <c r="H673" s="180">
        <f>(H628/H612)*H60</f>
        <v>539642.90563048224</v>
      </c>
      <c r="I673" s="180">
        <f>(I629/I612)*H78</f>
        <v>732450.2221228116</v>
      </c>
      <c r="J673" s="180">
        <f>(J630/J612)*H79</f>
        <v>291296.08420712204</v>
      </c>
      <c r="K673" s="180">
        <f>(K644/K612)*H75</f>
        <v>13239569.082570458</v>
      </c>
      <c r="L673" s="180">
        <f>(L647/L612)*H80</f>
        <v>2874926.3731548162</v>
      </c>
      <c r="M673" s="180">
        <f t="shared" si="20"/>
        <v>33233336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112083</v>
      </c>
      <c r="D686" s="180">
        <f>(D615/D612)*U76</f>
        <v>0</v>
      </c>
      <c r="E686" s="180">
        <f>(E623/E612)*SUM(C686:D686)</f>
        <v>16606.785269026499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16607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45322</v>
      </c>
      <c r="D687" s="180">
        <f>(D615/D612)*V76</f>
        <v>0</v>
      </c>
      <c r="E687" s="180">
        <f>(E623/E612)*SUM(C687:D687)</f>
        <v>6715.1371926413367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3879.7584730714534</v>
      </c>
      <c r="L687" s="180">
        <f>(L647/L612)*V80</f>
        <v>0</v>
      </c>
      <c r="M687" s="180">
        <f t="shared" si="20"/>
        <v>10595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986</v>
      </c>
      <c r="C690" s="180">
        <f>Y71</f>
        <v>45209</v>
      </c>
      <c r="D690" s="180">
        <f>(D615/D612)*Y76</f>
        <v>0</v>
      </c>
      <c r="E690" s="180">
        <f>(E623/E612)*SUM(C690:D690)</f>
        <v>6698.3945400053435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6698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1084344</v>
      </c>
      <c r="D693" s="180">
        <f>(D615/D612)*AB76</f>
        <v>43490.017383194514</v>
      </c>
      <c r="E693" s="180">
        <f>(E623/E612)*SUM(C693:D693)</f>
        <v>167105.60339914358</v>
      </c>
      <c r="F693" s="180">
        <f>(F624/F612)*AB64</f>
        <v>0</v>
      </c>
      <c r="G693" s="180">
        <f>(G625/G612)*AB77</f>
        <v>0</v>
      </c>
      <c r="H693" s="180">
        <f>(H628/H612)*AB60</f>
        <v>12247.861511810454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222843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4334</v>
      </c>
      <c r="D698" s="180">
        <f>(D615/D612)*AG76</f>
        <v>0</v>
      </c>
      <c r="E698" s="180">
        <f>(E623/E612)*SUM(C698:D698)</f>
        <v>642.14740287073721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642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394154</v>
      </c>
      <c r="D704" s="180">
        <f>(D615/D612)*AM76</f>
        <v>0</v>
      </c>
      <c r="E704" s="180">
        <f>(E623/E612)*SUM(C704:D704)</f>
        <v>58399.854045019048</v>
      </c>
      <c r="F704" s="180">
        <f>(F624/F612)*AM64</f>
        <v>0</v>
      </c>
      <c r="G704" s="180">
        <f>(G625/G612)*AM77</f>
        <v>0</v>
      </c>
      <c r="H704" s="180">
        <f>(H628/H612)*AM60</f>
        <v>18016.20919156634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76416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663167</v>
      </c>
      <c r="D712" s="180">
        <f>(D615/D612)*AU76</f>
        <v>0</v>
      </c>
      <c r="E712" s="180">
        <f>(E623/E612)*SUM(C712:D712)</f>
        <v>98258.18336861518</v>
      </c>
      <c r="F712" s="180">
        <f>(F624/F612)*AU64</f>
        <v>0</v>
      </c>
      <c r="G712" s="180">
        <f>(G625/G612)*AU77</f>
        <v>85181.933905994418</v>
      </c>
      <c r="H712" s="180">
        <f>(H628/H612)*AU60</f>
        <v>21651.058414426221</v>
      </c>
      <c r="I712" s="180">
        <f>(I629/I612)*AU78</f>
        <v>0</v>
      </c>
      <c r="J712" s="180">
        <f>(J630/J612)*AU79</f>
        <v>0</v>
      </c>
      <c r="K712" s="180">
        <f>(K644/K612)*AU75</f>
        <v>244460.23337330628</v>
      </c>
      <c r="L712" s="180">
        <f>(L647/L612)*AU80</f>
        <v>115342.23973122772</v>
      </c>
      <c r="M712" s="180">
        <f t="shared" si="20"/>
        <v>564894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1269204</v>
      </c>
      <c r="D713" s="180">
        <f>(D615/D612)*AV76</f>
        <v>0</v>
      </c>
      <c r="E713" s="180">
        <f>(E623/E612)*SUM(C713:D713)</f>
        <v>188051.69642666157</v>
      </c>
      <c r="F713" s="180">
        <f>(F624/F612)*AV64</f>
        <v>0</v>
      </c>
      <c r="G713" s="180">
        <f>(G625/G612)*AV77</f>
        <v>0</v>
      </c>
      <c r="H713" s="180">
        <f>(H628/H612)*AV60</f>
        <v>65506.304472844284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253558</v>
      </c>
      <c r="N713" s="199" t="s">
        <v>741</v>
      </c>
    </row>
    <row r="715" spans="1:15" ht="12.6" customHeight="1" x14ac:dyDescent="0.25">
      <c r="C715" s="180">
        <f>SUM(C614:C647)+SUM(C668:C713)</f>
        <v>50598097</v>
      </c>
      <c r="D715" s="180">
        <f>SUM(D616:D647)+SUM(D668:D713)</f>
        <v>14988717.999999998</v>
      </c>
      <c r="E715" s="180">
        <f>SUM(E624:E647)+SUM(E668:E713)</f>
        <v>6529436.1175891515</v>
      </c>
      <c r="F715" s="180">
        <f>SUM(F625:F648)+SUM(F668:F713)</f>
        <v>0</v>
      </c>
      <c r="G715" s="180">
        <f>SUM(G626:G647)+SUM(G668:G713)</f>
        <v>2801827.8286133287</v>
      </c>
      <c r="H715" s="180">
        <f>SUM(H629:H647)+SUM(H668:H713)</f>
        <v>988202.21857454488</v>
      </c>
      <c r="I715" s="180">
        <f>SUM(I630:I647)+SUM(I668:I713)</f>
        <v>732450.2221228116</v>
      </c>
      <c r="J715" s="180">
        <f>SUM(J631:J647)+SUM(J668:J713)</f>
        <v>291296.08420712204</v>
      </c>
      <c r="K715" s="180">
        <f>SUM(K668:K713)</f>
        <v>13487909.074416837</v>
      </c>
      <c r="L715" s="180">
        <f>SUM(L668:L713)</f>
        <v>2990268.6128860437</v>
      </c>
      <c r="M715" s="180">
        <f>SUM(M668:M713)</f>
        <v>34385589</v>
      </c>
      <c r="N715" s="198" t="s">
        <v>742</v>
      </c>
    </row>
    <row r="716" spans="1:15" ht="12.6" customHeight="1" x14ac:dyDescent="0.25">
      <c r="C716" s="180">
        <f>CE71</f>
        <v>50598097</v>
      </c>
      <c r="D716" s="180">
        <f>D615</f>
        <v>14988718</v>
      </c>
      <c r="E716" s="180">
        <f>E623</f>
        <v>6529436.1175891506</v>
      </c>
      <c r="F716" s="180">
        <f>F624</f>
        <v>0</v>
      </c>
      <c r="G716" s="180">
        <f>G625</f>
        <v>2801827.8286133283</v>
      </c>
      <c r="H716" s="180">
        <f>H628</f>
        <v>988202.21857454476</v>
      </c>
      <c r="I716" s="180">
        <f>I629</f>
        <v>732450.2221228116</v>
      </c>
      <c r="J716" s="180">
        <f>J630</f>
        <v>291296.08420712204</v>
      </c>
      <c r="K716" s="180">
        <f>K644</f>
        <v>13487909.074416837</v>
      </c>
      <c r="L716" s="180">
        <f>L647</f>
        <v>2990268.6128860437</v>
      </c>
      <c r="M716" s="180">
        <f>C648</f>
        <v>34385589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7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5" t="s">
        <v>999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BHC Fairfax Hospital Inc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H-904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10200 NE 132nd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10200 NE 132nd St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Kirkland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C16" sqref="C1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H-904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BHC Fairfax Hospital Inc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Ron Escarda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Heather Tuck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425-284-6090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2996</v>
      </c>
      <c r="G23" s="21">
        <f>data!D111</f>
        <v>43915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617</v>
      </c>
      <c r="G25" s="21">
        <f>data!D113</f>
        <v>4632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0</v>
      </c>
      <c r="E32" s="49" t="s">
        <v>781</v>
      </c>
      <c r="F32" s="24"/>
      <c r="G32" s="21">
        <f>data!C125</f>
        <v>12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157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145</v>
      </c>
      <c r="E36" s="49" t="s">
        <v>292</v>
      </c>
      <c r="F36" s="24"/>
      <c r="G36" s="21">
        <f>data!C128</f>
        <v>157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B17" sqref="B1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BHC Fairfax Hospital Inc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595</v>
      </c>
      <c r="C7" s="48">
        <f>data!B139</f>
        <v>9982</v>
      </c>
      <c r="D7" s="48">
        <f>data!B140</f>
        <v>342</v>
      </c>
      <c r="E7" s="48">
        <f>data!B141</f>
        <v>27949600</v>
      </c>
      <c r="F7" s="48">
        <f>data!B142</f>
        <v>185925</v>
      </c>
      <c r="G7" s="48">
        <f>data!B141+data!B142</f>
        <v>28135525</v>
      </c>
    </row>
    <row r="8" spans="1:13" ht="20.100000000000001" customHeight="1" x14ac:dyDescent="0.25">
      <c r="A8" s="23" t="s">
        <v>297</v>
      </c>
      <c r="B8" s="48">
        <f>data!C138</f>
        <v>1841</v>
      </c>
      <c r="C8" s="48">
        <f>data!C139</f>
        <v>27350</v>
      </c>
      <c r="D8" s="48">
        <f>data!C140</f>
        <v>315</v>
      </c>
      <c r="E8" s="48">
        <f>data!C141</f>
        <v>76580000</v>
      </c>
      <c r="F8" s="48">
        <f>data!C142</f>
        <v>176550</v>
      </c>
      <c r="G8" s="48">
        <f>data!C141+data!C142</f>
        <v>76756550</v>
      </c>
    </row>
    <row r="9" spans="1:13" ht="20.100000000000001" customHeight="1" x14ac:dyDescent="0.25">
      <c r="A9" s="23" t="s">
        <v>794</v>
      </c>
      <c r="B9" s="48">
        <f>data!D138</f>
        <v>1177</v>
      </c>
      <c r="C9" s="48">
        <f>data!D139</f>
        <v>11215</v>
      </c>
      <c r="D9" s="48">
        <f>data!D140</f>
        <v>5049</v>
      </c>
      <c r="E9" s="48">
        <f>data!D141</f>
        <v>41586365</v>
      </c>
      <c r="F9" s="48">
        <f>data!D142</f>
        <v>3106008</v>
      </c>
      <c r="G9" s="48">
        <f>data!D141+data!D142</f>
        <v>44692373</v>
      </c>
    </row>
    <row r="10" spans="1:13" ht="20.100000000000001" customHeight="1" x14ac:dyDescent="0.25">
      <c r="A10" s="111" t="s">
        <v>203</v>
      </c>
      <c r="B10" s="48">
        <f>data!E138</f>
        <v>3613</v>
      </c>
      <c r="C10" s="48">
        <f>data!E139</f>
        <v>48547</v>
      </c>
      <c r="D10" s="48">
        <f>data!E140</f>
        <v>5706</v>
      </c>
      <c r="E10" s="48">
        <f>data!E141</f>
        <v>146115965</v>
      </c>
      <c r="F10" s="48">
        <f>data!E142</f>
        <v>3468483</v>
      </c>
      <c r="G10" s="48">
        <f>data!E141+data!E142</f>
        <v>149584448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794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BHC Fairfax Hospital Inc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1729083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33505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548932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1622502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69224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315868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-491874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3827240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124128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89483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213611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287675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42201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329876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135566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930854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1066420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BHC Fairfax Hospital Inc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4313939.9000000004</v>
      </c>
      <c r="D7" s="21">
        <f>data!C195</f>
        <v>0</v>
      </c>
      <c r="E7" s="21">
        <f>data!D195</f>
        <v>0</v>
      </c>
      <c r="F7" s="21">
        <f>data!E195</f>
        <v>4313939.9000000004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2024521.67</v>
      </c>
      <c r="D8" s="21">
        <f>data!C196</f>
        <v>0</v>
      </c>
      <c r="E8" s="21">
        <f>data!D196</f>
        <v>0</v>
      </c>
      <c r="F8" s="21">
        <f>data!E196</f>
        <v>2024521.67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20895005</v>
      </c>
      <c r="D9" s="21">
        <f>data!C197</f>
        <v>136941.07</v>
      </c>
      <c r="E9" s="21">
        <f>data!D197</f>
        <v>0</v>
      </c>
      <c r="F9" s="21">
        <f>data!E197</f>
        <v>21031946.07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4421011.22</v>
      </c>
      <c r="D12" s="21">
        <f>data!C200</f>
        <v>307414.05000000005</v>
      </c>
      <c r="E12" s="21">
        <f>data!D200</f>
        <v>569436.63</v>
      </c>
      <c r="F12" s="21">
        <f>data!E200</f>
        <v>4158988.6399999997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386240</v>
      </c>
      <c r="D14" s="21">
        <f>data!C202</f>
        <v>14854.69</v>
      </c>
      <c r="E14" s="21">
        <f>data!D202</f>
        <v>0</v>
      </c>
      <c r="F14" s="21">
        <f>data!E202</f>
        <v>401094.69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152958.95000000004</v>
      </c>
      <c r="D15" s="21">
        <f>data!C203</f>
        <v>386314.91000000003</v>
      </c>
      <c r="E15" s="21">
        <f>data!D203</f>
        <v>503515.39</v>
      </c>
      <c r="F15" s="21">
        <f>data!E203</f>
        <v>35758.470000000088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32193676.739999998</v>
      </c>
      <c r="D16" s="21">
        <f>data!C204</f>
        <v>845524.72000000009</v>
      </c>
      <c r="E16" s="21">
        <f>data!D204</f>
        <v>1072952.02</v>
      </c>
      <c r="F16" s="21">
        <f>data!E204</f>
        <v>31966249.440000001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858839.85</v>
      </c>
      <c r="D24" s="21">
        <f>data!C209</f>
        <v>114199.91</v>
      </c>
      <c r="E24" s="21">
        <f>data!D209</f>
        <v>0</v>
      </c>
      <c r="F24" s="21">
        <f>data!E209</f>
        <v>973039.76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4130143.6999999993</v>
      </c>
      <c r="D25" s="21">
        <f>data!C210</f>
        <v>755705.4600000002</v>
      </c>
      <c r="E25" s="21">
        <f>data!D210</f>
        <v>0</v>
      </c>
      <c r="F25" s="21">
        <f>data!E210</f>
        <v>4885849.1599999992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3015944.72</v>
      </c>
      <c r="D28" s="21">
        <f>data!C213</f>
        <v>381748.89</v>
      </c>
      <c r="E28" s="21">
        <f>data!D213</f>
        <v>566237.62</v>
      </c>
      <c r="F28" s="21">
        <f>data!E213</f>
        <v>2831455.99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205862.52</v>
      </c>
      <c r="D30" s="21">
        <f>data!C215</f>
        <v>66391.64</v>
      </c>
      <c r="E30" s="21">
        <f>data!D215</f>
        <v>0</v>
      </c>
      <c r="F30" s="21">
        <f>data!E215</f>
        <v>272254.15999999997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8210790.7899999991</v>
      </c>
      <c r="D32" s="21">
        <f>data!C217</f>
        <v>1318045.9000000001</v>
      </c>
      <c r="E32" s="21">
        <f>data!D217</f>
        <v>566237.62</v>
      </c>
      <c r="F32" s="21">
        <f>data!E217</f>
        <v>8962599.0700000003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BHC Fairfax Hospital Inc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991</v>
      </c>
      <c r="D5" s="14">
        <f>data!D221</f>
        <v>1375945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17580694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53411787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1377964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16558264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88928709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0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107956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6974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114930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1">
        <v>20</v>
      </c>
      <c r="B24" s="55">
        <v>5970</v>
      </c>
      <c r="C24" s="14" t="s">
        <v>357</v>
      </c>
      <c r="D24" s="14">
        <f>data!C238</f>
        <v>1579215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834</v>
      </c>
      <c r="D26" s="14">
        <f>data!C239</f>
        <v>8600127</v>
      </c>
    </row>
    <row r="27" spans="1:4" ht="20.100000000000001" customHeight="1" x14ac:dyDescent="0.25">
      <c r="A27" s="64">
        <v>23</v>
      </c>
      <c r="B27" s="63" t="s">
        <v>835</v>
      </c>
      <c r="C27" s="56"/>
      <c r="D27" s="14">
        <f>data!D242</f>
        <v>100598926</v>
      </c>
    </row>
    <row r="28" spans="1:4" ht="20.100000000000001" customHeight="1" x14ac:dyDescent="0.25">
      <c r="A28" s="126">
        <v>24</v>
      </c>
      <c r="B28" s="65" t="s">
        <v>836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837</v>
      </c>
      <c r="B1" s="5"/>
      <c r="C1" s="6"/>
    </row>
    <row r="2" spans="1:13" ht="20.100000000000001" customHeight="1" x14ac:dyDescent="0.25">
      <c r="A2" s="4"/>
      <c r="B2" s="5"/>
      <c r="C2" s="167" t="s">
        <v>838</v>
      </c>
    </row>
    <row r="3" spans="1:13" ht="20.100000000000001" customHeight="1" x14ac:dyDescent="0.25">
      <c r="A3" s="29" t="str">
        <f>"HOSPITAL: "&amp;data!C84</f>
        <v>HOSPITAL: BHC Fairfax Hospital Inc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839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-131876.54999999999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10042182.640000001</v>
      </c>
    </row>
    <row r="9" spans="1:13" ht="20.100000000000001" customHeight="1" x14ac:dyDescent="0.25">
      <c r="A9" s="13">
        <v>5</v>
      </c>
      <c r="B9" s="14" t="s">
        <v>840</v>
      </c>
      <c r="C9" s="21">
        <f>data!C253</f>
        <v>1410649.37</v>
      </c>
    </row>
    <row r="10" spans="1:13" ht="20.100000000000001" customHeight="1" x14ac:dyDescent="0.25">
      <c r="A10" s="13">
        <v>6</v>
      </c>
      <c r="B10" s="14" t="s">
        <v>841</v>
      </c>
      <c r="C10" s="21">
        <f>data!C254</f>
        <v>-72118.8</v>
      </c>
    </row>
    <row r="11" spans="1:13" ht="20.100000000000001" customHeight="1" x14ac:dyDescent="0.25">
      <c r="A11" s="13">
        <v>7</v>
      </c>
      <c r="B11" s="14" t="s">
        <v>842</v>
      </c>
      <c r="C11" s="21">
        <f>data!C255</f>
        <v>590683.66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221684.66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143479.24</v>
      </c>
    </row>
    <row r="15" spans="1:13" ht="20.100000000000001" customHeight="1" x14ac:dyDescent="0.25">
      <c r="A15" s="13">
        <v>11</v>
      </c>
      <c r="B15" s="14" t="s">
        <v>843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844</v>
      </c>
      <c r="C16" s="21">
        <f>data!D260</f>
        <v>9383385.4799999986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845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846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847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4313939.9000000004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2024521.67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976895.1</v>
      </c>
    </row>
    <row r="28" spans="1:3" ht="20.100000000000001" customHeight="1" x14ac:dyDescent="0.25">
      <c r="A28" s="13">
        <v>24</v>
      </c>
      <c r="B28" s="14" t="s">
        <v>848</v>
      </c>
      <c r="C28" s="21">
        <f>data!C270</f>
        <v>20055050.98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4158989.0100000002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401094.69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35758.47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31966249.82</v>
      </c>
    </row>
    <row r="34" spans="1:3" ht="20.100000000000001" customHeight="1" x14ac:dyDescent="0.25">
      <c r="A34" s="13">
        <v>30</v>
      </c>
      <c r="B34" s="14" t="s">
        <v>849</v>
      </c>
      <c r="C34" s="21">
        <f>data!C276</f>
        <v>8962599.0700000003</v>
      </c>
    </row>
    <row r="35" spans="1:3" ht="20.100000000000001" customHeight="1" x14ac:dyDescent="0.25">
      <c r="A35" s="13">
        <v>31</v>
      </c>
      <c r="B35" s="14" t="s">
        <v>850</v>
      </c>
      <c r="C35" s="21">
        <f>data!D277</f>
        <v>23003650.75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851</v>
      </c>
      <c r="C37" s="36"/>
    </row>
    <row r="38" spans="1:3" ht="20.100000000000001" customHeight="1" x14ac:dyDescent="0.25">
      <c r="A38" s="13">
        <v>34</v>
      </c>
      <c r="B38" s="14" t="s">
        <v>852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853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1113518.83</v>
      </c>
    </row>
    <row r="42" spans="1:3" ht="20.100000000000001" customHeight="1" x14ac:dyDescent="0.25">
      <c r="A42" s="13">
        <v>38</v>
      </c>
      <c r="B42" s="14" t="s">
        <v>854</v>
      </c>
      <c r="C42" s="21">
        <f>data!D283</f>
        <v>1113518.83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855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56670018.130000003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856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857</v>
      </c>
      <c r="C49" s="21">
        <f>data!D290</f>
        <v>56670018.130000003</v>
      </c>
    </row>
    <row r="50" spans="1:3" ht="20.100000000000001" customHeight="1" x14ac:dyDescent="0.25">
      <c r="A50" s="40">
        <v>46</v>
      </c>
      <c r="B50" s="41" t="s">
        <v>858</v>
      </c>
      <c r="C50" s="21">
        <f>data!D292</f>
        <v>90170573.189999998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859</v>
      </c>
      <c r="B53" s="5"/>
      <c r="C53" s="6"/>
    </row>
    <row r="54" spans="1:3" ht="20.100000000000001" customHeight="1" x14ac:dyDescent="0.25">
      <c r="A54" s="4"/>
      <c r="B54" s="5"/>
      <c r="C54" s="167" t="s">
        <v>860</v>
      </c>
    </row>
    <row r="55" spans="1:3" ht="20.100000000000001" customHeight="1" x14ac:dyDescent="0.25">
      <c r="A55" s="29" t="str">
        <f>"HOSPITAL: "&amp;data!C84</f>
        <v>HOSPITAL: BHC Fairfax Hospital Inc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861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862</v>
      </c>
      <c r="C59" s="21">
        <f>data!C305</f>
        <v>324015.68</v>
      </c>
    </row>
    <row r="60" spans="1:3" ht="20.100000000000001" customHeight="1" x14ac:dyDescent="0.25">
      <c r="A60" s="13">
        <v>4</v>
      </c>
      <c r="B60" s="14" t="s">
        <v>863</v>
      </c>
      <c r="C60" s="21">
        <f>data!C306</f>
        <v>2391584.7599999998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487955.32</v>
      </c>
    </row>
    <row r="62" spans="1:3" ht="20.100000000000001" customHeight="1" x14ac:dyDescent="0.25">
      <c r="A62" s="13">
        <v>6</v>
      </c>
      <c r="B62" s="14" t="s">
        <v>864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865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866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867</v>
      </c>
      <c r="C68" s="21">
        <f>data!D314</f>
        <v>3203555.76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868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869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870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871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872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873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874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875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876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877</v>
      </c>
      <c r="C90" s="36"/>
    </row>
    <row r="91" spans="1:3" ht="20.100000000000001" customHeight="1" x14ac:dyDescent="0.25">
      <c r="A91" s="13">
        <v>35</v>
      </c>
      <c r="B91" s="14" t="s">
        <v>878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879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880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881</v>
      </c>
      <c r="C97" s="21">
        <f>data!C337</f>
        <v>86967017.430000007</v>
      </c>
    </row>
    <row r="98" spans="1:3" ht="20.100000000000001" customHeight="1" x14ac:dyDescent="0.25">
      <c r="A98" s="13">
        <v>42</v>
      </c>
      <c r="B98" s="14" t="s">
        <v>882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883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884</v>
      </c>
      <c r="C101" s="21">
        <f>data!C332+data!C334+data!C335+data!C336+data!C337-data!C338</f>
        <v>86967017.430000007</v>
      </c>
    </row>
    <row r="102" spans="1:3" ht="20.100000000000001" customHeight="1" x14ac:dyDescent="0.25">
      <c r="A102" s="13">
        <v>46</v>
      </c>
      <c r="B102" s="14" t="s">
        <v>885</v>
      </c>
      <c r="C102" s="21">
        <f>data!D339</f>
        <v>90170573.190000013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886</v>
      </c>
      <c r="B105" s="5"/>
      <c r="C105" s="6"/>
    </row>
    <row r="106" spans="1:3" ht="20.100000000000001" customHeight="1" x14ac:dyDescent="0.25">
      <c r="A106" s="45"/>
      <c r="B106" s="8"/>
      <c r="C106" s="167" t="s">
        <v>887</v>
      </c>
    </row>
    <row r="107" spans="1:3" ht="20.100000000000001" customHeight="1" x14ac:dyDescent="0.25">
      <c r="A107" s="29" t="str">
        <f>"HOSPITAL: "&amp;data!C84</f>
        <v>HOSPITAL: BHC Fairfax Hospital Inc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888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146115965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3468483</v>
      </c>
    </row>
    <row r="112" spans="1:3" ht="20.100000000000001" customHeight="1" x14ac:dyDescent="0.25">
      <c r="A112" s="13">
        <v>4</v>
      </c>
      <c r="B112" s="14" t="s">
        <v>889</v>
      </c>
      <c r="C112" s="21">
        <f>data!D361</f>
        <v>149584448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890</v>
      </c>
      <c r="C114" s="36"/>
    </row>
    <row r="115" spans="1:3" ht="20.100000000000001" customHeight="1" x14ac:dyDescent="0.25">
      <c r="A115" s="13">
        <v>7</v>
      </c>
      <c r="B115" s="270" t="s">
        <v>450</v>
      </c>
      <c r="C115" s="48">
        <f>data!C363</f>
        <v>1375945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88928709</v>
      </c>
    </row>
    <row r="117" spans="1:3" ht="20.100000000000001" customHeight="1" x14ac:dyDescent="0.25">
      <c r="A117" s="13">
        <v>9</v>
      </c>
      <c r="B117" s="14" t="s">
        <v>891</v>
      </c>
      <c r="C117" s="48">
        <f>data!C365</f>
        <v>114930</v>
      </c>
    </row>
    <row r="118" spans="1:3" ht="20.100000000000001" customHeight="1" x14ac:dyDescent="0.25">
      <c r="A118" s="13">
        <v>10</v>
      </c>
      <c r="B118" s="14" t="s">
        <v>892</v>
      </c>
      <c r="C118" s="48">
        <f>data!C366</f>
        <v>10179342</v>
      </c>
    </row>
    <row r="119" spans="1:3" ht="20.100000000000001" customHeight="1" x14ac:dyDescent="0.25">
      <c r="A119" s="13">
        <v>11</v>
      </c>
      <c r="B119" s="14" t="s">
        <v>835</v>
      </c>
      <c r="C119" s="48">
        <f>data!D367</f>
        <v>100598926</v>
      </c>
    </row>
    <row r="120" spans="1:3" ht="20.100000000000001" customHeight="1" x14ac:dyDescent="0.25">
      <c r="A120" s="13">
        <v>12</v>
      </c>
      <c r="B120" s="14" t="s">
        <v>893</v>
      </c>
      <c r="C120" s="48">
        <f>data!D368</f>
        <v>48985522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373557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894</v>
      </c>
      <c r="C125" s="48">
        <f>data!D372</f>
        <v>373557</v>
      </c>
    </row>
    <row r="126" spans="1:3" ht="20.100000000000001" customHeight="1" x14ac:dyDescent="0.25">
      <c r="A126" s="13">
        <v>18</v>
      </c>
      <c r="B126" s="14" t="s">
        <v>895</v>
      </c>
      <c r="C126" s="48">
        <f>data!D373</f>
        <v>49359079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896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21098606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3827239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6164036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1936979</v>
      </c>
    </row>
    <row r="133" spans="1:3" ht="20.100000000000001" customHeight="1" x14ac:dyDescent="0.25">
      <c r="A133" s="13">
        <v>25</v>
      </c>
      <c r="B133" s="14" t="s">
        <v>897</v>
      </c>
      <c r="C133" s="48">
        <f>data!C382</f>
        <v>259889</v>
      </c>
    </row>
    <row r="134" spans="1:3" ht="20.100000000000001" customHeight="1" x14ac:dyDescent="0.25">
      <c r="A134" s="13">
        <v>26</v>
      </c>
      <c r="B134" s="14" t="s">
        <v>898</v>
      </c>
      <c r="C134" s="48">
        <f>data!C383</f>
        <v>1849415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1318235</v>
      </c>
    </row>
    <row r="136" spans="1:3" ht="20.100000000000001" customHeight="1" x14ac:dyDescent="0.25">
      <c r="A136" s="13">
        <v>28</v>
      </c>
      <c r="B136" s="14" t="s">
        <v>899</v>
      </c>
      <c r="C136" s="48">
        <f>data!C385</f>
        <v>213611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329876</v>
      </c>
    </row>
    <row r="138" spans="1:3" ht="20.100000000000001" customHeight="1" x14ac:dyDescent="0.25">
      <c r="A138" s="13">
        <v>30</v>
      </c>
      <c r="B138" s="14" t="s">
        <v>900</v>
      </c>
      <c r="C138" s="48">
        <f>data!C387</f>
        <v>1066420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14339182</v>
      </c>
    </row>
    <row r="141" spans="1:3" ht="20.100000000000001" customHeight="1" x14ac:dyDescent="0.25">
      <c r="A141" s="13">
        <v>34</v>
      </c>
      <c r="B141" s="14" t="s">
        <v>901</v>
      </c>
      <c r="C141" s="48">
        <f>data!D390</f>
        <v>52403488</v>
      </c>
    </row>
    <row r="142" spans="1:3" ht="20.100000000000001" customHeight="1" x14ac:dyDescent="0.25">
      <c r="A142" s="13">
        <v>35</v>
      </c>
      <c r="B142" s="14" t="s">
        <v>902</v>
      </c>
      <c r="C142" s="48">
        <f>data!D391</f>
        <v>-3044409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903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904</v>
      </c>
      <c r="C146" s="21">
        <f>data!D393</f>
        <v>-3044409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905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906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907</v>
      </c>
      <c r="C151" s="48">
        <f>data!D396</f>
        <v>-3044409</v>
      </c>
    </row>
    <row r="152" spans="1:3" ht="20.100000000000001" customHeight="1" x14ac:dyDescent="0.25">
      <c r="A152" s="40">
        <v>45</v>
      </c>
      <c r="B152" s="49" t="s">
        <v>908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909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910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BHC Fairfax Hospital Inc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911</v>
      </c>
      <c r="C6" s="88" t="s">
        <v>92</v>
      </c>
      <c r="D6" s="18" t="s">
        <v>912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913</v>
      </c>
      <c r="E7" s="18" t="s">
        <v>163</v>
      </c>
      <c r="F7" s="18" t="s">
        <v>914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915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48547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130.69903846153846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9862044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1788999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-2235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3072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59619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786391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9632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916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12507522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917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33366028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918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146115965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919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920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146115965</v>
      </c>
      <c r="I26" s="14">
        <f>data!I75</f>
        <v>0</v>
      </c>
    </row>
    <row r="27" spans="1:9" ht="20.100000000000001" customHeight="1" x14ac:dyDescent="0.25">
      <c r="A27" s="23" t="s">
        <v>921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922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49223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923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145641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924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16640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925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174620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130.69903846153846</v>
      </c>
      <c r="I32" s="84">
        <f>data!I80</f>
        <v>0</v>
      </c>
    </row>
    <row r="33" spans="1:9" ht="20.100000000000001" customHeight="1" x14ac:dyDescent="0.25">
      <c r="A33" s="4" t="s">
        <v>909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926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BHC Fairfax Hospital Inc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911</v>
      </c>
      <c r="C38" s="25"/>
      <c r="D38" s="18" t="s">
        <v>100</v>
      </c>
      <c r="E38" s="18" t="s">
        <v>101</v>
      </c>
      <c r="F38" s="18" t="s">
        <v>927</v>
      </c>
      <c r="G38" s="18" t="s">
        <v>103</v>
      </c>
      <c r="H38" s="18" t="s">
        <v>928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915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916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917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918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919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920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921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922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923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924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925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909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929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BHC Fairfax Hospital Inc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911</v>
      </c>
      <c r="C70" s="18" t="s">
        <v>106</v>
      </c>
      <c r="D70" s="25"/>
      <c r="E70" s="18" t="s">
        <v>108</v>
      </c>
      <c r="F70" s="18" t="s">
        <v>930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931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915</v>
      </c>
      <c r="C72" s="15" t="s">
        <v>932</v>
      </c>
      <c r="D72" s="89" t="s">
        <v>933</v>
      </c>
      <c r="E72" s="208"/>
      <c r="F72" s="208"/>
      <c r="G72" s="89" t="s">
        <v>934</v>
      </c>
      <c r="H72" s="89" t="s">
        <v>934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48863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8864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54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147994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916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147994</v>
      </c>
      <c r="H85" s="14">
        <f>data!V71</f>
        <v>57781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917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21224</v>
      </c>
      <c r="H87" s="48">
        <f>+data!M687</f>
        <v>8286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918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919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920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921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922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923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924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925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909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935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BHC Fairfax Hospital Inc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911</v>
      </c>
      <c r="C102" s="18" t="s">
        <v>936</v>
      </c>
      <c r="D102" s="18" t="s">
        <v>937</v>
      </c>
      <c r="E102" s="18" t="s">
        <v>937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915</v>
      </c>
      <c r="C104" s="89" t="s">
        <v>224</v>
      </c>
      <c r="D104" s="15" t="s">
        <v>938</v>
      </c>
      <c r="E104" s="15" t="s">
        <v>938</v>
      </c>
      <c r="F104" s="15" t="s">
        <v>938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3.3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427387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77529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465369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5229</v>
      </c>
      <c r="E112" s="14">
        <f>data!Z66</f>
        <v>0</v>
      </c>
      <c r="F112" s="14">
        <f>data!AA66</f>
        <v>0</v>
      </c>
      <c r="G112" s="14">
        <f>data!AB66</f>
        <v>61843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3579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4954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916</v>
      </c>
      <c r="C117" s="14">
        <f>data!X71</f>
        <v>0</v>
      </c>
      <c r="D117" s="14">
        <f>data!Y71</f>
        <v>5229</v>
      </c>
      <c r="E117" s="14">
        <f>data!Z71</f>
        <v>0</v>
      </c>
      <c r="F117" s="14">
        <f>data!AA71</f>
        <v>0</v>
      </c>
      <c r="G117" s="14">
        <f>data!AB71</f>
        <v>1040661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917</v>
      </c>
      <c r="C119" s="48">
        <f>+data!M689</f>
        <v>0</v>
      </c>
      <c r="D119" s="48">
        <f>+data!M690</f>
        <v>750</v>
      </c>
      <c r="E119" s="48">
        <f>+data!M691</f>
        <v>0</v>
      </c>
      <c r="F119" s="48">
        <f>+data!M692</f>
        <v>0</v>
      </c>
      <c r="G119" s="48">
        <f>+data!M693</f>
        <v>208845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918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919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920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921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922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224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923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924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925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909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939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BHC Fairfax Hospital Inc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911</v>
      </c>
      <c r="C134" s="18" t="s">
        <v>96</v>
      </c>
      <c r="D134" s="18" t="s">
        <v>97</v>
      </c>
      <c r="E134" s="18" t="s">
        <v>118</v>
      </c>
      <c r="F134" s="25"/>
      <c r="G134" s="18" t="s">
        <v>940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915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941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26685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916</v>
      </c>
      <c r="C149" s="14">
        <f>data!AE71</f>
        <v>0</v>
      </c>
      <c r="D149" s="14">
        <f>data!AF71</f>
        <v>0</v>
      </c>
      <c r="E149" s="14">
        <f>data!AG71</f>
        <v>26685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917</v>
      </c>
      <c r="C151" s="48">
        <f>+data!M696</f>
        <v>0</v>
      </c>
      <c r="D151" s="48">
        <f>+data!M697</f>
        <v>0</v>
      </c>
      <c r="E151" s="48">
        <f>+data!M698</f>
        <v>3827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918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919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920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921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922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923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924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925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909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942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BHC Fairfax Hospital Inc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911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943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944</v>
      </c>
      <c r="F167" s="18" t="s">
        <v>182</v>
      </c>
      <c r="G167" s="18" t="s">
        <v>121</v>
      </c>
      <c r="H167" s="88" t="s">
        <v>945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915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5.13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316962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57498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15441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32662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606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916</v>
      </c>
      <c r="C181" s="14">
        <f>data!AL71</f>
        <v>0</v>
      </c>
      <c r="D181" s="14">
        <f>data!AM71</f>
        <v>423169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917</v>
      </c>
      <c r="C183" s="48">
        <f>+data!M703</f>
        <v>0</v>
      </c>
      <c r="D183" s="48">
        <f>+data!M704</f>
        <v>79905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918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919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920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921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922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923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924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925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909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946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BHC Fairfax Hospital Inc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911</v>
      </c>
      <c r="C198" s="25"/>
      <c r="D198" s="18" t="s">
        <v>130</v>
      </c>
      <c r="E198" s="18" t="s">
        <v>131</v>
      </c>
      <c r="F198" s="18" t="s">
        <v>132</v>
      </c>
      <c r="G198" s="18" t="s">
        <v>947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948</v>
      </c>
      <c r="E199" s="18" t="s">
        <v>949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915</v>
      </c>
      <c r="C200" s="15" t="s">
        <v>226</v>
      </c>
      <c r="D200" s="15" t="s">
        <v>948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5312</v>
      </c>
      <c r="F201" s="208"/>
      <c r="G201" s="208"/>
      <c r="H201" s="208"/>
      <c r="I201" s="14">
        <f>data!AY59</f>
        <v>151347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6.98</v>
      </c>
      <c r="F202" s="26">
        <f>data!AV60</f>
        <v>17.561057692307692</v>
      </c>
      <c r="G202" s="26">
        <f>data!AW60</f>
        <v>0</v>
      </c>
      <c r="H202" s="26">
        <f>data!AX60</f>
        <v>0</v>
      </c>
      <c r="I202" s="26">
        <f>data!AY60</f>
        <v>10.349038461538461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543844</v>
      </c>
      <c r="F203" s="14">
        <f>data!AV61</f>
        <v>965396</v>
      </c>
      <c r="G203" s="14">
        <f>data!AW61</f>
        <v>0</v>
      </c>
      <c r="H203" s="14">
        <f>data!AX61</f>
        <v>0</v>
      </c>
      <c r="I203" s="14">
        <f>data!AY61</f>
        <v>495307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98655</v>
      </c>
      <c r="F204" s="14">
        <f>data!AV62</f>
        <v>175125</v>
      </c>
      <c r="G204" s="14">
        <f>data!AW62</f>
        <v>0</v>
      </c>
      <c r="H204" s="14">
        <f>data!AX62</f>
        <v>0</v>
      </c>
      <c r="I204" s="14">
        <f>data!AY62</f>
        <v>89850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67838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4686</v>
      </c>
      <c r="F206" s="14">
        <f>data!AV64</f>
        <v>6125</v>
      </c>
      <c r="G206" s="14">
        <f>data!AW64</f>
        <v>0</v>
      </c>
      <c r="H206" s="14">
        <f>data!AX64</f>
        <v>0</v>
      </c>
      <c r="I206" s="14">
        <f>data!AY64</f>
        <v>1006778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6095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985</v>
      </c>
      <c r="F208" s="14">
        <f>data!AV66</f>
        <v>3000</v>
      </c>
      <c r="G208" s="14">
        <f>data!AW66</f>
        <v>0</v>
      </c>
      <c r="H208" s="14">
        <f>data!AX66</f>
        <v>0</v>
      </c>
      <c r="I208" s="14">
        <f>data!AY66</f>
        <v>58570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84865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62562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62064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850</v>
      </c>
      <c r="F211" s="14">
        <f>data!AV69</f>
        <v>3432</v>
      </c>
      <c r="G211" s="14">
        <f>data!AW69</f>
        <v>0</v>
      </c>
      <c r="H211" s="14">
        <f>data!AX69</f>
        <v>0</v>
      </c>
      <c r="I211" s="14">
        <f>data!AY69</f>
        <v>7339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916</v>
      </c>
      <c r="C213" s="14">
        <f>data!AS71</f>
        <v>0</v>
      </c>
      <c r="D213" s="14">
        <f>data!AT71</f>
        <v>0</v>
      </c>
      <c r="E213" s="14">
        <f>data!AU71</f>
        <v>869882</v>
      </c>
      <c r="F213" s="14">
        <f>data!AV71</f>
        <v>1153078</v>
      </c>
      <c r="G213" s="14">
        <f>data!AW71</f>
        <v>0</v>
      </c>
      <c r="H213" s="14">
        <f>data!AX71</f>
        <v>0</v>
      </c>
      <c r="I213" s="14">
        <f>data!AY71</f>
        <v>1720406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917</v>
      </c>
      <c r="C215" s="48">
        <f>+data!M710</f>
        <v>0</v>
      </c>
      <c r="D215" s="48">
        <f>+data!M711</f>
        <v>0</v>
      </c>
      <c r="E215" s="48">
        <f>+data!M712</f>
        <v>1877913</v>
      </c>
      <c r="F215" s="48">
        <f>+data!M713</f>
        <v>231153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918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919</v>
      </c>
      <c r="C217" s="14">
        <f>data!AS74</f>
        <v>0</v>
      </c>
      <c r="D217" s="14">
        <f>data!AT74</f>
        <v>0</v>
      </c>
      <c r="E217" s="14">
        <f>data!AU74</f>
        <v>3468483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920</v>
      </c>
      <c r="C218" s="14">
        <f>data!AS75</f>
        <v>0</v>
      </c>
      <c r="D218" s="14">
        <f>data!AT75</f>
        <v>0</v>
      </c>
      <c r="E218" s="14">
        <f>data!AU75</f>
        <v>3468483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921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922</v>
      </c>
      <c r="C220" s="14">
        <f>data!AS76</f>
        <v>0</v>
      </c>
      <c r="D220" s="14">
        <f>data!AT76</f>
        <v>0</v>
      </c>
      <c r="E220" s="14">
        <f>data!AU76</f>
        <v>5312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3916</v>
      </c>
    </row>
    <row r="221" spans="1:9" ht="20.100000000000001" customHeight="1" x14ac:dyDescent="0.25">
      <c r="A221" s="23">
        <v>23</v>
      </c>
      <c r="B221" s="14" t="s">
        <v>923</v>
      </c>
      <c r="C221" s="14">
        <f>data!AS77</f>
        <v>0</v>
      </c>
      <c r="D221" s="14">
        <f>data!AT77</f>
        <v>0</v>
      </c>
      <c r="E221" s="14">
        <f>data!AU77</f>
        <v>5706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924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925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6.98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909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950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BHC Fairfax Hospital Inc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911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951</v>
      </c>
      <c r="F231" s="18" t="s">
        <v>952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915</v>
      </c>
      <c r="C232" s="15" t="s">
        <v>953</v>
      </c>
      <c r="D232" s="15" t="s">
        <v>954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82513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2.4</v>
      </c>
      <c r="F234" s="26">
        <f>data!BC60</f>
        <v>0</v>
      </c>
      <c r="G234" s="26">
        <f>data!BD60</f>
        <v>0</v>
      </c>
      <c r="H234" s="26">
        <f>data!BE60</f>
        <v>3.5322115384615387</v>
      </c>
      <c r="I234" s="26">
        <f>data!BF60</f>
        <v>10.950000000000001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106786</v>
      </c>
      <c r="F235" s="14">
        <f>data!BC61</f>
        <v>0</v>
      </c>
      <c r="G235" s="14">
        <f>data!BD61</f>
        <v>0</v>
      </c>
      <c r="H235" s="14">
        <f>data!BE61</f>
        <v>293647</v>
      </c>
      <c r="I235" s="14">
        <f>data!BF61</f>
        <v>319961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19371</v>
      </c>
      <c r="F236" s="14">
        <f>data!BC62</f>
        <v>0</v>
      </c>
      <c r="G236" s="14">
        <f>data!BD62</f>
        <v>0</v>
      </c>
      <c r="H236" s="14">
        <f>data!BE62</f>
        <v>53268</v>
      </c>
      <c r="I236" s="14">
        <f>data!BF62</f>
        <v>58042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37</v>
      </c>
      <c r="F238" s="14">
        <f>data!BC64</f>
        <v>0</v>
      </c>
      <c r="G238" s="14">
        <f>data!BD64</f>
        <v>0</v>
      </c>
      <c r="H238" s="14">
        <f>data!BE64</f>
        <v>58255</v>
      </c>
      <c r="I238" s="14">
        <f>data!BF64</f>
        <v>79429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253794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165858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96048</v>
      </c>
      <c r="I240" s="14">
        <f>data!BF66</f>
        <v>387854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24539</v>
      </c>
      <c r="D241" s="14">
        <f>data!BA67</f>
        <v>8180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29118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48607</v>
      </c>
      <c r="G243" s="14">
        <f>data!BD69</f>
        <v>0</v>
      </c>
      <c r="H243" s="14">
        <f>data!BE69</f>
        <v>471016</v>
      </c>
      <c r="I243" s="14">
        <f>data!BF69</f>
        <v>2843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916</v>
      </c>
      <c r="C245" s="14">
        <f>data!AZ71</f>
        <v>24539</v>
      </c>
      <c r="D245" s="14">
        <f>data!BA71</f>
        <v>174038</v>
      </c>
      <c r="E245" s="14">
        <f>data!BB71</f>
        <v>126194</v>
      </c>
      <c r="F245" s="14">
        <f>data!BC71</f>
        <v>48607</v>
      </c>
      <c r="G245" s="14">
        <f>data!BD71</f>
        <v>0</v>
      </c>
      <c r="H245" s="14">
        <f>data!BE71</f>
        <v>1255146</v>
      </c>
      <c r="I245" s="14">
        <f>data!BF71</f>
        <v>848129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917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918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919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920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921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922</v>
      </c>
      <c r="C252" s="85">
        <f>data!AZ76</f>
        <v>1536</v>
      </c>
      <c r="D252" s="85">
        <f>data!BA76</f>
        <v>512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923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924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925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909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955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BHC Fairfax Hospital Inc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911</v>
      </c>
      <c r="C262" s="18" t="s">
        <v>956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957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958</v>
      </c>
    </row>
    <row r="264" spans="1:9" ht="20.100000000000001" customHeight="1" x14ac:dyDescent="0.25">
      <c r="A264" s="23">
        <v>3</v>
      </c>
      <c r="B264" s="14" t="s">
        <v>915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2.5</v>
      </c>
      <c r="D266" s="26">
        <f>data!BH60</f>
        <v>0</v>
      </c>
      <c r="E266" s="26">
        <f>data!BI60</f>
        <v>11.011538461538461</v>
      </c>
      <c r="F266" s="26">
        <f>data!BJ60</f>
        <v>3.3850961538461539</v>
      </c>
      <c r="G266" s="26">
        <f>data!BK60</f>
        <v>5.5168269230769234</v>
      </c>
      <c r="H266" s="26">
        <f>data!BL60</f>
        <v>19.399038461538463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232413</v>
      </c>
      <c r="D267" s="14">
        <f>data!BH61</f>
        <v>0</v>
      </c>
      <c r="E267" s="14">
        <f>data!BI61</f>
        <v>864920</v>
      </c>
      <c r="F267" s="14">
        <f>data!BJ61</f>
        <v>341935</v>
      </c>
      <c r="G267" s="14">
        <f>data!BK61</f>
        <v>345183</v>
      </c>
      <c r="H267" s="14">
        <f>data!BL61</f>
        <v>1411086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42160</v>
      </c>
      <c r="D268" s="14">
        <f>data!BH62</f>
        <v>0</v>
      </c>
      <c r="E268" s="14">
        <f>data!BI62</f>
        <v>156899</v>
      </c>
      <c r="F268" s="14">
        <f>data!BJ62</f>
        <v>62028</v>
      </c>
      <c r="G268" s="14">
        <f>data!BK62</f>
        <v>62617</v>
      </c>
      <c r="H268" s="14">
        <f>data!BL62</f>
        <v>255974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3804</v>
      </c>
      <c r="D270" s="14">
        <f>data!BH64</f>
        <v>1724</v>
      </c>
      <c r="E270" s="14">
        <f>data!BI64</f>
        <v>218411</v>
      </c>
      <c r="F270" s="14">
        <f>data!BJ64</f>
        <v>1364</v>
      </c>
      <c r="G270" s="14">
        <f>data!BK64</f>
        <v>6904</v>
      </c>
      <c r="H270" s="14">
        <f>data!BL64</f>
        <v>2930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2070</v>
      </c>
      <c r="D272" s="14">
        <f>data!BH66</f>
        <v>0</v>
      </c>
      <c r="E272" s="14">
        <f>data!BI66</f>
        <v>121511</v>
      </c>
      <c r="F272" s="14">
        <f>data!BJ66</f>
        <v>-1552</v>
      </c>
      <c r="G272" s="14">
        <f>data!BK66</f>
        <v>20438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1534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380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4286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147852</v>
      </c>
      <c r="D275" s="14">
        <f>data!BH69</f>
        <v>0</v>
      </c>
      <c r="E275" s="14">
        <f>data!BI69</f>
        <v>87821</v>
      </c>
      <c r="F275" s="14">
        <f>data!BJ69</f>
        <v>91109</v>
      </c>
      <c r="G275" s="14">
        <f>data!BK69</f>
        <v>43689</v>
      </c>
      <c r="H275" s="14">
        <f>data!BL69</f>
        <v>131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916</v>
      </c>
      <c r="C277" s="14">
        <f>data!BG71</f>
        <v>430213</v>
      </c>
      <c r="D277" s="14">
        <f>data!BH71</f>
        <v>1724</v>
      </c>
      <c r="E277" s="14">
        <f>data!BI71</f>
        <v>1449562</v>
      </c>
      <c r="F277" s="14">
        <f>data!BJ71</f>
        <v>494884</v>
      </c>
      <c r="G277" s="14">
        <f>data!BK71</f>
        <v>483117</v>
      </c>
      <c r="H277" s="14">
        <f>data!BL71</f>
        <v>1670121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917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918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919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920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921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922</v>
      </c>
      <c r="C284" s="85">
        <f>data!BG76</f>
        <v>96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923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924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925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909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959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BHC Fairfax Hospital Inc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911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960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915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2.0274038461538462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3.3240384615384615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633362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249898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114893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45332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10599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8427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155109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43402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322286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3083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110980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307678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118879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916</v>
      </c>
      <c r="C309" s="14">
        <f>data!BN71</f>
        <v>1654907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469021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917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918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919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920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921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922</v>
      </c>
      <c r="C316" s="85">
        <f>data!BN76</f>
        <v>20173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193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923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924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925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909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961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BHC Fairfax Hospital Inc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911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960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915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5.40625</v>
      </c>
      <c r="E330" s="26">
        <f>data!BW60</f>
        <v>0</v>
      </c>
      <c r="F330" s="26">
        <f>data!BX60</f>
        <v>6.4793269230769228</v>
      </c>
      <c r="G330" s="26">
        <f>data!BY60</f>
        <v>16.289423076923075</v>
      </c>
      <c r="H330" s="26">
        <f>data!BZ60</f>
        <v>0</v>
      </c>
      <c r="I330" s="26">
        <f>data!CA60</f>
        <v>6.8423076923076929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261014</v>
      </c>
      <c r="E331" s="86">
        <f>data!BW61</f>
        <v>2678</v>
      </c>
      <c r="F331" s="86">
        <f>data!BX61</f>
        <v>565528</v>
      </c>
      <c r="G331" s="86">
        <f>data!BY61</f>
        <v>2256280</v>
      </c>
      <c r="H331" s="86">
        <f>data!BZ61</f>
        <v>0</v>
      </c>
      <c r="I331" s="86">
        <f>data!CA61</f>
        <v>399363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47349</v>
      </c>
      <c r="E332" s="86">
        <f>data!BW62</f>
        <v>486</v>
      </c>
      <c r="F332" s="86">
        <f>data!BX62</f>
        <v>102588</v>
      </c>
      <c r="G332" s="86">
        <f>data!BY62</f>
        <v>409295</v>
      </c>
      <c r="H332" s="86">
        <f>data!BZ62</f>
        <v>0</v>
      </c>
      <c r="I332" s="86">
        <f>data!CA62</f>
        <v>72445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6098432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34546</v>
      </c>
      <c r="E334" s="86">
        <f>data!BW64</f>
        <v>2784</v>
      </c>
      <c r="F334" s="86">
        <f>data!BX64</f>
        <v>0</v>
      </c>
      <c r="G334" s="86">
        <f>data!BY64</f>
        <v>5588</v>
      </c>
      <c r="H334" s="86">
        <f>data!BZ64</f>
        <v>0</v>
      </c>
      <c r="I334" s="86">
        <f>data!CA64</f>
        <v>1705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232138</v>
      </c>
      <c r="E336" s="86">
        <f>data!BW66</f>
        <v>207929</v>
      </c>
      <c r="F336" s="86">
        <f>data!BX66</f>
        <v>4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8947</v>
      </c>
      <c r="E337" s="86">
        <f>data!BW67</f>
        <v>10736</v>
      </c>
      <c r="F337" s="86">
        <f>data!BX67</f>
        <v>0</v>
      </c>
      <c r="G337" s="86">
        <f>data!BY67</f>
        <v>1534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396</v>
      </c>
      <c r="E338" s="86">
        <f>data!BW68</f>
        <v>0</v>
      </c>
      <c r="F338" s="86">
        <f>data!BX68</f>
        <v>0</v>
      </c>
      <c r="G338" s="86">
        <f>data!BY68</f>
        <v>6387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7983</v>
      </c>
      <c r="E339" s="86">
        <f>data!BW69</f>
        <v>21531</v>
      </c>
      <c r="F339" s="86">
        <f>data!BX69</f>
        <v>1259</v>
      </c>
      <c r="G339" s="86">
        <f>data!BY69</f>
        <v>16349</v>
      </c>
      <c r="H339" s="86">
        <f>data!BZ69</f>
        <v>0</v>
      </c>
      <c r="I339" s="86">
        <f>data!CA69</f>
        <v>602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916</v>
      </c>
      <c r="C341" s="14">
        <f>data!BU71</f>
        <v>0</v>
      </c>
      <c r="D341" s="14">
        <f>data!BV71</f>
        <v>592373</v>
      </c>
      <c r="E341" s="14">
        <f>data!BW71</f>
        <v>6344576</v>
      </c>
      <c r="F341" s="14">
        <f>data!BX71</f>
        <v>669379</v>
      </c>
      <c r="G341" s="14">
        <f>data!BY71</f>
        <v>2695433</v>
      </c>
      <c r="H341" s="14">
        <f>data!BZ71</f>
        <v>0</v>
      </c>
      <c r="I341" s="14">
        <f>data!CA71</f>
        <v>474115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917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918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919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920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921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922</v>
      </c>
      <c r="C348" s="85">
        <f>data!BU76</f>
        <v>0</v>
      </c>
      <c r="D348" s="85">
        <f>data!BV76</f>
        <v>560</v>
      </c>
      <c r="E348" s="85">
        <f>data!BW76</f>
        <v>672</v>
      </c>
      <c r="F348" s="85">
        <f>data!BX76</f>
        <v>0</v>
      </c>
      <c r="G348" s="85">
        <f>data!BY76</f>
        <v>96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923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924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925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909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962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BHC Fairfax Hospital Inc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911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963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915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1.5817307692307692</v>
      </c>
      <c r="E362" s="213"/>
      <c r="F362" s="207"/>
      <c r="G362" s="207"/>
      <c r="H362" s="207"/>
      <c r="I362" s="87">
        <f>data!CE60</f>
        <v>274.66432692307694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154203</v>
      </c>
      <c r="E363" s="214"/>
      <c r="F363" s="215"/>
      <c r="G363" s="215"/>
      <c r="H363" s="215"/>
      <c r="I363" s="86">
        <f>data!CE61</f>
        <v>21098060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27973</v>
      </c>
      <c r="E364" s="214"/>
      <c r="F364" s="215"/>
      <c r="G364" s="215"/>
      <c r="H364" s="215"/>
      <c r="I364" s="86">
        <f>data!CE62</f>
        <v>3827240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6164035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394</v>
      </c>
      <c r="E366" s="214"/>
      <c r="F366" s="215"/>
      <c r="G366" s="215"/>
      <c r="H366" s="215"/>
      <c r="I366" s="86">
        <f>data!CE64</f>
        <v>1938426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259889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22019</v>
      </c>
      <c r="E368" s="214"/>
      <c r="F368" s="215"/>
      <c r="G368" s="215"/>
      <c r="H368" s="215"/>
      <c r="I368" s="86">
        <f>data!CE66</f>
        <v>1849415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1318236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213611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2502</v>
      </c>
      <c r="E371" s="86">
        <f>data!CD69</f>
        <v>14337914</v>
      </c>
      <c r="F371" s="215"/>
      <c r="G371" s="215"/>
      <c r="H371" s="215"/>
      <c r="I371" s="86">
        <f>data!CE69</f>
        <v>15734578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373557</v>
      </c>
      <c r="F372" s="216"/>
      <c r="G372" s="216"/>
      <c r="H372" s="216"/>
      <c r="I372" s="14">
        <f>-data!CE70</f>
        <v>-373557</v>
      </c>
    </row>
    <row r="373" spans="1:9" ht="20.100000000000001" customHeight="1" x14ac:dyDescent="0.25">
      <c r="A373" s="23">
        <v>16</v>
      </c>
      <c r="B373" s="48" t="s">
        <v>916</v>
      </c>
      <c r="C373" s="86">
        <f>data!CB71</f>
        <v>0</v>
      </c>
      <c r="D373" s="86">
        <f>data!CC71</f>
        <v>207091</v>
      </c>
      <c r="E373" s="86">
        <f>data!CD71</f>
        <v>13964357</v>
      </c>
      <c r="F373" s="215"/>
      <c r="G373" s="215"/>
      <c r="H373" s="215"/>
      <c r="I373" s="14">
        <f>data!CE71</f>
        <v>52029933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917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918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146115965</v>
      </c>
    </row>
    <row r="377" spans="1:9" ht="20.100000000000001" customHeight="1" x14ac:dyDescent="0.25">
      <c r="A377" s="23">
        <v>20</v>
      </c>
      <c r="B377" s="48" t="s">
        <v>919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3468483</v>
      </c>
    </row>
    <row r="378" spans="1:9" ht="20.100000000000001" customHeight="1" x14ac:dyDescent="0.25">
      <c r="A378" s="23">
        <v>21</v>
      </c>
      <c r="B378" s="48" t="s">
        <v>920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149584448</v>
      </c>
    </row>
    <row r="379" spans="1:9" ht="20.100000000000001" customHeight="1" x14ac:dyDescent="0.25">
      <c r="A379" s="23" t="s">
        <v>921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922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82513</v>
      </c>
    </row>
    <row r="381" spans="1:9" ht="20.100000000000001" customHeight="1" x14ac:dyDescent="0.25">
      <c r="A381" s="23">
        <v>23</v>
      </c>
      <c r="B381" s="14" t="s">
        <v>923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151347</v>
      </c>
    </row>
    <row r="382" spans="1:9" ht="20.100000000000001" customHeight="1" x14ac:dyDescent="0.25">
      <c r="A382" s="23">
        <v>24</v>
      </c>
      <c r="B382" s="14" t="s">
        <v>924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16640</v>
      </c>
    </row>
    <row r="383" spans="1:9" ht="20.100000000000001" customHeight="1" x14ac:dyDescent="0.25">
      <c r="A383" s="23">
        <v>25</v>
      </c>
      <c r="B383" s="14" t="s">
        <v>925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174620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137.67903846153845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2020-09-16T23:44:59Z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