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4000" windowHeight="8916" firstSheet="6" activeTab="6"/>
  </bookViews>
  <sheets>
    <sheet name="Instructions" sheetId="6" r:id="rId1"/>
    <sheet name="Lookup" sheetId="10" state="hidden" r:id="rId2"/>
    <sheet name="DataEntry" sheetId="7" r:id="rId3"/>
    <sheet name="StockSolutionsHELP" sheetId="1" r:id="rId4"/>
    <sheet name="Calculate" sheetId="8" state="hidden" r:id="rId5"/>
    <sheet name="JarG" sheetId="4" r:id="rId6"/>
    <sheet name="JarSettingsHELP" sheetId="2" r:id="rId7"/>
    <sheet name="Calibrate Data" sheetId="15" r:id="rId8"/>
    <sheet name="HydraulicMixHELP" sheetId="13" r:id="rId9"/>
    <sheet name="NozzleMixHELP" sheetId="21" r:id="rId10"/>
    <sheet name="TurbineMixHELP" sheetId="16" r:id="rId11"/>
    <sheet name="PaddleMixHELP" sheetId="17" r:id="rId12"/>
    <sheet name="BeamMixHELP" sheetId="18" r:id="rId13"/>
    <sheet name="Database" sheetId="9" r:id="rId14"/>
    <sheet name="Sheet1" sheetId="19" r:id="rId15"/>
    <sheet name="Sheet2" sheetId="20" r:id="rId16"/>
  </sheets>
  <definedNames>
    <definedName name="_Regression_Int" localSheetId="3" hidden="1">1</definedName>
    <definedName name="Beam">BeamMixHELP!$A$1</definedName>
    <definedName name="Calculations">Calculate!$A$6:$CR$6</definedName>
    <definedName name="CheckDatabase">Lookup!$G$53</definedName>
    <definedName name="CheckRetrieveDate">Lookup!$D$53</definedName>
    <definedName name="DatabaseJar">Database!$A$5:$CS$10</definedName>
    <definedName name="DataEntryHome" localSheetId="1">Lookup!A1</definedName>
    <definedName name="DataEntryHome">DataEntry!A1</definedName>
    <definedName name="Dates1">Database!$A$5:$A$10</definedName>
    <definedName name="diameter">JarG!$C$5</definedName>
    <definedName name="diameter1">JarG!$N$5</definedName>
    <definedName name="Hydraulic">HydraulicMixHELP!$A$1</definedName>
    <definedName name="Input">DataEntry!$B$2:$H$44</definedName>
    <definedName name="Input1">DataEntry!$B$4:$E$4</definedName>
    <definedName name="Input2">DataEntry!$B$6:$H$6</definedName>
    <definedName name="Input3">DataEntry!$C$8:$H$9</definedName>
    <definedName name="Input4">DataEntry!$C$13:$H$14</definedName>
    <definedName name="Input5">DataEntry!$C$21:$G$21</definedName>
    <definedName name="Input6">DataEntry!$C$23:$H$23</definedName>
    <definedName name="Input7">DataEntry!$C$26:$H$26</definedName>
    <definedName name="Input8">DataEntry!$C$29:$H$29</definedName>
    <definedName name="Input9">DataEntry!$C$37:$H$43</definedName>
    <definedName name="InputDate">DataEntry!$B$1</definedName>
    <definedName name="Inputdatetest">Lookup!$G$49</definedName>
    <definedName name="JarSettings">JarSettingsHELP!$A$1</definedName>
    <definedName name="Lookup1">Lookup!$B$4:$E$4</definedName>
    <definedName name="Lookup2">Lookup!$B$6:$H$6</definedName>
    <definedName name="Lookup3">Lookup!$C$8:$H$9</definedName>
    <definedName name="Lookup4">Lookup!$C$13:$H$14</definedName>
    <definedName name="Lookup5">Lookup!$C$21:$G$21</definedName>
    <definedName name="Lookup6">Lookup!$C$23:$H$23</definedName>
    <definedName name="Lookup7">Lookup!$C$26:$H$26</definedName>
    <definedName name="Lookup8">Lookup!$C$29:$H$29</definedName>
    <definedName name="Lookup9">Lookup!$C$37:$H$43</definedName>
    <definedName name="Nozzle">NozzleMixHELP!$A$1</definedName>
    <definedName name="Paddle">PaddleMixHELP!$A$1</definedName>
    <definedName name="_xlnm.Print_Area" localSheetId="12">BeamMixHELP!$A$1:$L$41</definedName>
    <definedName name="_xlnm.Print_Area" localSheetId="7">'Calibrate Data'!$A$1:$F$63</definedName>
    <definedName name="_xlnm.Print_Area" localSheetId="8">HydraulicMixHELP!$A$1:$J$17</definedName>
    <definedName name="_xlnm.Print_Area" localSheetId="6">JarSettingsHELP!$A$1:$J$66</definedName>
    <definedName name="_xlnm.Print_Area" localSheetId="9">NozzleMixHELP!$A$1:$J$24</definedName>
    <definedName name="_xlnm.Print_Area" localSheetId="3">StockSolutionsHELP!$A$1:$H$65</definedName>
    <definedName name="_xlnm.Print_Area" localSheetId="10">TurbineMixHELP!$A$1:$M$53</definedName>
    <definedName name="SettingsHelp">JarSettingsHELP!$A$1:$J$66</definedName>
    <definedName name="Start">Database!$A$3</definedName>
    <definedName name="StockSolutionHelp">StockSolutionsHELP!$A$1</definedName>
    <definedName name="Table1">StockSolutionsHELP!$E$12:$G$19</definedName>
    <definedName name="Turbine">TurbineMixHELP!$A$1</definedName>
  </definedNames>
  <calcPr calcId="145621"/>
  <fileRecoveryPr autoRecover="0"/>
</workbook>
</file>

<file path=xl/calcChain.xml><?xml version="1.0" encoding="utf-8"?>
<calcChain xmlns="http://schemas.openxmlformats.org/spreadsheetml/2006/main">
  <c r="E9" i="13" l="1"/>
  <c r="F9" i="13"/>
  <c r="D9" i="13"/>
  <c r="C59" i="13" l="1"/>
  <c r="C58" i="13"/>
  <c r="C62" i="13" l="1"/>
  <c r="C60" i="13"/>
  <c r="C65" i="13" l="1"/>
  <c r="C66" i="13" s="1"/>
  <c r="F59" i="13"/>
  <c r="F62" i="13"/>
  <c r="F78" i="13" s="1"/>
  <c r="F58" i="13"/>
  <c r="D59" i="13"/>
  <c r="C72" i="13" l="1"/>
  <c r="C79" i="13" s="1"/>
  <c r="C71" i="13"/>
  <c r="F60" i="13"/>
  <c r="F65" i="13" s="1"/>
  <c r="F66" i="13" s="1"/>
  <c r="F77" i="13"/>
  <c r="F71" i="13" l="1"/>
  <c r="F72" i="13"/>
  <c r="F79" i="13" s="1"/>
  <c r="D62" i="13" l="1"/>
  <c r="D58" i="13"/>
  <c r="D60" i="13" s="1"/>
  <c r="D72" i="13" l="1"/>
  <c r="D71" i="13"/>
  <c r="D65" i="13"/>
  <c r="D66" i="13" s="1"/>
  <c r="D79" i="13" l="1"/>
  <c r="H3" i="4"/>
  <c r="R3" i="4"/>
  <c r="C8" i="4"/>
  <c r="N5" i="4"/>
  <c r="S20" i="4"/>
  <c r="N14" i="4"/>
  <c r="N10" i="4"/>
  <c r="N8" i="4"/>
  <c r="O23" i="4" l="1"/>
  <c r="P19" i="4"/>
  <c r="M21" i="4"/>
  <c r="P20" i="4"/>
  <c r="N22" i="4"/>
  <c r="Q21" i="4"/>
  <c r="S23" i="4"/>
  <c r="R22" i="4"/>
  <c r="M19" i="4"/>
  <c r="M20" i="4"/>
  <c r="N21" i="4"/>
  <c r="O22" i="4"/>
  <c r="P23" i="4"/>
  <c r="Q19" i="4"/>
  <c r="Q20" i="4"/>
  <c r="R21" i="4"/>
  <c r="S22" i="4"/>
  <c r="M23" i="4"/>
  <c r="N19" i="4"/>
  <c r="N20" i="4"/>
  <c r="O21" i="4"/>
  <c r="P22" i="4"/>
  <c r="Q23" i="4"/>
  <c r="R19" i="4"/>
  <c r="R20" i="4"/>
  <c r="S21" i="4"/>
  <c r="M22" i="4"/>
  <c r="N23" i="4"/>
  <c r="O19" i="4"/>
  <c r="O20" i="4"/>
  <c r="P21" i="4"/>
  <c r="Q22" i="4"/>
  <c r="R23" i="4"/>
  <c r="S19" i="4"/>
  <c r="M21" i="2" l="1"/>
  <c r="L21" i="2"/>
  <c r="G21" i="2" l="1"/>
  <c r="O11" i="2"/>
  <c r="M11" i="2"/>
  <c r="D14" i="21"/>
  <c r="D15" i="21" s="1"/>
  <c r="D9" i="21"/>
  <c r="D10" i="21" s="1"/>
  <c r="C9" i="21"/>
  <c r="C10" i="21" s="1"/>
  <c r="D12" i="21"/>
  <c r="D18" i="21" s="1"/>
  <c r="D16" i="21" l="1"/>
  <c r="D19" i="21" s="1"/>
  <c r="L34" i="2"/>
  <c r="L30" i="2"/>
  <c r="L31" i="2" s="1"/>
  <c r="C12" i="21"/>
  <c r="C18" i="21" s="1"/>
  <c r="F6" i="21"/>
  <c r="F7" i="21" s="1"/>
  <c r="F8" i="21" s="1"/>
  <c r="F9" i="21" s="1"/>
  <c r="D10" i="2"/>
  <c r="M10" i="2" s="1"/>
  <c r="M12" i="2" s="1"/>
  <c r="N12" i="2" s="1"/>
  <c r="N10" i="2" s="1"/>
  <c r="D96" i="16"/>
  <c r="E99" i="16" s="1"/>
  <c r="D71" i="16"/>
  <c r="E74" i="16"/>
  <c r="F10" i="2"/>
  <c r="O10" i="2" s="1"/>
  <c r="O12" i="2" s="1"/>
  <c r="P12" i="2" s="1"/>
  <c r="P10" i="2" s="1"/>
  <c r="E10" i="2"/>
  <c r="C14" i="21"/>
  <c r="C15" i="21" s="1"/>
  <c r="E87" i="17"/>
  <c r="E88" i="17"/>
  <c r="E89" i="17"/>
  <c r="E90" i="17"/>
  <c r="E91" i="17"/>
  <c r="E92" i="17"/>
  <c r="E93" i="17"/>
  <c r="E94" i="17"/>
  <c r="E95" i="17"/>
  <c r="E96" i="17"/>
  <c r="E86" i="17"/>
  <c r="E62" i="17"/>
  <c r="D88" i="17"/>
  <c r="D89" i="17"/>
  <c r="D90" i="17"/>
  <c r="D91" i="17"/>
  <c r="D92" i="17"/>
  <c r="D93" i="17"/>
  <c r="D94" i="17"/>
  <c r="D95" i="17"/>
  <c r="D87" i="17"/>
  <c r="D97" i="17"/>
  <c r="E97" i="17"/>
  <c r="C87" i="17"/>
  <c r="C88" i="17" s="1"/>
  <c r="C89" i="17" s="1"/>
  <c r="C90" i="17" s="1"/>
  <c r="C91" i="17" s="1"/>
  <c r="C92" i="17" s="1"/>
  <c r="C93" i="17" s="1"/>
  <c r="C94" i="17" s="1"/>
  <c r="C95" i="17" s="1"/>
  <c r="D82" i="17"/>
  <c r="E85" i="17" s="1"/>
  <c r="E63" i="17"/>
  <c r="E64" i="17"/>
  <c r="E65" i="17"/>
  <c r="E66" i="17"/>
  <c r="E67" i="17"/>
  <c r="E68" i="17"/>
  <c r="E69" i="17"/>
  <c r="E70" i="17"/>
  <c r="E71" i="17"/>
  <c r="E72" i="17"/>
  <c r="D64" i="17"/>
  <c r="D65" i="17"/>
  <c r="D66" i="17"/>
  <c r="D67" i="17"/>
  <c r="D68" i="17"/>
  <c r="D69" i="17"/>
  <c r="D70" i="17"/>
  <c r="D71" i="17"/>
  <c r="D63" i="17"/>
  <c r="D73" i="17"/>
  <c r="E73" i="17"/>
  <c r="C63" i="17"/>
  <c r="C64" i="17" s="1"/>
  <c r="C65" i="17" s="1"/>
  <c r="C66" i="17" s="1"/>
  <c r="C67" i="17" s="1"/>
  <c r="C68" i="17" s="1"/>
  <c r="C69" i="17" s="1"/>
  <c r="C70" i="17" s="1"/>
  <c r="C71" i="17" s="1"/>
  <c r="D58" i="17"/>
  <c r="D59" i="17" s="1"/>
  <c r="D101" i="16"/>
  <c r="D102" i="16" s="1"/>
  <c r="D103" i="16" s="1"/>
  <c r="D76" i="16"/>
  <c r="D77" i="16" s="1"/>
  <c r="D111" i="16"/>
  <c r="C101" i="16"/>
  <c r="C102" i="16" s="1"/>
  <c r="C103" i="16" s="1"/>
  <c r="C104" i="16" s="1"/>
  <c r="C105" i="16" s="1"/>
  <c r="C106" i="16" s="1"/>
  <c r="C107" i="16" s="1"/>
  <c r="C108" i="16" s="1"/>
  <c r="C109" i="16" s="1"/>
  <c r="D86" i="16"/>
  <c r="C76" i="16"/>
  <c r="C77" i="16" s="1"/>
  <c r="C78" i="16" s="1"/>
  <c r="C79" i="16" s="1"/>
  <c r="C80" i="16" s="1"/>
  <c r="C81" i="16" s="1"/>
  <c r="C82" i="16" s="1"/>
  <c r="C83" i="16" s="1"/>
  <c r="C84" i="16" s="1"/>
  <c r="E21" i="2"/>
  <c r="F21" i="2"/>
  <c r="D21" i="2"/>
  <c r="C25" i="13"/>
  <c r="C26" i="13" s="1"/>
  <c r="D9" i="18"/>
  <c r="D10" i="18" s="1"/>
  <c r="E13" i="18"/>
  <c r="C14" i="18"/>
  <c r="C15" i="18" s="1"/>
  <c r="C16" i="18" s="1"/>
  <c r="C17" i="18" s="1"/>
  <c r="C18" i="18" s="1"/>
  <c r="C19" i="18" s="1"/>
  <c r="C20" i="18" s="1"/>
  <c r="C21" i="18" s="1"/>
  <c r="C22" i="18" s="1"/>
  <c r="D14" i="18"/>
  <c r="D15" i="18"/>
  <c r="D16" i="18"/>
  <c r="D17" i="18"/>
  <c r="D18" i="18"/>
  <c r="D19" i="18"/>
  <c r="D20" i="18"/>
  <c r="D21" i="18"/>
  <c r="D22" i="18"/>
  <c r="D24" i="18"/>
  <c r="B6" i="8"/>
  <c r="A6" i="8" s="1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BN6" i="8"/>
  <c r="BO6" i="8"/>
  <c r="BP6" i="8"/>
  <c r="BQ6" i="8"/>
  <c r="BR6" i="8"/>
  <c r="BS6" i="8"/>
  <c r="BT6" i="8"/>
  <c r="BU6" i="8"/>
  <c r="BV6" i="8"/>
  <c r="BW6" i="8"/>
  <c r="BX6" i="8"/>
  <c r="BY6" i="8"/>
  <c r="BZ6" i="8"/>
  <c r="CA6" i="8"/>
  <c r="CB6" i="8"/>
  <c r="CC6" i="8"/>
  <c r="CD6" i="8"/>
  <c r="CE6" i="8"/>
  <c r="CF6" i="8"/>
  <c r="CG6" i="8"/>
  <c r="CH6" i="8"/>
  <c r="CI6" i="8"/>
  <c r="CJ6" i="8"/>
  <c r="CK6" i="8"/>
  <c r="CL6" i="8"/>
  <c r="CM6" i="8"/>
  <c r="CN6" i="8"/>
  <c r="CO6" i="8"/>
  <c r="CP6" i="8"/>
  <c r="CQ6" i="8"/>
  <c r="CR6" i="8"/>
  <c r="B1" i="7"/>
  <c r="C24" i="7"/>
  <c r="D24" i="7"/>
  <c r="E24" i="7"/>
  <c r="F24" i="7"/>
  <c r="G24" i="7"/>
  <c r="H24" i="7"/>
  <c r="C27" i="7"/>
  <c r="D27" i="7"/>
  <c r="E27" i="7"/>
  <c r="F27" i="7"/>
  <c r="G27" i="7"/>
  <c r="H27" i="7"/>
  <c r="C30" i="7"/>
  <c r="D30" i="7"/>
  <c r="E30" i="7"/>
  <c r="F30" i="7"/>
  <c r="G30" i="7"/>
  <c r="H30" i="7"/>
  <c r="C34" i="7"/>
  <c r="D34" i="7"/>
  <c r="E34" i="7"/>
  <c r="F34" i="7"/>
  <c r="G34" i="7"/>
  <c r="H34" i="7"/>
  <c r="C35" i="7"/>
  <c r="D35" i="7"/>
  <c r="E35" i="7"/>
  <c r="F35" i="7"/>
  <c r="G35" i="7"/>
  <c r="H35" i="7"/>
  <c r="C36" i="7"/>
  <c r="D36" i="7"/>
  <c r="E36" i="7"/>
  <c r="F36" i="7"/>
  <c r="G36" i="7"/>
  <c r="H36" i="7"/>
  <c r="C44" i="7"/>
  <c r="D44" i="7"/>
  <c r="E44" i="7"/>
  <c r="F44" i="7"/>
  <c r="G44" i="7"/>
  <c r="H44" i="7"/>
  <c r="C9" i="13"/>
  <c r="C10" i="13" s="1"/>
  <c r="C27" i="13"/>
  <c r="C32" i="13"/>
  <c r="B13" i="6"/>
  <c r="C5" i="4"/>
  <c r="I21" i="4" s="1"/>
  <c r="C10" i="4"/>
  <c r="C14" i="4"/>
  <c r="H29" i="4"/>
  <c r="B32" i="4"/>
  <c r="C32" i="4" s="1"/>
  <c r="H33" i="4"/>
  <c r="E32" i="2"/>
  <c r="E34" i="2" s="1"/>
  <c r="L32" i="2"/>
  <c r="C34" i="10"/>
  <c r="D34" i="10"/>
  <c r="E34" i="10"/>
  <c r="F34" i="10"/>
  <c r="G34" i="10"/>
  <c r="H34" i="10"/>
  <c r="C35" i="10"/>
  <c r="D35" i="10"/>
  <c r="E35" i="10"/>
  <c r="F35" i="10"/>
  <c r="G35" i="10"/>
  <c r="H35" i="10"/>
  <c r="C36" i="10"/>
  <c r="D36" i="10"/>
  <c r="E36" i="10"/>
  <c r="F36" i="10"/>
  <c r="G36" i="10"/>
  <c r="H36" i="10"/>
  <c r="D49" i="10"/>
  <c r="B4" i="10" s="1"/>
  <c r="B1" i="10" s="1"/>
  <c r="G49" i="10"/>
  <c r="G48" i="10" s="1"/>
  <c r="D9" i="17"/>
  <c r="D10" i="17" s="1"/>
  <c r="E13" i="17"/>
  <c r="C14" i="17"/>
  <c r="C15" i="17" s="1"/>
  <c r="C16" i="17" s="1"/>
  <c r="C17" i="17" s="1"/>
  <c r="C18" i="17" s="1"/>
  <c r="C19" i="17" s="1"/>
  <c r="C20" i="17" s="1"/>
  <c r="C21" i="17" s="1"/>
  <c r="C22" i="17" s="1"/>
  <c r="D14" i="17"/>
  <c r="D15" i="17"/>
  <c r="D24" i="17"/>
  <c r="F15" i="1"/>
  <c r="C15" i="1" s="1"/>
  <c r="F16" i="1"/>
  <c r="C16" i="1" s="1"/>
  <c r="C17" i="1"/>
  <c r="F17" i="1"/>
  <c r="F18" i="1"/>
  <c r="C18" i="1" s="1"/>
  <c r="F19" i="1"/>
  <c r="C19" i="1" s="1"/>
  <c r="F20" i="1"/>
  <c r="C20" i="1" s="1"/>
  <c r="F21" i="1"/>
  <c r="C21" i="1" s="1"/>
  <c r="F22" i="1"/>
  <c r="C22" i="1" s="1"/>
  <c r="F23" i="1"/>
  <c r="C23" i="1" s="1"/>
  <c r="E25" i="1"/>
  <c r="F25" i="1" s="1"/>
  <c r="D42" i="1"/>
  <c r="E42" i="1"/>
  <c r="F42" i="1"/>
  <c r="D55" i="1"/>
  <c r="E55" i="1"/>
  <c r="F55" i="1"/>
  <c r="G55" i="1"/>
  <c r="D61" i="1"/>
  <c r="E61" i="1"/>
  <c r="F61" i="1"/>
  <c r="G61" i="1"/>
  <c r="D10" i="16"/>
  <c r="D11" i="16" s="1"/>
  <c r="C15" i="16"/>
  <c r="C16" i="16" s="1"/>
  <c r="C17" i="16" s="1"/>
  <c r="C18" i="16" s="1"/>
  <c r="C19" i="16" s="1"/>
  <c r="C20" i="16" s="1"/>
  <c r="C21" i="16" s="1"/>
  <c r="C22" i="16" s="1"/>
  <c r="C23" i="16" s="1"/>
  <c r="D15" i="16"/>
  <c r="D25" i="16"/>
  <c r="C38" i="10"/>
  <c r="C9" i="10"/>
  <c r="D16" i="16"/>
  <c r="D17" i="16" s="1"/>
  <c r="D18" i="16" s="1"/>
  <c r="D19" i="16" s="1"/>
  <c r="D20" i="16" s="1"/>
  <c r="D16" i="17"/>
  <c r="H40" i="10"/>
  <c r="F37" i="10"/>
  <c r="H26" i="10"/>
  <c r="H27" i="10" s="1"/>
  <c r="F23" i="10"/>
  <c r="F24" i="10" s="1"/>
  <c r="D14" i="10"/>
  <c r="B6" i="10"/>
  <c r="H21" i="4"/>
  <c r="D17" i="17"/>
  <c r="D18" i="17"/>
  <c r="D19" i="17"/>
  <c r="D20" i="17"/>
  <c r="D21" i="17"/>
  <c r="D22" i="17"/>
  <c r="E15" i="17"/>
  <c r="E21" i="17"/>
  <c r="E24" i="17"/>
  <c r="E23" i="17"/>
  <c r="E22" i="17"/>
  <c r="E17" i="17"/>
  <c r="E16" i="17"/>
  <c r="E18" i="17"/>
  <c r="E20" i="17"/>
  <c r="E14" i="17"/>
  <c r="E19" i="17"/>
  <c r="D72" i="16"/>
  <c r="E85" i="16" s="1"/>
  <c r="G43" i="10"/>
  <c r="D8" i="10"/>
  <c r="D37" i="10"/>
  <c r="F40" i="10"/>
  <c r="E4" i="10"/>
  <c r="F13" i="10"/>
  <c r="E38" i="10"/>
  <c r="E61" i="17"/>
  <c r="E15" i="18"/>
  <c r="E20" i="18"/>
  <c r="E21" i="18"/>
  <c r="E22" i="18"/>
  <c r="E14" i="18"/>
  <c r="E24" i="18"/>
  <c r="E23" i="18"/>
  <c r="E19" i="18"/>
  <c r="E18" i="18"/>
  <c r="E17" i="18"/>
  <c r="E16" i="18"/>
  <c r="D97" i="16"/>
  <c r="D83" i="17"/>
  <c r="E13" i="16"/>
  <c r="E19" i="4"/>
  <c r="E37" i="10"/>
  <c r="G14" i="10"/>
  <c r="F41" i="10"/>
  <c r="H38" i="10"/>
  <c r="C41" i="10"/>
  <c r="H8" i="10"/>
  <c r="H41" i="10"/>
  <c r="H43" i="10"/>
  <c r="C39" i="10"/>
  <c r="G42" i="10"/>
  <c r="C29" i="10"/>
  <c r="C30" i="10" s="1"/>
  <c r="E39" i="10"/>
  <c r="E86" i="16"/>
  <c r="E110" i="16"/>
  <c r="D22" i="4" l="1"/>
  <c r="D23" i="4"/>
  <c r="F23" i="4"/>
  <c r="C21" i="4"/>
  <c r="D20" i="4"/>
  <c r="I23" i="4"/>
  <c r="E20" i="4"/>
  <c r="E25" i="16"/>
  <c r="F10" i="13"/>
  <c r="F11" i="13" s="1"/>
  <c r="D10" i="13"/>
  <c r="C63" i="13"/>
  <c r="F63" i="13"/>
  <c r="D63" i="13"/>
  <c r="G23" i="2"/>
  <c r="F12" i="2"/>
  <c r="L23" i="2"/>
  <c r="F23" i="2"/>
  <c r="E12" i="2"/>
  <c r="D23" i="2"/>
  <c r="M23" i="2"/>
  <c r="E23" i="2"/>
  <c r="D12" i="2"/>
  <c r="E41" i="10"/>
  <c r="G37" i="10"/>
  <c r="E9" i="10"/>
  <c r="D43" i="10"/>
  <c r="H39" i="10"/>
  <c r="F14" i="10"/>
  <c r="D6" i="10"/>
  <c r="C43" i="10"/>
  <c r="H6" i="10"/>
  <c r="H14" i="10"/>
  <c r="H23" i="10"/>
  <c r="H24" i="10" s="1"/>
  <c r="D29" i="10"/>
  <c r="D30" i="10" s="1"/>
  <c r="D38" i="10"/>
  <c r="D42" i="10"/>
  <c r="C4" i="10"/>
  <c r="D13" i="10"/>
  <c r="C23" i="10"/>
  <c r="C24" i="10" s="1"/>
  <c r="G23" i="10"/>
  <c r="G24" i="10" s="1"/>
  <c r="G26" i="10"/>
  <c r="G27" i="10" s="1"/>
  <c r="G38" i="10"/>
  <c r="G29" i="10"/>
  <c r="G30" i="10" s="1"/>
  <c r="C21" i="10"/>
  <c r="D39" i="10"/>
  <c r="F6" i="10"/>
  <c r="F43" i="10"/>
  <c r="C40" i="10"/>
  <c r="E40" i="10"/>
  <c r="C37" i="10"/>
  <c r="C8" i="10"/>
  <c r="F42" i="10"/>
  <c r="F38" i="10"/>
  <c r="G13" i="10"/>
  <c r="D4" i="10"/>
  <c r="E42" i="10"/>
  <c r="F8" i="10"/>
  <c r="F21" i="10"/>
  <c r="D26" i="10"/>
  <c r="D27" i="10" s="1"/>
  <c r="F29" i="10"/>
  <c r="F30" i="10" s="1"/>
  <c r="F39" i="10"/>
  <c r="H42" i="10"/>
  <c r="C6" i="10"/>
  <c r="C14" i="10"/>
  <c r="G40" i="10"/>
  <c r="E26" i="10"/>
  <c r="E27" i="10" s="1"/>
  <c r="C42" i="10"/>
  <c r="G8" i="10"/>
  <c r="D21" i="10"/>
  <c r="E13" i="10"/>
  <c r="E8" i="10"/>
  <c r="E43" i="10"/>
  <c r="G39" i="10"/>
  <c r="E14" i="10"/>
  <c r="E6" i="10"/>
  <c r="D41" i="10"/>
  <c r="H37" i="10"/>
  <c r="C13" i="10"/>
  <c r="G41" i="10"/>
  <c r="D9" i="10"/>
  <c r="D23" i="10"/>
  <c r="D24" i="10" s="1"/>
  <c r="F26" i="10"/>
  <c r="F27" i="10" s="1"/>
  <c r="H29" i="10"/>
  <c r="H30" i="10" s="1"/>
  <c r="D40" i="10"/>
  <c r="G6" i="10"/>
  <c r="G44" i="10" s="1"/>
  <c r="E21" i="10"/>
  <c r="E23" i="10"/>
  <c r="E24" i="10" s="1"/>
  <c r="C26" i="10"/>
  <c r="C27" i="10" s="1"/>
  <c r="E29" i="10"/>
  <c r="E30" i="10" s="1"/>
  <c r="C28" i="13"/>
  <c r="C29" i="13" s="1"/>
  <c r="C30" i="13" s="1"/>
  <c r="C31" i="13" s="1"/>
  <c r="C11" i="13"/>
  <c r="F48" i="10"/>
  <c r="G51" i="10" s="1"/>
  <c r="G53" i="10" s="1"/>
  <c r="E111" i="16"/>
  <c r="E75" i="16"/>
  <c r="E12" i="18"/>
  <c r="E15" i="16"/>
  <c r="D78" i="16"/>
  <c r="E77" i="16"/>
  <c r="D21" i="16"/>
  <c r="D22" i="16" s="1"/>
  <c r="D23" i="16" s="1"/>
  <c r="E20" i="16"/>
  <c r="E103" i="16"/>
  <c r="D104" i="16"/>
  <c r="G19" i="4"/>
  <c r="E100" i="16"/>
  <c r="E102" i="16"/>
  <c r="E23" i="4"/>
  <c r="H22" i="4"/>
  <c r="H19" i="4"/>
  <c r="G23" i="4"/>
  <c r="C19" i="4"/>
  <c r="G20" i="4"/>
  <c r="E22" i="4"/>
  <c r="H23" i="4"/>
  <c r="E101" i="16"/>
  <c r="H20" i="4"/>
  <c r="E12" i="17"/>
  <c r="G21" i="4"/>
  <c r="I20" i="4"/>
  <c r="F22" i="4"/>
  <c r="D19" i="4"/>
  <c r="F19" i="4"/>
  <c r="D21" i="4"/>
  <c r="G22" i="4"/>
  <c r="E22" i="16"/>
  <c r="L33" i="2"/>
  <c r="I34" i="2" s="1"/>
  <c r="I36" i="2" s="1"/>
  <c r="E76" i="16"/>
  <c r="I19" i="4"/>
  <c r="C23" i="4"/>
  <c r="F20" i="4"/>
  <c r="C22" i="4"/>
  <c r="E21" i="4"/>
  <c r="C20" i="4"/>
  <c r="F21" i="4"/>
  <c r="I22" i="4"/>
  <c r="E14" i="16"/>
  <c r="E23" i="16"/>
  <c r="E16" i="16"/>
  <c r="E21" i="16"/>
  <c r="E17" i="16"/>
  <c r="E19" i="16"/>
  <c r="E18" i="16"/>
  <c r="E24" i="16"/>
  <c r="C16" i="21"/>
  <c r="C19" i="21" s="1"/>
  <c r="D11" i="13" l="1"/>
  <c r="E10" i="13"/>
  <c r="E11" i="13" s="1"/>
  <c r="C34" i="13"/>
  <c r="D38" i="13" s="1"/>
  <c r="F44" i="10"/>
  <c r="C44" i="10"/>
  <c r="D51" i="10"/>
  <c r="D53" i="10" s="1"/>
  <c r="D44" i="10"/>
  <c r="H44" i="10"/>
  <c r="E44" i="10"/>
  <c r="E104" i="16"/>
  <c r="D105" i="16"/>
  <c r="D79" i="16"/>
  <c r="E78" i="16"/>
  <c r="D37" i="13" l="1"/>
  <c r="D36" i="13"/>
  <c r="D80" i="16"/>
  <c r="E79" i="16"/>
  <c r="E105" i="16"/>
  <c r="D106" i="16"/>
  <c r="E106" i="16" l="1"/>
  <c r="D107" i="16"/>
  <c r="D81" i="16"/>
  <c r="E80" i="16"/>
  <c r="D82" i="16" l="1"/>
  <c r="E81" i="16"/>
  <c r="D108" i="16"/>
  <c r="E107" i="16"/>
  <c r="E108" i="16" l="1"/>
  <c r="D109" i="16"/>
  <c r="E109" i="16" s="1"/>
  <c r="E82" i="16"/>
  <c r="D83" i="16"/>
  <c r="E83" i="16" l="1"/>
  <c r="D84" i="16"/>
  <c r="E84" i="16" s="1"/>
</calcChain>
</file>

<file path=xl/comments1.xml><?xml version="1.0" encoding="utf-8"?>
<comments xmlns="http://schemas.openxmlformats.org/spreadsheetml/2006/main">
  <authors>
    <author>Larry DeMers</author>
    <author>Jack C. Schulze, P.E.</author>
    <author>Larry</author>
  </authors>
  <commentList>
    <comment ref="F3" authorId="0">
      <text>
        <r>
          <rPr>
            <b/>
            <sz val="10"/>
            <color indexed="81"/>
            <rFont val="Tahoma"/>
            <family val="2"/>
          </rPr>
          <t>Use this button to retrieve historical data from the database.</t>
        </r>
      </text>
    </comment>
    <comment ref="H3" authorId="0">
      <text>
        <r>
          <rPr>
            <b/>
            <sz val="10"/>
            <color indexed="81"/>
            <rFont val="Tahoma"/>
            <family val="2"/>
          </rPr>
          <t>Enter date jar test was performed</t>
        </r>
      </text>
    </comment>
    <comment ref="C4" authorId="1">
      <text>
        <r>
          <rPr>
            <b/>
            <sz val="9"/>
            <color indexed="81"/>
            <rFont val="Tahoma"/>
            <family val="2"/>
          </rPr>
          <t>You must enter a date before the data can be posted to the database.</t>
        </r>
      </text>
    </comment>
    <comment ref="E4" authorId="0">
      <text>
        <r>
          <rPr>
            <b/>
            <sz val="10"/>
            <color indexed="81"/>
            <rFont val="Tahoma"/>
            <family val="2"/>
          </rPr>
          <t>Enter time in military format but use a colon, for example, 9:30 PM can either be entered as 9:30 pm or 21:30.</t>
        </r>
      </text>
    </comment>
    <comment ref="H4" authorId="0">
      <text>
        <r>
          <rPr>
            <b/>
            <sz val="10"/>
            <color indexed="81"/>
            <rFont val="Tahoma"/>
            <family val="2"/>
          </rPr>
          <t>Enter the number of the jar test (for example, 1)</t>
        </r>
      </text>
    </comment>
    <comment ref="E6" authorId="2">
      <text>
        <r>
          <rPr>
            <b/>
            <sz val="9"/>
            <color indexed="81"/>
            <rFont val="Tahoma"/>
            <family val="2"/>
          </rPr>
          <t>Accurate mixing energy (G value) calculations require current water temperature entry.</t>
        </r>
      </text>
    </comment>
  </commentList>
</comments>
</file>

<file path=xl/comments2.xml><?xml version="1.0" encoding="utf-8"?>
<comments xmlns="http://schemas.openxmlformats.org/spreadsheetml/2006/main">
  <authors>
    <author>Larry DeMers</author>
  </authors>
  <commentList>
    <comment ref="E11" authorId="0">
      <text>
        <r>
          <rPr>
            <b/>
            <sz val="10"/>
            <color indexed="81"/>
            <rFont val="Tahoma"/>
            <family val="2"/>
          </rPr>
          <t>Typically, this will be the volume of the jars that you are using.  If you are mixing sludge and raw water in a jar, the raw water volume will be less than the jar capacity.</t>
        </r>
      </text>
    </comment>
    <comment ref="D60" authorId="0">
      <text>
        <r>
          <rPr>
            <b/>
            <sz val="10"/>
            <color indexed="81"/>
            <rFont val="Tahoma"/>
            <family val="2"/>
          </rPr>
          <t>Input known product strength or calculated value from Table 2.</t>
        </r>
      </text>
    </comment>
    <comment ref="E60" authorId="0">
      <text>
        <r>
          <rPr>
            <b/>
            <sz val="10"/>
            <color indexed="81"/>
            <rFont val="Tahoma"/>
            <family val="2"/>
          </rPr>
          <t>Input known product strength or calculated value from Table 2.</t>
        </r>
      </text>
    </comment>
    <comment ref="F60" authorId="0">
      <text>
        <r>
          <rPr>
            <b/>
            <sz val="10"/>
            <color indexed="81"/>
            <rFont val="Tahoma"/>
            <family val="2"/>
          </rPr>
          <t>Input known product strength or calculated value from Table 2.</t>
        </r>
      </text>
    </comment>
  </commentList>
</comments>
</file>

<file path=xl/comments3.xml><?xml version="1.0" encoding="utf-8"?>
<comments xmlns="http://schemas.openxmlformats.org/spreadsheetml/2006/main">
  <authors>
    <author>LDD</author>
    <author>Larry DeMers</author>
  </authors>
  <commentList>
    <comment ref="D11" authorId="0">
      <text>
        <r>
          <rPr>
            <b/>
            <sz val="10"/>
            <color indexed="81"/>
            <rFont val="Tahoma"/>
            <family val="2"/>
          </rPr>
          <t>Enter mixing energy (G) for rapid mix</t>
        </r>
      </text>
    </comment>
    <comment ref="E11" authorId="0">
      <text>
        <r>
          <rPr>
            <b/>
            <sz val="10"/>
            <color indexed="81"/>
            <rFont val="Tahoma"/>
            <family val="2"/>
          </rPr>
          <t>Enter mixing energy (G) for rapid mix</t>
        </r>
      </text>
    </comment>
    <comment ref="F11" authorId="0">
      <text>
        <r>
          <rPr>
            <b/>
            <sz val="10"/>
            <color indexed="81"/>
            <rFont val="Tahoma"/>
            <family val="2"/>
          </rPr>
          <t>Enter mixing energy (G) for rapid mix</t>
        </r>
      </text>
    </comment>
    <comment ref="N11" authorId="1">
      <text>
        <r>
          <rPr>
            <b/>
            <sz val="9"/>
            <color indexed="81"/>
            <rFont val="Tahoma"/>
            <family val="2"/>
          </rPr>
          <t>G value at 300 rpm</t>
        </r>
      </text>
    </comment>
    <comment ref="D22" authorId="0">
      <text>
        <r>
          <rPr>
            <b/>
            <sz val="10"/>
            <color indexed="81"/>
            <rFont val="Tahoma"/>
            <family val="2"/>
          </rPr>
          <t>Enter mixing energy (G) for 1st stage</t>
        </r>
      </text>
    </comment>
    <comment ref="E22" authorId="0">
      <text>
        <r>
          <rPr>
            <b/>
            <sz val="10"/>
            <color indexed="81"/>
            <rFont val="Tahoma"/>
            <family val="2"/>
          </rPr>
          <t>Enter mixing energy (G) for 2nd stage</t>
        </r>
      </text>
    </comment>
    <comment ref="F22" authorId="0">
      <text>
        <r>
          <rPr>
            <b/>
            <sz val="10"/>
            <color indexed="81"/>
            <rFont val="Tahoma"/>
            <family val="2"/>
          </rPr>
          <t>Enter mixing energy (G) for 3rd stage</t>
        </r>
      </text>
    </comment>
    <comment ref="G22" authorId="0">
      <text>
        <r>
          <rPr>
            <b/>
            <sz val="10"/>
            <color indexed="81"/>
            <rFont val="Tahoma"/>
            <family val="2"/>
          </rPr>
          <t>Enter mixing energy (G) for 4th stage</t>
        </r>
      </text>
    </comment>
    <comment ref="D23" authorId="0">
      <text>
        <r>
          <rPr>
            <b/>
            <sz val="10"/>
            <color indexed="81"/>
            <rFont val="Tahoma"/>
            <family val="2"/>
          </rPr>
          <t>Correct RPM requires water temperature input (cell E6; DataEntry)</t>
        </r>
      </text>
    </comment>
    <comment ref="E23" authorId="0">
      <text>
        <r>
          <rPr>
            <b/>
            <sz val="10"/>
            <color indexed="81"/>
            <rFont val="Tahoma"/>
            <family val="2"/>
          </rPr>
          <t>Correct RPM requires water temperature input (cell E6; DataEntry)</t>
        </r>
      </text>
    </comment>
    <comment ref="F23" authorId="0">
      <text>
        <r>
          <rPr>
            <b/>
            <sz val="10"/>
            <color indexed="81"/>
            <rFont val="Tahoma"/>
            <family val="2"/>
          </rPr>
          <t>Correct RPM requires water temperature input (cell E6; DataEntry)</t>
        </r>
      </text>
    </comment>
    <comment ref="G23" authorId="0">
      <text>
        <r>
          <rPr>
            <b/>
            <sz val="10"/>
            <color indexed="81"/>
            <rFont val="Tahoma"/>
            <family val="2"/>
          </rPr>
          <t>Correct RPM requires water temperature input (cell E6; DataEntry)</t>
        </r>
      </text>
    </comment>
    <comment ref="L23" authorId="0">
      <text>
        <r>
          <rPr>
            <b/>
            <sz val="10"/>
            <color indexed="81"/>
            <rFont val="Tahoma"/>
            <family val="2"/>
          </rPr>
          <t>Correct RPM requires water temperature input (cell E6; DataEntry)</t>
        </r>
      </text>
    </comment>
    <comment ref="M23" authorId="0">
      <text>
        <r>
          <rPr>
            <b/>
            <sz val="10"/>
            <color indexed="81"/>
            <rFont val="Tahoma"/>
            <family val="2"/>
          </rPr>
          <t>Correct RPM requires water temperature input (cell E6; DataEntry)</t>
        </r>
      </text>
    </comment>
    <comment ref="G29" authorId="1">
      <text>
        <r>
          <rPr>
            <b/>
            <sz val="9"/>
            <color indexed="81"/>
            <rFont val="Tahoma"/>
            <family val="2"/>
          </rPr>
          <t>Distance between parallel tubes or plates</t>
        </r>
      </text>
    </comment>
    <comment ref="I29" authorId="0">
      <text>
        <r>
          <rPr>
            <b/>
            <sz val="10"/>
            <color indexed="81"/>
            <rFont val="Tahoma"/>
            <family val="2"/>
          </rPr>
          <t>Enter tube opening (typ. ~ 2 inch); for plate, distance between plate</t>
        </r>
      </text>
    </comment>
    <comment ref="I30" authorId="0">
      <text>
        <r>
          <rPr>
            <b/>
            <sz val="10"/>
            <color indexed="81"/>
            <rFont val="Tahoma"/>
            <family val="2"/>
          </rPr>
          <t>Enter tube or plate angle (typ. 60 degrees for tubes)</t>
        </r>
      </text>
    </comment>
    <comment ref="E31" authorId="0">
      <text>
        <r>
          <rPr>
            <b/>
            <sz val="10"/>
            <color indexed="81"/>
            <rFont val="Tahoma"/>
            <family val="2"/>
          </rPr>
          <t>Enter total surface area of sed basins</t>
        </r>
      </text>
    </comment>
    <comment ref="I31" authorId="0">
      <text>
        <r>
          <rPr>
            <b/>
            <sz val="10"/>
            <color indexed="81"/>
            <rFont val="Tahoma"/>
            <family val="2"/>
          </rPr>
          <t>Enter tube or plate vertical depth</t>
        </r>
      </text>
    </comment>
    <comment ref="E33" authorId="0">
      <text>
        <r>
          <rPr>
            <b/>
            <sz val="10"/>
            <color indexed="81"/>
            <rFont val="Tahoma"/>
            <family val="2"/>
          </rPr>
          <t>Enter time  following flocculation for jars to become quiescent  (estimated 0.5 to 2 minutes)</t>
        </r>
      </text>
    </comment>
    <comment ref="I33" authorId="0">
      <text>
        <r>
          <rPr>
            <b/>
            <sz val="10"/>
            <color indexed="81"/>
            <rFont val="Tahoma"/>
            <family val="2"/>
          </rPr>
          <t>Enter area of tube settlers or plates</t>
        </r>
      </text>
    </comment>
    <comment ref="I35" authorId="0">
      <text>
        <r>
          <rPr>
            <b/>
            <sz val="10"/>
            <color indexed="81"/>
            <rFont val="Tahoma"/>
            <family val="2"/>
          </rPr>
          <t>Enter time  following flocculation for jars to become quiescent  (estimated 0.5 to 1 minutes)</t>
        </r>
      </text>
    </comment>
  </commentList>
</comments>
</file>

<file path=xl/comments4.xml><?xml version="1.0" encoding="utf-8"?>
<comments xmlns="http://schemas.openxmlformats.org/spreadsheetml/2006/main">
  <authors>
    <author>Larry DeMers</author>
    <author>John Williams</author>
  </authors>
  <commentList>
    <comment ref="B7" authorId="0">
      <text>
        <r>
          <rPr>
            <b/>
            <sz val="8"/>
            <color indexed="81"/>
            <rFont val="Tahoma"/>
            <family val="2"/>
          </rPr>
          <t>For open basins, input change in water elevation. Between inlet and outlet.  For pipeline flow, use equation below to estimate head loss.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See table below for C values</t>
        </r>
      </text>
    </comment>
    <comment ref="C32" authorId="1">
      <text>
        <r>
          <rPr>
            <sz val="8"/>
            <color indexed="81"/>
            <rFont val="Tahoma"/>
            <family val="2"/>
          </rPr>
          <t>Pipeline lengths in excess of 500 diameters are usually classified as long.  Minor losses can be ignored for "long" pipelines. (1)</t>
        </r>
      </text>
    </comment>
  </commentList>
</comments>
</file>

<file path=xl/comments5.xml><?xml version="1.0" encoding="utf-8"?>
<comments xmlns="http://schemas.openxmlformats.org/spreadsheetml/2006/main">
  <authors>
    <author>Larry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Typical value for coefficient of discharge is 0.75.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Typical value for coefficient of discharge is 0.75.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Area of the inner orifice of nozzle.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Area of the inner orifice of nozzle.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Obtain from pump curve or estimate at 3 % of design flow rate.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Obtain from pump curve or estimate at 3 % of design flow rate.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Mixing zone length estimated at 1.5 times the pipe diameter.</t>
        </r>
      </text>
    </comment>
  </commentList>
</comments>
</file>

<file path=xl/comments6.xml><?xml version="1.0" encoding="utf-8"?>
<comments xmlns="http://schemas.openxmlformats.org/spreadsheetml/2006/main">
  <authors>
    <author>Larry DeMers</author>
    <author>Jack C. Schulze, P.E.</author>
  </authors>
  <commentList>
    <comment ref="D6" authorId="0">
      <text>
        <r>
          <rPr>
            <b/>
            <sz val="8"/>
            <color indexed="81"/>
            <rFont val="Tahoma"/>
            <family val="2"/>
          </rPr>
          <t>Enter impeller number from table below based on type.</t>
        </r>
      </text>
    </comment>
    <comment ref="D7" authorId="0">
      <text>
        <r>
          <rPr>
            <b/>
            <sz val="8"/>
            <color indexed="81"/>
            <rFont val="Tahoma"/>
            <family val="2"/>
          </rPr>
          <t xml:space="preserve">Enter the volume of individual chamber/stage in the rapid mix or flocculator.
</t>
        </r>
      </text>
    </comment>
    <comment ref="C14" authorId="1">
      <text>
        <r>
          <rPr>
            <b/>
            <sz val="8"/>
            <color indexed="81"/>
            <rFont val="Tahoma"/>
            <family val="2"/>
          </rPr>
          <t>Enter the lowest setting that you can use on your mixer's controller.
(We have shown the units as "%" but if the units on your controller are just numbers, just enter the lowest number . . . It doesn't have to be in "%".)</t>
        </r>
      </text>
    </comment>
    <comment ref="D14" authorId="1">
      <text>
        <r>
          <rPr>
            <b/>
            <sz val="8"/>
            <color indexed="81"/>
            <rFont val="Tahoma"/>
            <family val="2"/>
          </rPr>
          <t>Enter the minimum speed (in RPM) of the mixer that exists when the controller is set at its lowest setting.</t>
        </r>
      </text>
    </comment>
    <comment ref="C24" authorId="1">
      <text>
        <r>
          <rPr>
            <b/>
            <sz val="8"/>
            <color indexed="81"/>
            <rFont val="Tahoma"/>
            <family val="2"/>
          </rPr>
          <t>Enter the highest setting that you can use on your mixer's controller.
(We have shown the units as "%" but if the units on your controller are just numbers, just enter the highest number . . . It doesn't have to be in "%".)</t>
        </r>
      </text>
    </comment>
    <comment ref="D24" authorId="1">
      <text>
        <r>
          <rPr>
            <b/>
            <sz val="8"/>
            <color indexed="81"/>
            <rFont val="Tahoma"/>
            <family val="2"/>
          </rPr>
          <t>Insert the maximum speed (in RPM) of the mixer that exists when the controller is set at its highest setting.</t>
        </r>
      </text>
    </comment>
    <comment ref="C25" authorId="1">
      <text>
        <r>
          <rPr>
            <b/>
            <sz val="8"/>
            <color indexed="81"/>
            <rFont val="Tahoma"/>
            <family val="2"/>
          </rPr>
          <t>Enter the current setting of the mixer controller.
(We have shown the units as "%" but if the units on your controller are just numbers, just enter the highest number . . . It doesn't have to be in "%".)</t>
        </r>
      </text>
    </comment>
    <comment ref="D67" authorId="0">
      <text>
        <r>
          <rPr>
            <b/>
            <sz val="8"/>
            <color indexed="81"/>
            <rFont val="Tahoma"/>
            <family val="2"/>
          </rPr>
          <t>Enter impeller number from table below based on type.</t>
        </r>
      </text>
    </comment>
    <comment ref="D68" authorId="0">
      <text>
        <r>
          <rPr>
            <b/>
            <sz val="8"/>
            <color indexed="81"/>
            <rFont val="Tahoma"/>
            <family val="2"/>
          </rPr>
          <t xml:space="preserve">Enter the volume of individual chamber/stage in the rapid mix or flocculator.
</t>
        </r>
      </text>
    </comment>
    <comment ref="C75" authorId="1">
      <text>
        <r>
          <rPr>
            <b/>
            <sz val="8"/>
            <color indexed="81"/>
            <rFont val="Tahoma"/>
            <family val="2"/>
          </rPr>
          <t>Enter the lowest setting that you can use on your mixer's controller.
(We have shown the units as "%" but if the units on your controller are just numbers, just enter the lowest number . . . It doesn't have to be in "%".)</t>
        </r>
      </text>
    </comment>
    <comment ref="D75" authorId="1">
      <text>
        <r>
          <rPr>
            <b/>
            <sz val="8"/>
            <color indexed="81"/>
            <rFont val="Tahoma"/>
            <family val="2"/>
          </rPr>
          <t>Enter the minimum speed (in RPM) of the mixer that exists when the controller is set at its lowest setting.</t>
        </r>
      </text>
    </comment>
    <comment ref="C85" authorId="1">
      <text>
        <r>
          <rPr>
            <b/>
            <sz val="8"/>
            <color indexed="81"/>
            <rFont val="Tahoma"/>
            <family val="2"/>
          </rPr>
          <t>Enter the highest setting that you can use on your mixer's controller.
(We have shown the units as "%" but if the units on your controller are just numbers, just enter the highest number . . . It doesn't have to be in "%".)</t>
        </r>
      </text>
    </comment>
    <comment ref="D85" authorId="1">
      <text>
        <r>
          <rPr>
            <b/>
            <sz val="8"/>
            <color indexed="81"/>
            <rFont val="Tahoma"/>
            <family val="2"/>
          </rPr>
          <t>Insert the maximum speed (in RPM) of the mixer that exists when the controller is set at its highest setting.</t>
        </r>
      </text>
    </comment>
    <comment ref="C86" authorId="1">
      <text>
        <r>
          <rPr>
            <b/>
            <sz val="8"/>
            <color indexed="81"/>
            <rFont val="Tahoma"/>
            <family val="2"/>
          </rPr>
          <t>Enter the current setting of the mixer controller.
(We have shown the units as "%" but if the units on your controller are just numbers, just enter the highest number . . . It doesn't have to be in "%".)</t>
        </r>
      </text>
    </comment>
    <comment ref="D92" authorId="0">
      <text>
        <r>
          <rPr>
            <b/>
            <sz val="8"/>
            <color indexed="81"/>
            <rFont val="Tahoma"/>
            <family val="2"/>
          </rPr>
          <t>Enter impeller number from table below based on type.</t>
        </r>
      </text>
    </comment>
    <comment ref="D93" authorId="0">
      <text>
        <r>
          <rPr>
            <b/>
            <sz val="8"/>
            <color indexed="81"/>
            <rFont val="Tahoma"/>
            <family val="2"/>
          </rPr>
          <t xml:space="preserve">Enter the volume of individual chamber/stage in the rapid mix or flocculator.
</t>
        </r>
      </text>
    </comment>
    <comment ref="C100" authorId="1">
      <text>
        <r>
          <rPr>
            <b/>
            <sz val="8"/>
            <color indexed="81"/>
            <rFont val="Tahoma"/>
            <family val="2"/>
          </rPr>
          <t>Enter the lowest setting that you can use on your mixer's controller.
(We have shown the units as "%" but if the units on your controller are just numbers, just enter the lowest number . . . It doesn't have to be in "%".)</t>
        </r>
      </text>
    </comment>
    <comment ref="D100" authorId="1">
      <text>
        <r>
          <rPr>
            <b/>
            <sz val="8"/>
            <color indexed="81"/>
            <rFont val="Tahoma"/>
            <family val="2"/>
          </rPr>
          <t>Enter the minimum speed (in RPM) of the mixer that exists when the controller is set at its lowest setting.</t>
        </r>
      </text>
    </comment>
    <comment ref="C110" authorId="1">
      <text>
        <r>
          <rPr>
            <b/>
            <sz val="8"/>
            <color indexed="81"/>
            <rFont val="Tahoma"/>
            <family val="2"/>
          </rPr>
          <t>Enter the highest setting that you can use on your mixer's controller.
(We have shown the units as "%" but if the units on your controller are just numbers, just enter the highest number . . . It doesn't have to be in "%".)</t>
        </r>
      </text>
    </comment>
    <comment ref="D110" authorId="1">
      <text>
        <r>
          <rPr>
            <b/>
            <sz val="8"/>
            <color indexed="81"/>
            <rFont val="Tahoma"/>
            <family val="2"/>
          </rPr>
          <t>Insert the maximum speed (in RPM) of the mixer that exists when the controller is set at its highest setting.</t>
        </r>
      </text>
    </comment>
    <comment ref="C111" authorId="1">
      <text>
        <r>
          <rPr>
            <b/>
            <sz val="8"/>
            <color indexed="81"/>
            <rFont val="Tahoma"/>
            <family val="2"/>
          </rPr>
          <t>Enter the current setting of the mixer controller.
(We have shown the units as "%" but if the units on your controller are just numbers, just enter the highest number . . . It doesn't have to be in "%".)</t>
        </r>
      </text>
    </comment>
  </commentList>
</comments>
</file>

<file path=xl/comments7.xml><?xml version="1.0" encoding="utf-8"?>
<comments xmlns="http://schemas.openxmlformats.org/spreadsheetml/2006/main">
  <authors>
    <author>Larry DeMers</author>
    <author>Jack C. Schulze, P.E.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Typical value for flat paddle is 1.8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Enter total area of flocculator paddles in stage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Enter volume of floccuation stage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" authorId="1">
      <text>
        <r>
          <rPr>
            <b/>
            <sz val="8"/>
            <color indexed="81"/>
            <rFont val="Tahoma"/>
            <family val="2"/>
          </rPr>
          <t>Enter the lowest setting that you can use on your mixer's controller.
(We have shown the units as "%" but if the units on your controller are just numbers, just enter the lowest number . . . It doesn't have to be in "%".)</t>
        </r>
      </text>
    </comment>
    <comment ref="D13" authorId="1">
      <text>
        <r>
          <rPr>
            <b/>
            <sz val="8"/>
            <color indexed="81"/>
            <rFont val="Tahoma"/>
            <family val="2"/>
          </rPr>
          <t>Enter the minimmum speed (in RPM) of the mixer that exists when the controller is set at its lowest setting.</t>
        </r>
      </text>
    </comment>
    <comment ref="D23" authorId="1">
      <text>
        <r>
          <rPr>
            <b/>
            <sz val="8"/>
            <color indexed="81"/>
            <rFont val="Tahoma"/>
            <family val="2"/>
          </rPr>
          <t>Insert the maximum speed (in RPM) of the mixer that exists when the controller is set at its highest setting.</t>
        </r>
      </text>
    </comment>
    <comment ref="C24" authorId="1">
      <text>
        <r>
          <rPr>
            <b/>
            <sz val="8"/>
            <color indexed="81"/>
            <rFont val="Tahoma"/>
            <family val="2"/>
          </rPr>
          <t>Enter the current setting of the mixer controller.
(We have shown the units as "%" but if the units on your controller are just numbers, just enter the highest number . . . It doesn't have to be in "%".)</t>
        </r>
      </text>
    </comment>
    <comment ref="D54" authorId="0">
      <text>
        <r>
          <rPr>
            <b/>
            <sz val="8"/>
            <color indexed="81"/>
            <rFont val="Tahoma"/>
            <family val="2"/>
          </rPr>
          <t>Typical value for flat paddle is 1.8</t>
        </r>
      </text>
    </comment>
    <comment ref="D55" authorId="0">
      <text>
        <r>
          <rPr>
            <b/>
            <sz val="8"/>
            <color indexed="81"/>
            <rFont val="Tahoma"/>
            <family val="2"/>
          </rPr>
          <t>Enter total area of flocculator paddles in stage</t>
        </r>
      </text>
    </comment>
    <comment ref="D57" authorId="0">
      <text>
        <r>
          <rPr>
            <b/>
            <sz val="8"/>
            <color indexed="81"/>
            <rFont val="Tahoma"/>
            <family val="2"/>
          </rPr>
          <t>Enter volume of floccuation stage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2" authorId="1">
      <text>
        <r>
          <rPr>
            <b/>
            <sz val="8"/>
            <color indexed="81"/>
            <rFont val="Tahoma"/>
            <family val="2"/>
          </rPr>
          <t>Enter the lowest setting that you can use on your mixer's controller.
(We have shown the units as "%" but if the units on your controller are just numbers, just enter the lowest number . . . It doesn't have to be in "%".)</t>
        </r>
      </text>
    </comment>
    <comment ref="D62" authorId="1">
      <text>
        <r>
          <rPr>
            <b/>
            <sz val="8"/>
            <color indexed="81"/>
            <rFont val="Tahoma"/>
            <family val="2"/>
          </rPr>
          <t>Enter the minimmum speed (in RPM) of the mixer that exists when the controller is set at its lowest setting.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Insert the maximum speed (in RPM) of the mixer that exists when the controller is set at its highest setting.</t>
        </r>
      </text>
    </comment>
    <comment ref="C73" authorId="1">
      <text>
        <r>
          <rPr>
            <b/>
            <sz val="8"/>
            <color indexed="81"/>
            <rFont val="Tahoma"/>
            <family val="2"/>
          </rPr>
          <t>Enter the current setting of the mixer controller.
(We have shown the units as "%" but if the units on your controller are just numbers, just enter the highest number . . . It doesn't have to be in "%".)</t>
        </r>
      </text>
    </comment>
    <comment ref="D78" authorId="0">
      <text>
        <r>
          <rPr>
            <b/>
            <sz val="8"/>
            <color indexed="81"/>
            <rFont val="Tahoma"/>
            <family val="2"/>
          </rPr>
          <t>Typical value for flat paddle is 1.8</t>
        </r>
      </text>
    </comment>
    <comment ref="D79" authorId="0">
      <text>
        <r>
          <rPr>
            <b/>
            <sz val="8"/>
            <color indexed="81"/>
            <rFont val="Tahoma"/>
            <family val="2"/>
          </rPr>
          <t>Enter total area of flocculator paddles in stage</t>
        </r>
      </text>
    </comment>
    <comment ref="D81" authorId="0">
      <text>
        <r>
          <rPr>
            <b/>
            <sz val="8"/>
            <color indexed="81"/>
            <rFont val="Tahoma"/>
            <family val="2"/>
          </rPr>
          <t>Enter volume of floccuation stage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>
      <text>
        <r>
          <rPr>
            <b/>
            <sz val="8"/>
            <color indexed="81"/>
            <rFont val="Tahoma"/>
            <family val="2"/>
          </rPr>
          <t>Enter the lowest setting that you can use on your mixer's controller.
(We have shown the units as "%" but if the units on your controller are just numbers, just enter the lowest number . . . It doesn't have to be in "%".)</t>
        </r>
      </text>
    </comment>
    <comment ref="D86" authorId="1">
      <text>
        <r>
          <rPr>
            <b/>
            <sz val="8"/>
            <color indexed="81"/>
            <rFont val="Tahoma"/>
            <family val="2"/>
          </rPr>
          <t>Enter the minimmum speed (in RPM) of the mixer that exists when the controller is set at its lowest setting.</t>
        </r>
      </text>
    </comment>
    <comment ref="D96" authorId="1">
      <text>
        <r>
          <rPr>
            <b/>
            <sz val="8"/>
            <color indexed="81"/>
            <rFont val="Tahoma"/>
            <family val="2"/>
          </rPr>
          <t>Insert the maximum speed (in RPM) of the mixer that exists when the controller is set at its highest setting.</t>
        </r>
      </text>
    </comment>
    <comment ref="C97" authorId="1">
      <text>
        <r>
          <rPr>
            <b/>
            <sz val="8"/>
            <color indexed="81"/>
            <rFont val="Tahoma"/>
            <family val="2"/>
          </rPr>
          <t>Enter the current setting of the mixer controller.
(We have shown the units as "%" but if the units on your controller are just numbers, just enter the highest number . . . It doesn't have to be in "%".)</t>
        </r>
      </text>
    </comment>
  </commentList>
</comments>
</file>

<file path=xl/comments8.xml><?xml version="1.0" encoding="utf-8"?>
<comments xmlns="http://schemas.openxmlformats.org/spreadsheetml/2006/main">
  <authors>
    <author>Larry DeMers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Typical value for walking beam is 3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Enter total area of flocculator paddles in stage</t>
        </r>
      </text>
    </comment>
    <comment ref="D7" authorId="0">
      <text>
        <r>
          <rPr>
            <b/>
            <sz val="8"/>
            <color indexed="81"/>
            <rFont val="Tahoma"/>
            <family val="2"/>
          </rPr>
          <t>Enter paddle stroke length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Enter volume of floccuation stage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<sst xmlns="http://schemas.openxmlformats.org/spreadsheetml/2006/main" count="1553" uniqueCount="545">
  <si>
    <t>Table 1</t>
  </si>
  <si>
    <t>(%)</t>
  </si>
  <si>
    <t>Coagulant Jar #</t>
  </si>
  <si>
    <t>1</t>
  </si>
  <si>
    <t>2</t>
  </si>
  <si>
    <t>3</t>
  </si>
  <si>
    <t>4</t>
  </si>
  <si>
    <t>5</t>
  </si>
  <si>
    <t>6</t>
  </si>
  <si>
    <t>Stock Solution (mL)</t>
  </si>
  <si>
    <t>Table 3</t>
  </si>
  <si>
    <t>STAGE</t>
  </si>
  <si>
    <t>1st</t>
  </si>
  <si>
    <t>2nd</t>
  </si>
  <si>
    <t>3rd</t>
  </si>
  <si>
    <t>RPM</t>
  </si>
  <si>
    <t>pH</t>
  </si>
  <si>
    <t>Coagulant Dose (mg/L)</t>
  </si>
  <si>
    <t>Settled Turbidity (NTU)</t>
  </si>
  <si>
    <t>Settled pH</t>
  </si>
  <si>
    <t>Coagulant</t>
  </si>
  <si>
    <t>Jar RPM</t>
  </si>
  <si>
    <t>Floc Time (min)</t>
  </si>
  <si>
    <t>Sample Time (min)</t>
  </si>
  <si>
    <t>G calculations for jar testing</t>
  </si>
  <si>
    <t>D</t>
  </si>
  <si>
    <t>ft</t>
  </si>
  <si>
    <t>Np</t>
  </si>
  <si>
    <t>FBT</t>
  </si>
  <si>
    <t>Adjusted from recommended value of 3.6 for flat blade turbine to fit original curve</t>
  </si>
  <si>
    <t>S</t>
  </si>
  <si>
    <t>V</t>
  </si>
  <si>
    <t>ft3</t>
  </si>
  <si>
    <t>u</t>
  </si>
  <si>
    <t>lb-sec/ft2 @ 4C</t>
  </si>
  <si>
    <t>lb-sec/ft2 @ 27C</t>
  </si>
  <si>
    <t>Date</t>
  </si>
  <si>
    <t>Time</t>
  </si>
  <si>
    <t>Raw Turbidity</t>
  </si>
  <si>
    <t>Instructions</t>
  </si>
  <si>
    <t>Enter Data:</t>
  </si>
  <si>
    <t>FILE:</t>
  </si>
  <si>
    <t>COMPANY:</t>
  </si>
  <si>
    <t>Process Applications, Inc.</t>
  </si>
  <si>
    <t>PURPOSE:</t>
  </si>
  <si>
    <t>DATE MODIFIED:</t>
  </si>
  <si>
    <t>MODIFICATIONS &amp; BY WHOM:</t>
  </si>
  <si>
    <t>Model by: Process Applications, Inc. Fort Collins, CO 970-223-5787</t>
  </si>
  <si>
    <t>Jar Test Program</t>
  </si>
  <si>
    <t>Spreadsheet to support jar testing</t>
  </si>
  <si>
    <t>LDD added comments for data entry cells</t>
  </si>
  <si>
    <t>(Mg/L)</t>
  </si>
  <si>
    <t>Water Source</t>
  </si>
  <si>
    <t>Filtered Turbidity (NTU)</t>
  </si>
  <si>
    <t>LDD modified per use at TNRCC IT session (corrected error in polymer aid calc, modified chart)</t>
  </si>
  <si>
    <t>Worksheet is protected except for data entry cells.  Worksheet can be unprotected to modify.</t>
  </si>
  <si>
    <t>LDD developed program for Franklin CTA.</t>
  </si>
  <si>
    <t>lb-sec/ft2 @ 10C</t>
  </si>
  <si>
    <t>lb-sec/ft2 @ 16C</t>
  </si>
  <si>
    <t>lb-sec/ft2 @ 21C</t>
  </si>
  <si>
    <t>lb-sec/ft2 @ 0C</t>
  </si>
  <si>
    <t>lb-sec/ft2 @ 32C</t>
  </si>
  <si>
    <t>Temperature C</t>
  </si>
  <si>
    <t>LDD added calculation of jar RPM based on water temperature and desired G value.</t>
  </si>
  <si>
    <t>Diameter</t>
  </si>
  <si>
    <t>Specific gravity</t>
  </si>
  <si>
    <t>Volume</t>
  </si>
  <si>
    <t>Viscosity</t>
  </si>
  <si>
    <t>Water Temp (C)</t>
  </si>
  <si>
    <t>Alum</t>
  </si>
  <si>
    <t>Flask size (mL)</t>
  </si>
  <si>
    <t>Jar Number</t>
  </si>
  <si>
    <t>Size of floc at mix end (mm)</t>
  </si>
  <si>
    <t>TOC Removal, %</t>
  </si>
  <si>
    <t>Alkalinity</t>
  </si>
  <si>
    <t>Date &amp;</t>
  </si>
  <si>
    <t>Test</t>
  </si>
  <si>
    <t>Sample No.</t>
  </si>
  <si>
    <t>No.</t>
  </si>
  <si>
    <t>#</t>
  </si>
  <si>
    <t>m/d/y</t>
  </si>
  <si>
    <t>Test No.</t>
  </si>
  <si>
    <t>Test Time, hr:min</t>
  </si>
  <si>
    <t>Raw</t>
  </si>
  <si>
    <t>Turbidity</t>
  </si>
  <si>
    <t>Water</t>
  </si>
  <si>
    <t>Temperature</t>
  </si>
  <si>
    <t>hr:min</t>
  </si>
  <si>
    <t>NTU</t>
  </si>
  <si>
    <t>C</t>
  </si>
  <si>
    <t>Flow</t>
  </si>
  <si>
    <t>MGD</t>
  </si>
  <si>
    <t>TOC</t>
  </si>
  <si>
    <t>units</t>
  </si>
  <si>
    <t>mg/L</t>
  </si>
  <si>
    <t>Size</t>
  </si>
  <si>
    <t>If product is a DRY</t>
  </si>
  <si>
    <t>If product is LIQUID</t>
  </si>
  <si>
    <t>Parameter</t>
  </si>
  <si>
    <t>mL</t>
  </si>
  <si>
    <t>Floc</t>
  </si>
  <si>
    <t>Speed</t>
  </si>
  <si>
    <t>Settle</t>
  </si>
  <si>
    <t>min</t>
  </si>
  <si>
    <t>Jar 1</t>
  </si>
  <si>
    <t>Dose</t>
  </si>
  <si>
    <t>Time to</t>
  </si>
  <si>
    <t>mm</t>
  </si>
  <si>
    <t>Settled</t>
  </si>
  <si>
    <t>Turb</t>
  </si>
  <si>
    <t>Filtered</t>
  </si>
  <si>
    <t>UV absorb</t>
  </si>
  <si>
    <t>Jar 2</t>
  </si>
  <si>
    <t>Jar 3</t>
  </si>
  <si>
    <t>Jar 4</t>
  </si>
  <si>
    <t>Jar 5</t>
  </si>
  <si>
    <t>Jar 6</t>
  </si>
  <si>
    <t>Last</t>
  </si>
  <si>
    <t>Column</t>
  </si>
  <si>
    <t>Jar Settings HELP Screen</t>
  </si>
  <si>
    <t>retrievedatesample</t>
  </si>
  <si>
    <t>lookupdatesample</t>
  </si>
  <si>
    <t>Source</t>
  </si>
  <si>
    <t>Name</t>
  </si>
  <si>
    <t>CheckRetrieveDate</t>
  </si>
  <si>
    <t>Inputdatetest</t>
  </si>
  <si>
    <t>CheckDatabase</t>
  </si>
  <si>
    <t>KLR added macro to update database and retrieve data from the database.</t>
  </si>
  <si>
    <t>L. DeMers, K. Rakness, and B. Hegg</t>
  </si>
  <si>
    <t xml:space="preserve">  The StockSolutionHELP worksheet provides information on making stock solutions.</t>
  </si>
  <si>
    <t xml:space="preserve">  Enter jar test data into the DataEntry worksheet.</t>
  </si>
  <si>
    <t xml:space="preserve">  The JarSettingsHELP worksheet provides information on setting mixing speeds and settling times.</t>
  </si>
  <si>
    <t xml:space="preserve">  The results from individual jar tests can be saved to the Database worksheet by clicking on the Updata Database Button</t>
  </si>
  <si>
    <t xml:space="preserve">    found in the DataEntry worksheet.</t>
  </si>
  <si>
    <t xml:space="preserve">    on the Retrieve Button found in the DataEntry worksheet.</t>
  </si>
  <si>
    <t>LDD modified settling time calcs to consider rectangular and circular basin configurations.</t>
  </si>
  <si>
    <t>Time to floc formation (min)</t>
  </si>
  <si>
    <t>Blade Diameter (D)</t>
  </si>
  <si>
    <t>Volume (V)</t>
  </si>
  <si>
    <t>Dynamic viscosity (u)</t>
  </si>
  <si>
    <t>Units</t>
  </si>
  <si>
    <t>Input</t>
  </si>
  <si>
    <t>Parameters</t>
  </si>
  <si>
    <t xml:space="preserve">RPM (R) </t>
  </si>
  <si>
    <t>Impeller Number (Np)</t>
  </si>
  <si>
    <t>4-Blade Hydrofoil</t>
  </si>
  <si>
    <t>3-Blade Hydrofoil</t>
  </si>
  <si>
    <t>Impeller Power Number (Np)</t>
  </si>
  <si>
    <t>Propeller Type</t>
  </si>
  <si>
    <t>See Below</t>
  </si>
  <si>
    <t>(% solution) x (flask volume, mL) x (8.34 lb/gal)</t>
  </si>
  <si>
    <t xml:space="preserve">              100  x (product strength, lb/gal)</t>
  </si>
  <si>
    <t>Trend Visc.</t>
  </si>
  <si>
    <t>Wilson Lake</t>
  </si>
  <si>
    <t>LDD added worksheets to calculation velocity gradients for different types of mixers.</t>
  </si>
  <si>
    <t>Source:  Mixing in Coagulation and Flocculation, AWWARF 1991</t>
  </si>
  <si>
    <t>lb/ft3</t>
  </si>
  <si>
    <t>Weight of Fluid (w)</t>
  </si>
  <si>
    <t>Acceleration of Gravity</t>
  </si>
  <si>
    <t>ft/sec2</t>
  </si>
  <si>
    <t>ft2</t>
  </si>
  <si>
    <t>Coefficient of Drag (Cd)</t>
  </si>
  <si>
    <t>Area of Paddles (A)</t>
  </si>
  <si>
    <t>lb-sec/ft2</t>
  </si>
  <si>
    <t>Volume of basin (V)</t>
  </si>
  <si>
    <t>Water Temperature</t>
  </si>
  <si>
    <t>Diameter of Flocculator (d)</t>
  </si>
  <si>
    <t>Calculation of Velocity Gradient (G) for Hydraulic Mixing</t>
  </si>
  <si>
    <t>Flow Rate</t>
  </si>
  <si>
    <t>Velocity Gradient (G)</t>
  </si>
  <si>
    <t>Water Viscosity Table</t>
  </si>
  <si>
    <t>Conventional Basin</t>
  </si>
  <si>
    <t>Floc to Sed Transition Time - (min)</t>
  </si>
  <si>
    <t>* Based on 10 cm sample depth in jar</t>
  </si>
  <si>
    <t>Settling velocity (cm/min)</t>
  </si>
  <si>
    <t>Settling Velocity (cm/min)</t>
  </si>
  <si>
    <t>tube path length (ft)</t>
  </si>
  <si>
    <t>rise rate (ft/min)</t>
  </si>
  <si>
    <t>tube dt (min)</t>
  </si>
  <si>
    <t>tube settling distance (cm)</t>
  </si>
  <si>
    <t>tube velocity (ft/min)</t>
  </si>
  <si>
    <t>LDD modified settling time calcs based on settling velocity with and without tube settlers.</t>
  </si>
  <si>
    <r>
      <t xml:space="preserve">  Results from a previous jar test can be retrieved from the database by inputting the </t>
    </r>
    <r>
      <rPr>
        <u/>
        <sz val="10"/>
        <rFont val="Arial"/>
        <family val="2"/>
      </rPr>
      <t>jar test date and number</t>
    </r>
    <r>
      <rPr>
        <sz val="10"/>
        <rFont val="Arial"/>
        <family val="2"/>
      </rPr>
      <t xml:space="preserve"> and clicking</t>
    </r>
  </si>
  <si>
    <t>Paddle Stroke Length (L)</t>
  </si>
  <si>
    <t>LDD added velocity gradient calculations for walking beam flocculator.</t>
  </si>
  <si>
    <t>To determine mixing energy (G value) for each stage, use plant design info or refer to HELP buttons for type of mixing.</t>
  </si>
  <si>
    <t>Jar Settling Time * (min)</t>
  </si>
  <si>
    <t>velocity.  If the sed basins have tube settlers installed, use input box on the right.</t>
  </si>
  <si>
    <t>LDD added rapid mix velocity gradient input and HELP buttons for mixing worksheets.</t>
  </si>
  <si>
    <t>LDD corrected error in rpm calculation based on input G value.</t>
  </si>
  <si>
    <t>Table 2: Determining the product strength of liquid chemicals</t>
  </si>
  <si>
    <t>Table 2</t>
  </si>
  <si>
    <t>Product Strength (%)</t>
  </si>
  <si>
    <t>Specific Gravity</t>
  </si>
  <si>
    <t>Product Strength (lb/gal)</t>
  </si>
  <si>
    <t>Other Chemical 1</t>
  </si>
  <si>
    <t>Other Chemical 2</t>
  </si>
  <si>
    <t xml:space="preserve">Stock Solution Concentration (%) = </t>
  </si>
  <si>
    <t xml:space="preserve">Product volume (mL) = </t>
  </si>
  <si>
    <t>Desired Stock</t>
  </si>
  <si>
    <t>Solution Concentration (%)</t>
  </si>
  <si>
    <t>Product Strength, lb/gal</t>
  </si>
  <si>
    <t>Volume to add to flask, mL</t>
  </si>
  <si>
    <t>The following equation is used to determine the product volume:</t>
  </si>
  <si>
    <t>The goal of this guideline is to help you "Prepare a Stock Solution"</t>
  </si>
  <si>
    <t>Table 1:  Determining the concentration of the stock solutions</t>
  </si>
  <si>
    <t>To determine how much liquid chemical you must use to prepare the stock solution, you must first determine the product strength.  Product strength</t>
  </si>
  <si>
    <t xml:space="preserve">is the actual (reactive) chemical that is contained in each gallon of liquid.  To determine the product strength, you must know the product specific </t>
  </si>
  <si>
    <t>gravity and percent concentration.  For example, liquid alum has a product specific gravity of 1.35 and a percent concentration of about 48 %.</t>
  </si>
  <si>
    <t>Product specific gravity and percent concentration can be determined from the product supplier and product information sources such as MSDS.</t>
  </si>
  <si>
    <t>Step 1 - Select desired stock solution concentration from Table 1 above</t>
  </si>
  <si>
    <t>Step 2 - Determine amount of product to add to flask of indicated size</t>
  </si>
  <si>
    <t>Weight to add to flask, gm</t>
  </si>
  <si>
    <t>Table 3: Making the stock solution</t>
  </si>
  <si>
    <t>Basin/Pipe Volume</t>
  </si>
  <si>
    <t>Transfer the velocity gradient value to the JarSettingsHELP worksheet.</t>
  </si>
  <si>
    <t>The velocity gradient calculation requires a current value to be accurate.</t>
  </si>
  <si>
    <t>Calculation of Velocity Gradient (G) for Vertical Turbine Mixers</t>
  </si>
  <si>
    <t>Controller Setting (%)</t>
  </si>
  <si>
    <t>RPM (R)</t>
  </si>
  <si>
    <t>Min</t>
  </si>
  <si>
    <t>Max</t>
  </si>
  <si>
    <t>Actual</t>
  </si>
  <si>
    <t>NOTE:</t>
  </si>
  <si>
    <t>You will need to enter the data for each vertical turbine mixer</t>
  </si>
  <si>
    <t>and then tranfer the resulting G value to the appropriate</t>
  </si>
  <si>
    <t>need to be filled out once for each stage.</t>
  </si>
  <si>
    <t>Note:</t>
  </si>
  <si>
    <t>How much raw water are you going to put in each jar?</t>
  </si>
  <si>
    <t>How much do you want the dosage (mg/L)</t>
  </si>
  <si>
    <t>that you add to a jar?</t>
  </si>
  <si>
    <t>to change for each milliliter (mL) of stock solution</t>
  </si>
  <si>
    <t>Concentration of the stock</t>
  </si>
  <si>
    <t>solution that you need to prepare</t>
  </si>
  <si>
    <t>Desired Dosage (mg/L) x Volume of Raw Water (mL)</t>
  </si>
  <si>
    <t>Amount of Stock Solution added to each jar (1 mL) x 10,000 (mg/L to % conversion factor)</t>
  </si>
  <si>
    <t>Plant/Train Name</t>
  </si>
  <si>
    <t>Raw Alk. (mg/L)</t>
  </si>
  <si>
    <t>Raw pH</t>
  </si>
  <si>
    <t>Flow Rate (MGD)</t>
  </si>
  <si>
    <t>Chemical</t>
  </si>
  <si>
    <t>Current Dose</t>
  </si>
  <si>
    <t>Cat Floc</t>
  </si>
  <si>
    <t>Settled Turbidity</t>
  </si>
  <si>
    <t>IFE Turbidity</t>
  </si>
  <si>
    <t>Raw TOC (mg/L)</t>
  </si>
  <si>
    <t>Treated TOC (mg/L)</t>
  </si>
  <si>
    <t>Test Date</t>
  </si>
  <si>
    <t>Settle Time (min)</t>
  </si>
  <si>
    <t>Other Chemical 1 (mg/L)</t>
  </si>
  <si>
    <t>Other Chemical 2 (mg/L)</t>
  </si>
  <si>
    <t>Speed (RPM)</t>
  </si>
  <si>
    <t>Time (sec, min)</t>
  </si>
  <si>
    <t>Rapid Mix</t>
  </si>
  <si>
    <t>Floc, Stage 1</t>
  </si>
  <si>
    <t>Bayou Lafourche</t>
  </si>
  <si>
    <t>Rapid Mix Flow Rate (MGD)</t>
  </si>
  <si>
    <r>
      <t>sec</t>
    </r>
    <r>
      <rPr>
        <vertAlign val="superscript"/>
        <sz val="11"/>
        <rFont val="Arial"/>
        <family val="2"/>
      </rPr>
      <t>-1</t>
    </r>
  </si>
  <si>
    <t>velocity gradient calculation requires a current value to be accurate.</t>
  </si>
  <si>
    <t>Calculation of Velocity Gradient (G) for Paddle-Type Mixers</t>
  </si>
  <si>
    <t>lb-sec/ft2 @ 40F</t>
  </si>
  <si>
    <t>You will need to enter the data for each paddle-type mixer</t>
  </si>
  <si>
    <t>if the plant has three-stage mixer, the table will</t>
  </si>
  <si>
    <t>Note:  Input current water temperature in the DataEntry Screen.</t>
  </si>
  <si>
    <t>Calculation of Velocity Gradient (G) for Walking Beam Mixers</t>
  </si>
  <si>
    <t>You will need to enter the data for each walking-beam mixer</t>
  </si>
  <si>
    <t>if the plant has three-stage flocculation, the table will</t>
  </si>
  <si>
    <t xml:space="preserve">box on the JarSettingsHELP screen. For example, </t>
  </si>
  <si>
    <t>Input current water temperature in the DataEntry screen - the</t>
  </si>
  <si>
    <t>in the JarSettingsHELP screen. For example, if the plant has a</t>
  </si>
  <si>
    <t>two-stage mixer, the table will need to be filled out for each stage.</t>
  </si>
  <si>
    <t>Step 1 - Enter plant background data.  Enter data in cells with white background only.</t>
  </si>
  <si>
    <t>Floc, Stage 2</t>
  </si>
  <si>
    <t>Floc, Stage 3</t>
  </si>
  <si>
    <t>Step 2 - Enter jar test settings.  Click Jar Settings HELP Button for guidance on setting parameters.</t>
  </si>
  <si>
    <t>Step 3 - Enter desired dose to determine volume of stock solution for each jar.</t>
  </si>
  <si>
    <t>Click on Stock Solution HELP Button for guidance on preparing stock solutions.</t>
  </si>
  <si>
    <t xml:space="preserve">Step 4 - Conduct jar test and enter results below. </t>
  </si>
  <si>
    <t>Settled TOC (mg/L)</t>
  </si>
  <si>
    <r>
      <t>Filtered UV Absorb. (cm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)</t>
    </r>
  </si>
  <si>
    <t>Stock Solution HELP Screen</t>
  </si>
  <si>
    <t>To use Table 1, FIRST determine how much raw water you will be adding to each jar.  For example, if you are using 2,000 mL jars and conducting a</t>
  </si>
  <si>
    <t>conventional jar test, you will typically be adding 2,000 mL to each jar.  SECOND, consider the chemical dosages that are to be added to each jar.</t>
  </si>
  <si>
    <t>For example, you may want the alum dosage to increase by 10 mg/L in each jar.  THIRD, identify the stock solution concentration (%) that you need</t>
  </si>
  <si>
    <r>
      <t xml:space="preserve">to prepare and transfer this information to </t>
    </r>
    <r>
      <rPr>
        <b/>
        <sz val="11"/>
        <rFont val="Arial"/>
        <family val="2"/>
      </rPr>
      <t>Table 3</t>
    </r>
    <r>
      <rPr>
        <sz val="11"/>
        <rFont val="Arial"/>
        <family val="2"/>
      </rPr>
      <t xml:space="preserve"> below.</t>
    </r>
  </si>
  <si>
    <t>The following equation is used to calculate the Stock Solution Concentration in Table 1:</t>
  </si>
  <si>
    <t>Once the product specific gravity and percent concentration are known, Table 2 can be used to determine the product strength.</t>
  </si>
  <si>
    <t>Step 1 - Determine rapid mix time based on available rapid mix volume and flow rate through rapid mix.  To determine the mixing</t>
  </si>
  <si>
    <t>energy (G value), use plant design info or refer to HELP buttons for type of mixing.</t>
  </si>
  <si>
    <t>Step 2 - Determine flocculation time per stage based on available flocculation volume and flow rate through the flocculation stage.</t>
  </si>
  <si>
    <t>Step 3 - Determine the jar settling time based on the sed basin surface overflow rate (rise rate) and corresponding particle settling</t>
  </si>
  <si>
    <t>Plant/Train</t>
  </si>
  <si>
    <t>Other</t>
  </si>
  <si>
    <t>Chemical 1</t>
  </si>
  <si>
    <t>Chemical 2</t>
  </si>
  <si>
    <t>Current</t>
  </si>
  <si>
    <t>Nalco 8109</t>
  </si>
  <si>
    <t>IFE</t>
  </si>
  <si>
    <t>Finished</t>
  </si>
  <si>
    <t>Example</t>
  </si>
  <si>
    <t>Stage 1</t>
  </si>
  <si>
    <t>Stage 2</t>
  </si>
  <si>
    <t>Stage 3</t>
  </si>
  <si>
    <t>Other Chem 1</t>
  </si>
  <si>
    <t>Other Chem 2</t>
  </si>
  <si>
    <t>Time to Floc</t>
  </si>
  <si>
    <t>Formation</t>
  </si>
  <si>
    <t>cm-1</t>
  </si>
  <si>
    <r>
      <t xml:space="preserve">Step 1 - Enter plant background data.  </t>
    </r>
    <r>
      <rPr>
        <b/>
        <u/>
        <sz val="14"/>
        <color indexed="9"/>
        <rFont val="Arial"/>
        <family val="2"/>
      </rPr>
      <t>Enter data in cells with white background only</t>
    </r>
  </si>
  <si>
    <t>Raw Water Added to Jars (mL)</t>
  </si>
  <si>
    <t>Jar #</t>
  </si>
  <si>
    <t>Other Chem. 1 Dose (mg/L)</t>
  </si>
  <si>
    <t>Other Chem. 2 Dose (mg/L)</t>
  </si>
  <si>
    <t>Stock Solution Concentration</t>
  </si>
  <si>
    <t>%</t>
  </si>
  <si>
    <t>Raw Water</t>
  </si>
  <si>
    <t>Added to</t>
  </si>
  <si>
    <t>Jars</t>
  </si>
  <si>
    <t>Warning:  Do not enter data</t>
  </si>
  <si>
    <t xml:space="preserve">  in this screen.  It is used to</t>
  </si>
  <si>
    <t xml:space="preserve">  retrieve data from the database.</t>
  </si>
  <si>
    <t>Thibodaux WTP</t>
  </si>
  <si>
    <t>Winchester WTP</t>
  </si>
  <si>
    <t>Kentucky River</t>
  </si>
  <si>
    <t>Thermafloc</t>
  </si>
  <si>
    <t>modifications also made to input screen.</t>
  </si>
  <si>
    <t xml:space="preserve">LDD revised stock solution help screen to include additional information and consolidate calculations; </t>
  </si>
  <si>
    <t>2.6 - 3.6</t>
  </si>
  <si>
    <t>5.1 - 6.2</t>
  </si>
  <si>
    <t>Flat Blade Turbine (radial flow)</t>
  </si>
  <si>
    <t>Disk Turbine (radial flow)</t>
  </si>
  <si>
    <t>Curved Blade Turbine (radial flow)</t>
  </si>
  <si>
    <r>
      <t>45</t>
    </r>
    <r>
      <rPr>
        <vertAlign val="superscript"/>
        <sz val="11"/>
        <rFont val="Arial"/>
        <family val="2"/>
      </rPr>
      <t>o</t>
    </r>
    <r>
      <rPr>
        <sz val="11"/>
        <rFont val="Arial"/>
        <family val="2"/>
      </rPr>
      <t xml:space="preserve"> Pitched Blade Turbine (axial flow)</t>
    </r>
  </si>
  <si>
    <t>1.36 - 1.94</t>
  </si>
  <si>
    <t>0.3 - 0.7</t>
  </si>
  <si>
    <t>Propeller (axial flow)</t>
  </si>
  <si>
    <t>Source of information, equations, and images:  Mixing in Coagulation and Flocculation, AWWARF 1991 &amp;</t>
  </si>
  <si>
    <t>Water Works Engineering, Qasim &amp; Zhu, Prentice Hall PTR  2000</t>
  </si>
  <si>
    <t>AUTHORS:</t>
  </si>
  <si>
    <t xml:space="preserve">Pipe Diameter (inches) = </t>
  </si>
  <si>
    <t xml:space="preserve">Length (feet) = </t>
  </si>
  <si>
    <t xml:space="preserve">C = </t>
  </si>
  <si>
    <t>Calculations</t>
  </si>
  <si>
    <t xml:space="preserve">A (sf) = </t>
  </si>
  <si>
    <t xml:space="preserve">V (fps) = </t>
  </si>
  <si>
    <t xml:space="preserve">S = </t>
  </si>
  <si>
    <t xml:space="preserve">Head loss - friction (ft) = </t>
  </si>
  <si>
    <t xml:space="preserve">Pressure head (psi) = </t>
  </si>
  <si>
    <t>Hazen-Williams Coefficient</t>
  </si>
  <si>
    <t>Pipe Material</t>
  </si>
  <si>
    <t>New cast iron</t>
  </si>
  <si>
    <t>5-yr-old iron</t>
  </si>
  <si>
    <t>20-yr-old cast iron</t>
  </si>
  <si>
    <t>Average concrete</t>
  </si>
  <si>
    <t>New welded steel</t>
  </si>
  <si>
    <t>Asbestos cement</t>
  </si>
  <si>
    <t>Plastic</t>
  </si>
  <si>
    <t>Water Supply and Pollution Control, 4th ed., Viessman and Hammer, 1985</t>
  </si>
  <si>
    <t>Should minor losses be considered?</t>
  </si>
  <si>
    <t>CONTRIBUTORS:  J. Schulze (TNRCC), J. Roney (KYDOW), J. Williams (LDHH)</t>
  </si>
  <si>
    <t>LDD added head loss calculations to HydraulicMixHELP worksheet (provided by J. Williams).</t>
  </si>
  <si>
    <t>LDD added calibration data worksheet (provided by J. Roney).</t>
  </si>
  <si>
    <t>LDD added enhancements to the velocity gradient worksheets (provided by J. Schulze).</t>
  </si>
  <si>
    <t>LDD added flexibilty to stock solution table.</t>
  </si>
  <si>
    <t>Stage</t>
  </si>
  <si>
    <t>Algiers WTP</t>
  </si>
  <si>
    <t>Mississippi River</t>
  </si>
  <si>
    <t>Ferric Sulfate</t>
  </si>
  <si>
    <t>Lime</t>
  </si>
  <si>
    <t>Magnafloc</t>
  </si>
  <si>
    <t>Time (min)</t>
  </si>
  <si>
    <t>Rapid Mix #1</t>
  </si>
  <si>
    <t>Rapid Mix #2</t>
  </si>
  <si>
    <t>#2</t>
  </si>
  <si>
    <t>#1</t>
  </si>
  <si>
    <t>Product Purity, %</t>
  </si>
  <si>
    <t>V^2/2g =</t>
  </si>
  <si>
    <t>K factors for minor losses</t>
  </si>
  <si>
    <r>
      <t>H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 xml:space="preserve"> (ft)</t>
    </r>
  </si>
  <si>
    <r>
      <t>90</t>
    </r>
    <r>
      <rPr>
        <vertAlign val="superscript"/>
        <sz val="11"/>
        <rFont val="Arial"/>
        <family val="2"/>
      </rPr>
      <t>o</t>
    </r>
    <r>
      <rPr>
        <sz val="11"/>
        <rFont val="Arial"/>
        <family val="2"/>
      </rPr>
      <t xml:space="preserve"> bend</t>
    </r>
  </si>
  <si>
    <t>Squared edged inlet</t>
  </si>
  <si>
    <t>Inward projecting pipe</t>
  </si>
  <si>
    <t>LDD corrected error in V^2/2g formula (in HydraulicMixHELP).  Added two rapid mix segments.</t>
  </si>
  <si>
    <t xml:space="preserve">Flow (MGD) = </t>
  </si>
  <si>
    <t xml:space="preserve">Q (gpm) = </t>
  </si>
  <si>
    <t>LDD added updated calibration data worksheet and modified flow and volume inputs to be consistent.</t>
  </si>
  <si>
    <t>Chemicals added at Rapid Mix</t>
  </si>
  <si>
    <t>Rapid Mix (collect data for appropriate configuration)</t>
  </si>
  <si>
    <t xml:space="preserve">  Blade diameter (tip to tip), ft</t>
  </si>
  <si>
    <t xml:space="preserve">  Turbine speed (actual and max), rpm</t>
  </si>
  <si>
    <t>Flocculator (collect data for appropriate configuration)</t>
  </si>
  <si>
    <t xml:space="preserve">  Diameter of paddles (tip to tip), ft</t>
  </si>
  <si>
    <t xml:space="preserve">  Paddle speed (actual and max), rpm</t>
  </si>
  <si>
    <t>Sedimentation (collect data for appropriate configuration)</t>
  </si>
  <si>
    <t>Without Tubes</t>
  </si>
  <si>
    <t>With Tubes</t>
  </si>
  <si>
    <t xml:space="preserve">  Tube depth, inches</t>
  </si>
  <si>
    <t xml:space="preserve">  Specific gravity</t>
  </si>
  <si>
    <t xml:space="preserve">  Product strength, %</t>
  </si>
  <si>
    <t xml:space="preserve">  Product strength, lb/gal</t>
  </si>
  <si>
    <t xml:space="preserve">  Product purity, %</t>
  </si>
  <si>
    <t xml:space="preserve">  Tube opening, inches</t>
  </si>
  <si>
    <t xml:space="preserve">  Tube angle, degrees</t>
  </si>
  <si>
    <t>Volume (ft3)</t>
  </si>
  <si>
    <t>Rapid Mix Volume (ft3)</t>
  </si>
  <si>
    <t>Renamed file to JARTEST32.</t>
  </si>
  <si>
    <t>The Hazen-Williams equation for determination of head loss in pressure pipe (should be used only for turbulent flow).</t>
  </si>
  <si>
    <t>LDD fixed hidden row in the HydraulicMix worksheet and corrected spelling errors in worksheets.</t>
  </si>
  <si>
    <t>Conventional Basin with Tube or Plate Settlers</t>
  </si>
  <si>
    <t>Tube or Plate Depth (inch)</t>
  </si>
  <si>
    <t>Tube or Plate Opening (inch)</t>
  </si>
  <si>
    <t>Tube or Plate Angle (degrees)</t>
  </si>
  <si>
    <t xml:space="preserve">           Flat blade turbine</t>
  </si>
  <si>
    <t>Added pictures and mixer clarification.  Changed name to JARTEST33.</t>
  </si>
  <si>
    <t>Comments/Notes:</t>
  </si>
  <si>
    <t>Chemical 3</t>
  </si>
  <si>
    <t>Chemical 4</t>
  </si>
  <si>
    <t>Jar Test Calibration Parameters (Page 2)</t>
  </si>
  <si>
    <t>Turbine Mixing Stage</t>
  </si>
  <si>
    <t>Paddle Mixing Stage</t>
  </si>
  <si>
    <t>Walking Beam Stage</t>
  </si>
  <si>
    <t>Liquid (description)</t>
  </si>
  <si>
    <t>Dry (description)</t>
  </si>
  <si>
    <t>Hydraulic Mixing Stage</t>
  </si>
  <si>
    <t xml:space="preserve">  Head loss across basin/pipe, ft</t>
  </si>
  <si>
    <t xml:space="preserve">  Note:  If using multiple stage flocculation, determine information for each stage.</t>
  </si>
  <si>
    <t xml:space="preserve">  Paddle stroke length, ft</t>
  </si>
  <si>
    <t>Description</t>
  </si>
  <si>
    <r>
      <t>Head loss (h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)</t>
    </r>
  </si>
  <si>
    <r>
      <t xml:space="preserve">Input current </t>
    </r>
    <r>
      <rPr>
        <b/>
        <sz val="11"/>
        <color indexed="14"/>
        <rFont val="Arial"/>
        <family val="2"/>
      </rPr>
      <t>water temperature</t>
    </r>
    <r>
      <rPr>
        <b/>
        <sz val="11"/>
        <color indexed="12"/>
        <rFont val="Arial"/>
        <family val="2"/>
      </rPr>
      <t xml:space="preserve"> in the DataEntry screen - the</t>
    </r>
  </si>
  <si>
    <t>and then transfer the resulting G value to the appropriate box</t>
  </si>
  <si>
    <r>
      <t xml:space="preserve">Input current </t>
    </r>
    <r>
      <rPr>
        <b/>
        <sz val="11"/>
        <color indexed="14"/>
        <rFont val="Arial"/>
        <family val="2"/>
      </rPr>
      <t>water temperature</t>
    </r>
    <r>
      <rPr>
        <b/>
        <sz val="11"/>
        <color indexed="12"/>
        <rFont val="Arial"/>
        <family val="2"/>
      </rPr>
      <t xml:space="preserve"> in the DataEntry Screen - the</t>
    </r>
  </si>
  <si>
    <t>Typical horizontal paddle-type flocculator</t>
  </si>
  <si>
    <t>LDD added additional tables for hydraulic, turbine, and paddle mixing calculations.  Modified calibratation</t>
  </si>
  <si>
    <r>
      <rPr>
        <b/>
        <sz val="11"/>
        <color indexed="14"/>
        <rFont val="Arial"/>
        <family val="2"/>
      </rPr>
      <t>Page down</t>
    </r>
    <r>
      <rPr>
        <b/>
        <sz val="11"/>
        <color indexed="12"/>
        <rFont val="Arial"/>
        <family val="2"/>
      </rPr>
      <t xml:space="preserve"> for additional turbine mixer data entry tables.</t>
    </r>
  </si>
  <si>
    <r>
      <rPr>
        <b/>
        <sz val="11"/>
        <color indexed="14"/>
        <rFont val="Arial"/>
        <family val="2"/>
      </rPr>
      <t>Page down</t>
    </r>
    <r>
      <rPr>
        <b/>
        <sz val="11"/>
        <color indexed="12"/>
        <rFont val="Arial"/>
        <family val="2"/>
      </rPr>
      <t xml:space="preserve"> for additional paddle-type mixer data entry tables.</t>
    </r>
  </si>
  <si>
    <t xml:space="preserve">  Note: Headloss through piping segments can be estimated</t>
  </si>
  <si>
    <t xml:space="preserve">  by paging down and using the Hazen-Williams input box.</t>
  </si>
  <si>
    <t>Area of nozzle</t>
  </si>
  <si>
    <t>Flow rate through nozzle</t>
  </si>
  <si>
    <t>gpm</t>
  </si>
  <si>
    <t>Jet velocity</t>
  </si>
  <si>
    <t>ft/sec</t>
  </si>
  <si>
    <t>Hp</t>
  </si>
  <si>
    <t>Mixing volume</t>
  </si>
  <si>
    <t>Mixing zone length</t>
  </si>
  <si>
    <t>Calculation of Velocity Gradient (G) for Pump Injection thru Nozzle</t>
  </si>
  <si>
    <t>Mix Time (sec)</t>
  </si>
  <si>
    <t>data collection forms.  Changed name to JARTEST34.</t>
  </si>
  <si>
    <t>LDD added NozzleMix worksheet for pump injection rapid mix applications.  Enhancements made to</t>
  </si>
  <si>
    <t>additional hydaulic input tables.  Changed name to JARTEST35.</t>
  </si>
  <si>
    <t>LDD corrected temperature cell reference error in 2nd and 3rd flocculation mix tables.</t>
  </si>
  <si>
    <t>LDD added notes on plate settler concepts and corrected formula to determine settling distance in plates</t>
  </si>
  <si>
    <t>or tubes (minor change).</t>
  </si>
  <si>
    <t>Added 3rd segment for rapid mix.  Change to JARTEST36.</t>
  </si>
  <si>
    <t>LDD change name to JARTEST37.  No changes other than those noted for 6/30/09.</t>
  </si>
  <si>
    <t>inch dia nozzle</t>
  </si>
  <si>
    <t>ft dia nozzle</t>
  </si>
  <si>
    <t>ft^2 area for 72 nozzles</t>
  </si>
  <si>
    <t>ft^2 area for 1 nozzle</t>
  </si>
  <si>
    <t>plate settling distance = plate opening / cos plate angle</t>
  </si>
  <si>
    <t>Plate opening (typ. 5 cm)</t>
  </si>
  <si>
    <t>Plate angle (typ. 60 degrees)</t>
  </si>
  <si>
    <r>
      <t>G Value (sec</t>
    </r>
    <r>
      <rPr>
        <vertAlign val="superscript"/>
        <sz val="12"/>
        <rFont val="Helv"/>
        <family val="2"/>
      </rPr>
      <t>-1</t>
    </r>
    <r>
      <rPr>
        <sz val="12"/>
        <rFont val="Helv"/>
        <family val="2"/>
      </rPr>
      <t>)</t>
    </r>
  </si>
  <si>
    <r>
      <t>Surface Area (ft</t>
    </r>
    <r>
      <rPr>
        <vertAlign val="superscript"/>
        <sz val="12"/>
        <rFont val="Helv"/>
        <family val="2"/>
      </rPr>
      <t>2</t>
    </r>
    <r>
      <rPr>
        <sz val="12"/>
        <rFont val="Helv"/>
        <family val="2"/>
      </rPr>
      <t>)</t>
    </r>
  </si>
  <si>
    <t>Segment 1 with nozzles</t>
  </si>
  <si>
    <t>Segment 2 with no nozzles</t>
  </si>
  <si>
    <t>Segment 3 with nozzles</t>
  </si>
  <si>
    <t>Time for Flash Mixing</t>
  </si>
  <si>
    <t>The time for flash mixing is calculated based on the area in which mixing occurs.
Mixing occurs across the channel for the length x, which can be found by:
Time to Flash mix is found by:
Where v = velocity of flow in channel
Flash mix dimensions can be found on drawing 5M-7</t>
  </si>
  <si>
    <t>Comments/Notes (include length and diameter of pipe, # bends if used as rapid mix): Nozzle  mixing system</t>
  </si>
  <si>
    <t>Plan View</t>
  </si>
  <si>
    <t xml:space="preserve">Mixing zone x = </t>
  </si>
  <si>
    <t>feet</t>
  </si>
  <si>
    <t>Source: Tacoma WTP Jar Testing Spreadsheet</t>
  </si>
  <si>
    <t>Diameter of pipeline or area of flow</t>
  </si>
  <si>
    <t xml:space="preserve">  Basin or pipe dimensions</t>
  </si>
  <si>
    <t>Flow rate</t>
  </si>
  <si>
    <t>sec</t>
  </si>
  <si>
    <t>G x T</t>
  </si>
  <si>
    <t>See design below</t>
  </si>
  <si>
    <t>Water temperature</t>
  </si>
  <si>
    <t>Coefficient of discharge</t>
  </si>
  <si>
    <t>Water horsepower</t>
  </si>
  <si>
    <t>Velocity gradient (G)</t>
  </si>
  <si>
    <t>Detention time</t>
  </si>
  <si>
    <t>Time, sec</t>
  </si>
  <si>
    <t>G x t</t>
  </si>
  <si>
    <t>Full Scale</t>
  </si>
  <si>
    <t>Jar @ 300 rpm</t>
  </si>
  <si>
    <t>1st Stage</t>
  </si>
  <si>
    <t>3rd Stage</t>
  </si>
  <si>
    <t>Width</t>
  </si>
  <si>
    <t>Velocity</t>
  </si>
  <si>
    <t>Viscosity of water - µ</t>
  </si>
  <si>
    <t>n for concrete</t>
  </si>
  <si>
    <t>Velocity Head</t>
  </si>
  <si>
    <t>4th</t>
  </si>
  <si>
    <t xml:space="preserve">     may also apply to flocculation</t>
  </si>
  <si>
    <t>Jar Test Calibration Parameters</t>
  </si>
  <si>
    <t>Obtained from Tacoma jar test speadsheet</t>
  </si>
  <si>
    <t xml:space="preserve">     Hydraulic &amp; Turbine Mix buttons</t>
  </si>
  <si>
    <t>Floc In</t>
  </si>
  <si>
    <t>Sed In</t>
  </si>
  <si>
    <r>
      <t>G, sec</t>
    </r>
    <r>
      <rPr>
        <vertAlign val="superscript"/>
        <sz val="12"/>
        <rFont val="Helv"/>
        <family val="2"/>
      </rPr>
      <t>-1</t>
    </r>
  </si>
  <si>
    <t>Input 2 liter jar:</t>
  </si>
  <si>
    <t>7.7 cm versus 6 cm to match vendor curve</t>
  </si>
  <si>
    <t>Impeller: 40 mm x 60 mm</t>
  </si>
  <si>
    <t>Impller: 1 inch x 3 inch (25.4 mm x 76 mm)</t>
  </si>
  <si>
    <r>
      <t xml:space="preserve">  Basin or pipe volume, ft</t>
    </r>
    <r>
      <rPr>
        <vertAlign val="superscript"/>
        <sz val="12"/>
        <rFont val="Helv"/>
        <family val="2"/>
      </rPr>
      <t>3</t>
    </r>
  </si>
  <si>
    <r>
      <t xml:space="preserve">  Description of blade</t>
    </r>
    <r>
      <rPr>
        <vertAlign val="superscript"/>
        <sz val="12"/>
        <rFont val="Helv"/>
        <family val="2"/>
      </rPr>
      <t>1</t>
    </r>
  </si>
  <si>
    <r>
      <t xml:space="preserve">  Basin volume, ft</t>
    </r>
    <r>
      <rPr>
        <vertAlign val="superscript"/>
        <sz val="12"/>
        <rFont val="Helv"/>
        <family val="2"/>
      </rPr>
      <t>3</t>
    </r>
  </si>
  <si>
    <r>
      <t xml:space="preserve">  Area of paddles (L x W x No. paddles), ft</t>
    </r>
    <r>
      <rPr>
        <vertAlign val="superscript"/>
        <sz val="12"/>
        <rFont val="Helv"/>
        <family val="2"/>
      </rPr>
      <t>2</t>
    </r>
  </si>
  <si>
    <r>
      <t xml:space="preserve">  Surface area, ft</t>
    </r>
    <r>
      <rPr>
        <vertAlign val="superscript"/>
        <sz val="12"/>
        <rFont val="Helv"/>
        <family val="2"/>
      </rPr>
      <t>2</t>
    </r>
  </si>
  <si>
    <r>
      <t xml:space="preserve">  Area covered by tubes, ft</t>
    </r>
    <r>
      <rPr>
        <vertAlign val="superscript"/>
        <sz val="12"/>
        <rFont val="Helv"/>
        <family val="2"/>
      </rPr>
      <t>2</t>
    </r>
  </si>
  <si>
    <r>
      <t xml:space="preserve">  </t>
    </r>
    <r>
      <rPr>
        <vertAlign val="superscript"/>
        <sz val="12"/>
        <rFont val="Helv"/>
        <family val="2"/>
      </rPr>
      <t>1</t>
    </r>
    <r>
      <rPr>
        <sz val="12"/>
        <rFont val="Helv"/>
        <family val="2"/>
      </rPr>
      <t xml:space="preserve"> See Turbine Mix Help worksheet</t>
    </r>
  </si>
  <si>
    <t>1 or 2 Liter</t>
  </si>
  <si>
    <t>Liters</t>
  </si>
  <si>
    <t>Enter square jar volume (1 or 2)</t>
  </si>
  <si>
    <t>When G value exceeds G achievable by jar @ 300 rpm, equivalent G x t can be used to adjust mixing time.</t>
  </si>
  <si>
    <t>Additional transition segments</t>
  </si>
  <si>
    <t>LDD added flexibility to use either 1 or 2 L square jars for the testing. File name updated to JARTEST38.</t>
  </si>
  <si>
    <t>JarTest38.xls</t>
  </si>
  <si>
    <t>LDD added flexibility to use either 1 L or 2 L jars for making stock solutions.</t>
  </si>
  <si>
    <t>Added section to determine equivalent G x T for rapid mix.</t>
  </si>
  <si>
    <t>Input 1 liter jar based on EC Engineering design and mixing curve.</t>
  </si>
  <si>
    <t>The Manning equation for determination of head loss in open channel flow (should be used only for turbulent flow).</t>
  </si>
  <si>
    <t>Height</t>
  </si>
  <si>
    <t>Length</t>
  </si>
  <si>
    <t>Channel area</t>
  </si>
  <si>
    <t>ft^2</t>
  </si>
  <si>
    <t>Channel wettted perimeter</t>
  </si>
  <si>
    <t>ft^3/sec</t>
  </si>
  <si>
    <t>Channel hydraulic slope</t>
  </si>
  <si>
    <t>Channel hydraulic diameter</t>
  </si>
  <si>
    <t>Channel friction loss due to flow</t>
  </si>
  <si>
    <t>Opening Height</t>
  </si>
  <si>
    <t>Opening Width</t>
  </si>
  <si>
    <t>Flow rate through opening</t>
  </si>
  <si>
    <t>Minor loss</t>
  </si>
  <si>
    <t>Total losses</t>
  </si>
  <si>
    <t>Minor loss due to opening</t>
  </si>
  <si>
    <t>ISCO Open Channel Flow Measurement Handbook p. 67</t>
  </si>
  <si>
    <t>Added open channel flow friction losses calculations in hydraulic mix worksheet.</t>
  </si>
  <si>
    <t xml:space="preserve">  Basin dimensions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</si>
</sst>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General_)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"/>
    <numFmt numFmtId="169" formatCode="0.00000000"/>
    <numFmt numFmtId="170" formatCode="0.00000"/>
    <numFmt numFmtId="171" formatCode="0.0000"/>
    <numFmt numFmtId="172" formatCode="dd\-mmm\-yy"/>
    <numFmt numFmtId="173" formatCode="0.0%"/>
    <numFmt numFmtId="174" formatCode="#,##0.0"/>
    <numFmt numFmtId="175" formatCode="#,##0.0_);\(#,##0.0\)"/>
    <numFmt numFmtId="176" formatCode="0.000000"/>
  </numFmts>
  <fonts count="57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22"/>
      <name val="Arial"/>
      <family val="2"/>
    </font>
    <font>
      <b/>
      <sz val="10"/>
      <color indexed="81"/>
      <name val="Tahoma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0"/>
      <color indexed="56"/>
      <name val="Arial"/>
      <family val="2"/>
    </font>
    <font>
      <b/>
      <sz val="24"/>
      <name val="Arial"/>
      <family val="2"/>
    </font>
    <font>
      <b/>
      <sz val="11"/>
      <color indexed="56"/>
      <name val="Arial"/>
      <family val="2"/>
    </font>
    <font>
      <sz val="9"/>
      <name val="Helv"/>
    </font>
    <font>
      <b/>
      <sz val="11"/>
      <color indexed="16"/>
      <name val="Arial"/>
      <family val="2"/>
    </font>
    <font>
      <b/>
      <sz val="12"/>
      <name val="Helv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name val="Helv"/>
    </font>
    <font>
      <b/>
      <sz val="16"/>
      <name val="Arial"/>
      <family val="2"/>
    </font>
    <font>
      <sz val="12"/>
      <name val="Helv"/>
    </font>
    <font>
      <b/>
      <sz val="8"/>
      <color indexed="81"/>
      <name val="Tahoma"/>
      <family val="2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2"/>
      <color indexed="10"/>
      <name val="Helv"/>
    </font>
    <font>
      <b/>
      <sz val="9"/>
      <color indexed="81"/>
      <name val="Tahoma"/>
      <family val="2"/>
    </font>
    <font>
      <vertAlign val="subscript"/>
      <sz val="11"/>
      <name val="Arial"/>
      <family val="2"/>
    </font>
    <font>
      <b/>
      <sz val="11"/>
      <color indexed="48"/>
      <name val="Arial"/>
      <family val="2"/>
    </font>
    <font>
      <b/>
      <u/>
      <sz val="14"/>
      <color indexed="9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11"/>
      <color indexed="14"/>
      <name val="Arial"/>
      <family val="2"/>
    </font>
    <font>
      <sz val="11"/>
      <color theme="1"/>
      <name val="Arial"/>
      <family val="2"/>
    </font>
    <font>
      <vertAlign val="superscript"/>
      <sz val="12"/>
      <name val="Helv"/>
      <family val="2"/>
    </font>
    <font>
      <sz val="12"/>
      <name val="Helv"/>
      <family val="2"/>
    </font>
    <font>
      <b/>
      <sz val="11"/>
      <color rgb="FFFF0000"/>
      <name val="Arial"/>
      <family val="2"/>
    </font>
    <font>
      <b/>
      <sz val="12"/>
      <color rgb="FF0000FF"/>
      <name val="Helv"/>
    </font>
    <font>
      <b/>
      <sz val="12"/>
      <color rgb="FF3333CC"/>
      <name val="Helv"/>
    </font>
    <font>
      <b/>
      <sz val="16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3"/>
        <bgColor indexed="64"/>
      </patternFill>
    </fill>
    <fill>
      <patternFill patternType="gray125">
        <bgColor indexed="43"/>
      </patternFill>
    </fill>
    <fill>
      <patternFill patternType="solid">
        <fgColor indexed="9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patternFill patternType="solid">
        <fgColor theme="0"/>
        <bgColor indexed="64"/>
      </patternFill>
    </fill>
  </fills>
  <borders count="1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05">
    <xf numFmtId="164" fontId="0" fillId="0" borderId="0" xfId="0"/>
    <xf numFmtId="164" fontId="2" fillId="0" borderId="1" xfId="0" applyFont="1" applyBorder="1"/>
    <xf numFmtId="164" fontId="9" fillId="0" borderId="0" xfId="0" applyFont="1"/>
    <xf numFmtId="164" fontId="2" fillId="0" borderId="0" xfId="0" applyFont="1"/>
    <xf numFmtId="164" fontId="10" fillId="2" borderId="2" xfId="0" applyFont="1" applyFill="1" applyBorder="1" applyAlignment="1">
      <alignment horizontal="centerContinuous"/>
    </xf>
    <xf numFmtId="164" fontId="10" fillId="2" borderId="3" xfId="0" applyFont="1" applyFill="1" applyBorder="1" applyAlignment="1">
      <alignment horizontal="centerContinuous"/>
    </xf>
    <xf numFmtId="164" fontId="2" fillId="2" borderId="4" xfId="0" applyFont="1" applyFill="1" applyBorder="1"/>
    <xf numFmtId="164" fontId="11" fillId="0" borderId="5" xfId="0" applyFont="1" applyBorder="1"/>
    <xf numFmtId="164" fontId="12" fillId="0" borderId="0" xfId="0" applyFont="1" applyBorder="1"/>
    <xf numFmtId="164" fontId="12" fillId="0" borderId="5" xfId="0" applyFont="1" applyBorder="1" applyAlignment="1">
      <alignment horizontal="left"/>
    </xf>
    <xf numFmtId="164" fontId="12" fillId="0" borderId="6" xfId="0" applyFont="1" applyBorder="1"/>
    <xf numFmtId="164" fontId="12" fillId="0" borderId="7" xfId="0" applyFont="1" applyBorder="1"/>
    <xf numFmtId="164" fontId="2" fillId="0" borderId="8" xfId="0" applyFont="1" applyBorder="1"/>
    <xf numFmtId="164" fontId="12" fillId="0" borderId="9" xfId="0" applyFont="1" applyBorder="1" applyAlignment="1">
      <alignment horizontal="centerContinuous"/>
    </xf>
    <xf numFmtId="164" fontId="12" fillId="0" borderId="10" xfId="0" applyFont="1" applyBorder="1" applyAlignment="1">
      <alignment horizontal="left"/>
    </xf>
    <xf numFmtId="164" fontId="12" fillId="0" borderId="10" xfId="0" applyFont="1" applyBorder="1" applyAlignment="1">
      <alignment horizontal="centerContinuous"/>
    </xf>
    <xf numFmtId="164" fontId="12" fillId="0" borderId="0" xfId="0" applyFont="1" applyBorder="1" applyAlignment="1">
      <alignment horizontal="left"/>
    </xf>
    <xf numFmtId="14" fontId="12" fillId="0" borderId="5" xfId="0" applyNumberFormat="1" applyFont="1" applyBorder="1" applyAlignment="1">
      <alignment horizontal="left"/>
    </xf>
    <xf numFmtId="164" fontId="12" fillId="0" borderId="6" xfId="0" applyFont="1" applyBorder="1" applyAlignment="1">
      <alignment horizontal="centerContinuous"/>
    </xf>
    <xf numFmtId="164" fontId="12" fillId="0" borderId="7" xfId="0" applyFont="1" applyBorder="1" applyAlignment="1">
      <alignment horizontal="centerContinuous"/>
    </xf>
    <xf numFmtId="164" fontId="5" fillId="0" borderId="0" xfId="0" applyFont="1"/>
    <xf numFmtId="168" fontId="5" fillId="0" borderId="0" xfId="0" applyNumberFormat="1" applyFont="1"/>
    <xf numFmtId="164" fontId="5" fillId="0" borderId="11" xfId="0" applyFont="1" applyBorder="1"/>
    <xf numFmtId="164" fontId="5" fillId="0" borderId="12" xfId="0" applyFont="1" applyBorder="1" applyAlignment="1">
      <alignment horizontal="center"/>
    </xf>
    <xf numFmtId="164" fontId="5" fillId="0" borderId="13" xfId="0" applyFont="1" applyBorder="1" applyAlignment="1">
      <alignment horizontal="center"/>
    </xf>
    <xf numFmtId="164" fontId="5" fillId="0" borderId="13" xfId="0" applyFont="1" applyBorder="1"/>
    <xf numFmtId="165" fontId="5" fillId="0" borderId="13" xfId="0" applyNumberFormat="1" applyFont="1" applyBorder="1"/>
    <xf numFmtId="169" fontId="5" fillId="0" borderId="13" xfId="0" applyNumberFormat="1" applyFont="1" applyBorder="1"/>
    <xf numFmtId="164" fontId="12" fillId="0" borderId="11" xfId="0" applyFont="1" applyFill="1" applyBorder="1" applyAlignment="1">
      <alignment horizontal="center"/>
    </xf>
    <xf numFmtId="164" fontId="12" fillId="0" borderId="0" xfId="0" applyFont="1"/>
    <xf numFmtId="164" fontId="12" fillId="0" borderId="14" xfId="0" applyFont="1" applyFill="1" applyBorder="1" applyAlignment="1">
      <alignment horizontal="center"/>
    </xf>
    <xf numFmtId="164" fontId="12" fillId="0" borderId="13" xfId="0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15" fontId="12" fillId="0" borderId="13" xfId="0" applyNumberFormat="1" applyFont="1" applyFill="1" applyBorder="1" applyAlignment="1">
      <alignment horizontal="center"/>
    </xf>
    <xf numFmtId="1" fontId="12" fillId="0" borderId="13" xfId="0" applyNumberFormat="1" applyFont="1" applyFill="1" applyBorder="1" applyAlignment="1">
      <alignment horizontal="center"/>
    </xf>
    <xf numFmtId="20" fontId="12" fillId="0" borderId="13" xfId="0" applyNumberFormat="1" applyFont="1" applyFill="1" applyBorder="1" applyAlignment="1">
      <alignment horizontal="center"/>
    </xf>
    <xf numFmtId="0" fontId="12" fillId="0" borderId="13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center"/>
    </xf>
    <xf numFmtId="171" fontId="12" fillId="0" borderId="13" xfId="0" applyNumberFormat="1" applyFont="1" applyFill="1" applyBorder="1" applyAlignment="1">
      <alignment horizontal="center"/>
    </xf>
    <xf numFmtId="2" fontId="15" fillId="0" borderId="13" xfId="0" applyNumberFormat="1" applyFont="1" applyFill="1" applyBorder="1" applyAlignment="1">
      <alignment horizontal="center"/>
    </xf>
    <xf numFmtId="15" fontId="15" fillId="0" borderId="13" xfId="0" applyNumberFormat="1" applyFont="1" applyFill="1" applyBorder="1" applyAlignment="1">
      <alignment horizontal="center"/>
    </xf>
    <xf numFmtId="1" fontId="15" fillId="0" borderId="13" xfId="0" applyNumberFormat="1" applyFont="1" applyFill="1" applyBorder="1" applyAlignment="1">
      <alignment horizontal="center"/>
    </xf>
    <xf numFmtId="20" fontId="15" fillId="0" borderId="13" xfId="0" applyNumberFormat="1" applyFont="1" applyFill="1" applyBorder="1" applyAlignment="1">
      <alignment horizontal="center"/>
    </xf>
    <xf numFmtId="0" fontId="15" fillId="0" borderId="13" xfId="0" applyNumberFormat="1" applyFont="1" applyFill="1" applyBorder="1" applyAlignment="1">
      <alignment horizontal="center"/>
    </xf>
    <xf numFmtId="3" fontId="15" fillId="0" borderId="13" xfId="0" applyNumberFormat="1" applyFont="1" applyFill="1" applyBorder="1" applyAlignment="1">
      <alignment horizontal="center"/>
    </xf>
    <xf numFmtId="171" fontId="15" fillId="0" borderId="13" xfId="0" applyNumberFormat="1" applyFont="1" applyFill="1" applyBorder="1" applyAlignment="1">
      <alignment horizontal="center"/>
    </xf>
    <xf numFmtId="2" fontId="15" fillId="3" borderId="13" xfId="0" applyNumberFormat="1" applyFont="1" applyFill="1" applyBorder="1" applyAlignment="1">
      <alignment horizontal="center"/>
    </xf>
    <xf numFmtId="15" fontId="15" fillId="3" borderId="13" xfId="0" applyNumberFormat="1" applyFont="1" applyFill="1" applyBorder="1" applyAlignment="1">
      <alignment horizontal="center"/>
    </xf>
    <xf numFmtId="1" fontId="15" fillId="3" borderId="13" xfId="0" applyNumberFormat="1" applyFont="1" applyFill="1" applyBorder="1" applyAlignment="1">
      <alignment horizontal="center"/>
    </xf>
    <xf numFmtId="20" fontId="15" fillId="3" borderId="13" xfId="0" applyNumberFormat="1" applyFont="1" applyFill="1" applyBorder="1" applyAlignment="1">
      <alignment horizontal="center"/>
    </xf>
    <xf numFmtId="0" fontId="15" fillId="3" borderId="13" xfId="0" applyNumberFormat="1" applyFont="1" applyFill="1" applyBorder="1" applyAlignment="1">
      <alignment horizontal="center"/>
    </xf>
    <xf numFmtId="3" fontId="15" fillId="3" borderId="13" xfId="0" applyNumberFormat="1" applyFont="1" applyFill="1" applyBorder="1" applyAlignment="1">
      <alignment horizontal="center"/>
    </xf>
    <xf numFmtId="171" fontId="15" fillId="3" borderId="13" xfId="0" applyNumberFormat="1" applyFont="1" applyFill="1" applyBorder="1" applyAlignment="1">
      <alignment horizontal="center"/>
    </xf>
    <xf numFmtId="172" fontId="4" fillId="0" borderId="13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Alignment="1" applyProtection="1">
      <alignment horizontal="center"/>
      <protection locked="0"/>
    </xf>
    <xf numFmtId="164" fontId="5" fillId="4" borderId="16" xfId="0" applyFont="1" applyFill="1" applyBorder="1" applyAlignment="1" applyProtection="1">
      <alignment horizontal="centerContinuous"/>
    </xf>
    <xf numFmtId="164" fontId="5" fillId="4" borderId="17" xfId="0" applyFont="1" applyFill="1" applyBorder="1" applyAlignment="1" applyProtection="1">
      <alignment horizontal="center"/>
    </xf>
    <xf numFmtId="164" fontId="5" fillId="4" borderId="18" xfId="0" applyFont="1" applyFill="1" applyBorder="1" applyAlignment="1" applyProtection="1">
      <alignment horizontal="center"/>
    </xf>
    <xf numFmtId="164" fontId="3" fillId="4" borderId="9" xfId="0" applyFont="1" applyFill="1" applyBorder="1" applyAlignment="1" applyProtection="1">
      <alignment horizontal="left"/>
    </xf>
    <xf numFmtId="164" fontId="3" fillId="4" borderId="19" xfId="0" applyFont="1" applyFill="1" applyBorder="1" applyAlignment="1" applyProtection="1">
      <alignment horizontal="left"/>
    </xf>
    <xf numFmtId="164" fontId="5" fillId="4" borderId="20" xfId="0" applyFont="1" applyFill="1" applyBorder="1" applyAlignment="1" applyProtection="1">
      <alignment horizontal="centerContinuous"/>
    </xf>
    <xf numFmtId="164" fontId="5" fillId="4" borderId="21" xfId="0" applyFont="1" applyFill="1" applyBorder="1" applyAlignment="1" applyProtection="1">
      <alignment horizontal="center"/>
    </xf>
    <xf numFmtId="164" fontId="5" fillId="4" borderId="16" xfId="0" applyFont="1" applyFill="1" applyBorder="1" applyAlignment="1" applyProtection="1">
      <alignment horizontal="center"/>
    </xf>
    <xf numFmtId="164" fontId="5" fillId="4" borderId="22" xfId="0" applyFont="1" applyFill="1" applyBorder="1" applyAlignment="1" applyProtection="1">
      <alignment horizontal="center"/>
    </xf>
    <xf numFmtId="164" fontId="5" fillId="4" borderId="23" xfId="0" applyFont="1" applyFill="1" applyBorder="1" applyAlignment="1" applyProtection="1">
      <alignment horizontal="center"/>
    </xf>
    <xf numFmtId="164" fontId="5" fillId="4" borderId="24" xfId="0" applyFont="1" applyFill="1" applyBorder="1" applyAlignment="1" applyProtection="1">
      <alignment horizontal="center"/>
    </xf>
    <xf numFmtId="164" fontId="5" fillId="4" borderId="25" xfId="0" applyFont="1" applyFill="1" applyBorder="1" applyAlignment="1" applyProtection="1">
      <alignment horizontal="center"/>
    </xf>
    <xf numFmtId="164" fontId="5" fillId="4" borderId="26" xfId="0" applyFont="1" applyFill="1" applyBorder="1" applyAlignment="1" applyProtection="1">
      <alignment horizontal="center"/>
    </xf>
    <xf numFmtId="164" fontId="5" fillId="4" borderId="16" xfId="0" applyFont="1" applyFill="1" applyBorder="1" applyAlignment="1" applyProtection="1">
      <alignment horizontal="left"/>
    </xf>
    <xf numFmtId="164" fontId="5" fillId="4" borderId="23" xfId="0" applyFont="1" applyFill="1" applyBorder="1" applyAlignment="1" applyProtection="1">
      <alignment horizontal="left"/>
    </xf>
    <xf numFmtId="165" fontId="3" fillId="5" borderId="25" xfId="0" applyNumberFormat="1" applyFont="1" applyFill="1" applyBorder="1" applyAlignment="1" applyProtection="1">
      <alignment horizontal="center"/>
    </xf>
    <xf numFmtId="165" fontId="3" fillId="5" borderId="26" xfId="0" applyNumberFormat="1" applyFont="1" applyFill="1" applyBorder="1" applyAlignment="1" applyProtection="1">
      <alignment horizontal="center"/>
    </xf>
    <xf numFmtId="2" fontId="3" fillId="5" borderId="26" xfId="0" applyNumberFormat="1" applyFont="1" applyFill="1" applyBorder="1" applyAlignment="1" applyProtection="1">
      <alignment horizontal="center"/>
    </xf>
    <xf numFmtId="2" fontId="3" fillId="5" borderId="25" xfId="0" applyNumberFormat="1" applyFont="1" applyFill="1" applyBorder="1" applyAlignment="1" applyProtection="1">
      <alignment horizontal="center"/>
    </xf>
    <xf numFmtId="164" fontId="16" fillId="4" borderId="0" xfId="0" applyFont="1" applyFill="1" applyBorder="1" applyAlignment="1" applyProtection="1">
      <alignment horizontal="centerContinuous"/>
    </xf>
    <xf numFmtId="164" fontId="4" fillId="0" borderId="20" xfId="0" applyFont="1" applyFill="1" applyBorder="1" applyAlignment="1" applyProtection="1">
      <alignment horizontal="center"/>
      <protection locked="0"/>
    </xf>
    <xf numFmtId="164" fontId="5" fillId="4" borderId="27" xfId="0" quotePrefix="1" applyFont="1" applyFill="1" applyBorder="1" applyAlignment="1" applyProtection="1">
      <alignment horizontal="left"/>
    </xf>
    <xf numFmtId="3" fontId="4" fillId="0" borderId="13" xfId="0" applyNumberFormat="1" applyFont="1" applyFill="1" applyBorder="1" applyAlignment="1" applyProtection="1">
      <alignment horizontal="center"/>
      <protection locked="0"/>
    </xf>
    <xf numFmtId="164" fontId="12" fillId="3" borderId="0" xfId="0" applyFont="1" applyFill="1"/>
    <xf numFmtId="164" fontId="4" fillId="0" borderId="39" xfId="0" applyFont="1" applyFill="1" applyBorder="1" applyAlignment="1" applyProtection="1">
      <alignment horizontal="center"/>
      <protection locked="0"/>
    </xf>
    <xf numFmtId="164" fontId="5" fillId="4" borderId="40" xfId="0" quotePrefix="1" applyFont="1" applyFill="1" applyBorder="1" applyAlignment="1" applyProtection="1">
      <alignment horizontal="center"/>
    </xf>
    <xf numFmtId="164" fontId="4" fillId="0" borderId="13" xfId="0" applyFont="1" applyFill="1" applyBorder="1" applyProtection="1">
      <protection locked="0"/>
    </xf>
    <xf numFmtId="164" fontId="5" fillId="0" borderId="0" xfId="0" applyFont="1" applyBorder="1"/>
    <xf numFmtId="164" fontId="4" fillId="0" borderId="0" xfId="0" applyFont="1" applyBorder="1"/>
    <xf numFmtId="1" fontId="5" fillId="0" borderId="0" xfId="0" applyNumberFormat="1" applyFont="1" applyBorder="1"/>
    <xf numFmtId="164" fontId="0" fillId="11" borderId="0" xfId="0" applyFill="1"/>
    <xf numFmtId="164" fontId="7" fillId="12" borderId="5" xfId="0" applyFont="1" applyFill="1" applyBorder="1"/>
    <xf numFmtId="164" fontId="5" fillId="12" borderId="1" xfId="0" applyFont="1" applyFill="1" applyBorder="1"/>
    <xf numFmtId="164" fontId="25" fillId="11" borderId="30" xfId="0" applyFont="1" applyFill="1" applyBorder="1"/>
    <xf numFmtId="164" fontId="0" fillId="11" borderId="0" xfId="0" applyFill="1" applyBorder="1"/>
    <xf numFmtId="164" fontId="0" fillId="11" borderId="1" xfId="0" applyFill="1" applyBorder="1"/>
    <xf numFmtId="164" fontId="0" fillId="11" borderId="7" xfId="0" applyFill="1" applyBorder="1"/>
    <xf numFmtId="164" fontId="0" fillId="11" borderId="8" xfId="0" applyFill="1" applyBorder="1"/>
    <xf numFmtId="164" fontId="0" fillId="11" borderId="5" xfId="0" applyFill="1" applyBorder="1"/>
    <xf numFmtId="164" fontId="5" fillId="11" borderId="46" xfId="0" applyFont="1" applyFill="1" applyBorder="1" applyAlignment="1">
      <alignment horizontal="centerContinuous"/>
    </xf>
    <xf numFmtId="164" fontId="5" fillId="11" borderId="0" xfId="0" applyFont="1" applyFill="1" applyBorder="1" applyAlignment="1">
      <alignment horizontal="centerContinuous"/>
    </xf>
    <xf numFmtId="164" fontId="0" fillId="11" borderId="13" xfId="0" applyFill="1" applyBorder="1" applyAlignment="1">
      <alignment horizontal="center"/>
    </xf>
    <xf numFmtId="164" fontId="5" fillId="11" borderId="47" xfId="0" applyFont="1" applyFill="1" applyBorder="1" applyAlignment="1" applyProtection="1">
      <alignment horizontal="center"/>
    </xf>
    <xf numFmtId="164" fontId="0" fillId="11" borderId="35" xfId="0" applyFill="1" applyBorder="1"/>
    <xf numFmtId="164" fontId="0" fillId="11" borderId="6" xfId="0" applyFill="1" applyBorder="1"/>
    <xf numFmtId="164" fontId="5" fillId="11" borderId="0" xfId="0" applyFont="1" applyFill="1" applyBorder="1"/>
    <xf numFmtId="164" fontId="5" fillId="11" borderId="1" xfId="0" applyFont="1" applyFill="1" applyBorder="1"/>
    <xf numFmtId="164" fontId="7" fillId="12" borderId="48" xfId="0" applyFont="1" applyFill="1" applyBorder="1"/>
    <xf numFmtId="164" fontId="5" fillId="12" borderId="29" xfId="0" applyFont="1" applyFill="1" applyBorder="1"/>
    <xf numFmtId="164" fontId="5" fillId="12" borderId="49" xfId="0" applyFont="1" applyFill="1" applyBorder="1"/>
    <xf numFmtId="164" fontId="5" fillId="11" borderId="50" xfId="0" applyFont="1" applyFill="1" applyBorder="1" applyAlignment="1" applyProtection="1">
      <alignment horizontal="center"/>
    </xf>
    <xf numFmtId="164" fontId="5" fillId="11" borderId="51" xfId="0" applyFont="1" applyFill="1" applyBorder="1" applyAlignment="1" applyProtection="1">
      <alignment horizontal="centerContinuous"/>
    </xf>
    <xf numFmtId="2" fontId="5" fillId="11" borderId="0" xfId="0" applyNumberFormat="1" applyFont="1" applyFill="1" applyBorder="1" applyAlignment="1" applyProtection="1">
      <alignment horizontal="center"/>
    </xf>
    <xf numFmtId="2" fontId="5" fillId="11" borderId="13" xfId="0" applyNumberFormat="1" applyFont="1" applyFill="1" applyBorder="1" applyAlignment="1" applyProtection="1">
      <alignment horizontal="center"/>
    </xf>
    <xf numFmtId="164" fontId="5" fillId="12" borderId="5" xfId="0" applyFont="1" applyFill="1" applyBorder="1"/>
    <xf numFmtId="164" fontId="3" fillId="11" borderId="13" xfId="0" applyFont="1" applyFill="1" applyBorder="1" applyAlignment="1" applyProtection="1">
      <alignment horizontal="center"/>
    </xf>
    <xf numFmtId="164" fontId="3" fillId="11" borderId="13" xfId="0" applyFont="1" applyFill="1" applyBorder="1" applyAlignment="1">
      <alignment horizontal="center"/>
    </xf>
    <xf numFmtId="164" fontId="0" fillId="11" borderId="30" xfId="0" applyFill="1" applyBorder="1"/>
    <xf numFmtId="164" fontId="0" fillId="11" borderId="0" xfId="0" quotePrefix="1" applyFill="1" applyBorder="1" applyAlignment="1">
      <alignment horizontal="centerContinuous"/>
    </xf>
    <xf numFmtId="164" fontId="0" fillId="11" borderId="0" xfId="0" applyFill="1" applyBorder="1" applyAlignment="1">
      <alignment horizontal="left"/>
    </xf>
    <xf numFmtId="164" fontId="0" fillId="11" borderId="52" xfId="0" applyFill="1" applyBorder="1"/>
    <xf numFmtId="164" fontId="0" fillId="11" borderId="51" xfId="0" applyFill="1" applyBorder="1"/>
    <xf numFmtId="164" fontId="5" fillId="11" borderId="52" xfId="0" applyFont="1" applyFill="1" applyBorder="1" applyAlignment="1">
      <alignment horizontal="centerContinuous"/>
    </xf>
    <xf numFmtId="164" fontId="3" fillId="11" borderId="47" xfId="0" applyFont="1" applyFill="1" applyBorder="1" applyAlignment="1" applyProtection="1">
      <alignment horizontal="centerContinuous"/>
    </xf>
    <xf numFmtId="164" fontId="5" fillId="11" borderId="53" xfId="0" applyFont="1" applyFill="1" applyBorder="1" applyAlignment="1" applyProtection="1">
      <alignment horizontal="center"/>
    </xf>
    <xf numFmtId="164" fontId="5" fillId="11" borderId="53" xfId="0" quotePrefix="1" applyFont="1" applyFill="1" applyBorder="1" applyAlignment="1" applyProtection="1">
      <alignment horizontal="left"/>
    </xf>
    <xf numFmtId="164" fontId="0" fillId="11" borderId="0" xfId="0" applyFill="1" applyBorder="1" applyAlignment="1">
      <alignment horizontal="right"/>
    </xf>
    <xf numFmtId="164" fontId="0" fillId="11" borderId="54" xfId="0" applyFill="1" applyBorder="1"/>
    <xf numFmtId="164" fontId="5" fillId="11" borderId="47" xfId="0" quotePrefix="1" applyFont="1" applyFill="1" applyBorder="1" applyAlignment="1" applyProtection="1">
      <alignment horizontal="left"/>
    </xf>
    <xf numFmtId="164" fontId="5" fillId="11" borderId="47" xfId="0" applyFont="1" applyFill="1" applyBorder="1" applyAlignment="1" applyProtection="1">
      <alignment horizontal="left"/>
    </xf>
    <xf numFmtId="164" fontId="5" fillId="11" borderId="1" xfId="0" applyFont="1" applyFill="1" applyBorder="1" applyAlignment="1">
      <alignment horizontal="centerContinuous"/>
    </xf>
    <xf numFmtId="2" fontId="4" fillId="0" borderId="13" xfId="0" applyNumberFormat="1" applyFont="1" applyFill="1" applyBorder="1" applyAlignment="1" applyProtection="1">
      <alignment horizontal="center"/>
      <protection locked="0"/>
    </xf>
    <xf numFmtId="164" fontId="4" fillId="0" borderId="13" xfId="0" applyFont="1" applyFill="1" applyBorder="1" applyAlignment="1" applyProtection="1">
      <alignment horizontal="center"/>
      <protection locked="0"/>
    </xf>
    <xf numFmtId="164" fontId="0" fillId="11" borderId="55" xfId="0" applyFill="1" applyBorder="1"/>
    <xf numFmtId="165" fontId="3" fillId="11" borderId="13" xfId="0" applyNumberFormat="1" applyFont="1" applyFill="1" applyBorder="1" applyAlignment="1" applyProtection="1">
      <alignment horizontal="center"/>
    </xf>
    <xf numFmtId="3" fontId="5" fillId="11" borderId="0" xfId="1" applyNumberFormat="1" applyFont="1" applyFill="1" applyBorder="1" applyAlignment="1" applyProtection="1">
      <alignment horizontal="center"/>
    </xf>
    <xf numFmtId="37" fontId="30" fillId="11" borderId="0" xfId="1" applyNumberFormat="1" applyFont="1" applyFill="1" applyBorder="1" applyAlignment="1" applyProtection="1">
      <alignment horizontal="center" vertical="center"/>
      <protection locked="0"/>
    </xf>
    <xf numFmtId="164" fontId="24" fillId="11" borderId="48" xfId="0" applyFont="1" applyFill="1" applyBorder="1" applyAlignment="1" applyProtection="1">
      <alignment horizontal="centerContinuous"/>
    </xf>
    <xf numFmtId="164" fontId="24" fillId="11" borderId="29" xfId="0" quotePrefix="1" applyFont="1" applyFill="1" applyBorder="1" applyAlignment="1" applyProtection="1">
      <alignment horizontal="centerContinuous"/>
    </xf>
    <xf numFmtId="164" fontId="24" fillId="11" borderId="49" xfId="0" quotePrefix="1" applyFont="1" applyFill="1" applyBorder="1" applyAlignment="1" applyProtection="1">
      <alignment horizontal="centerContinuous"/>
    </xf>
    <xf numFmtId="164" fontId="13" fillId="11" borderId="10" xfId="0" quotePrefix="1" applyFont="1" applyFill="1" applyBorder="1" applyAlignment="1" applyProtection="1">
      <alignment horizontal="center"/>
    </xf>
    <xf numFmtId="164" fontId="13" fillId="11" borderId="56" xfId="0" quotePrefix="1" applyFont="1" applyFill="1" applyBorder="1" applyAlignment="1" applyProtection="1">
      <alignment horizontal="center"/>
    </xf>
    <xf numFmtId="2" fontId="5" fillId="11" borderId="10" xfId="0" applyNumberFormat="1" applyFont="1" applyFill="1" applyBorder="1" applyAlignment="1" applyProtection="1">
      <alignment horizontal="center"/>
    </xf>
    <xf numFmtId="164" fontId="5" fillId="12" borderId="56" xfId="0" applyFont="1" applyFill="1" applyBorder="1"/>
    <xf numFmtId="9" fontId="4" fillId="0" borderId="13" xfId="3" applyFont="1" applyFill="1" applyBorder="1" applyAlignment="1" applyProtection="1">
      <alignment horizontal="center"/>
      <protection locked="0"/>
    </xf>
    <xf numFmtId="164" fontId="29" fillId="11" borderId="9" xfId="0" applyFont="1" applyFill="1" applyBorder="1" applyAlignment="1" applyProtection="1"/>
    <xf numFmtId="164" fontId="5" fillId="11" borderId="0" xfId="0" applyFont="1" applyFill="1" applyBorder="1" applyAlignment="1" applyProtection="1"/>
    <xf numFmtId="164" fontId="29" fillId="12" borderId="9" xfId="0" applyFont="1" applyFill="1" applyBorder="1" applyAlignment="1"/>
    <xf numFmtId="164" fontId="29" fillId="12" borderId="5" xfId="0" applyFont="1" applyFill="1" applyBorder="1" applyAlignment="1"/>
    <xf numFmtId="2" fontId="5" fillId="11" borderId="0" xfId="0" applyNumberFormat="1" applyFont="1" applyFill="1" applyBorder="1" applyAlignment="1" applyProtection="1">
      <alignment horizontal="left"/>
    </xf>
    <xf numFmtId="164" fontId="0" fillId="11" borderId="53" xfId="0" applyFill="1" applyBorder="1"/>
    <xf numFmtId="164" fontId="3" fillId="11" borderId="51" xfId="0" quotePrefix="1" applyFont="1" applyFill="1" applyBorder="1" applyAlignment="1" applyProtection="1">
      <alignment horizontal="left"/>
    </xf>
    <xf numFmtId="164" fontId="0" fillId="11" borderId="46" xfId="0" applyFill="1" applyBorder="1"/>
    <xf numFmtId="164" fontId="3" fillId="11" borderId="47" xfId="0" applyFont="1" applyFill="1" applyBorder="1" applyAlignment="1">
      <alignment horizontal="centerContinuous"/>
    </xf>
    <xf numFmtId="164" fontId="0" fillId="11" borderId="46" xfId="0" applyFill="1" applyBorder="1" applyAlignment="1">
      <alignment horizontal="left"/>
    </xf>
    <xf numFmtId="164" fontId="5" fillId="11" borderId="11" xfId="0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164" fontId="3" fillId="11" borderId="47" xfId="0" applyFont="1" applyFill="1" applyBorder="1" applyAlignment="1" applyProtection="1">
      <alignment horizontal="left"/>
    </xf>
    <xf numFmtId="164" fontId="5" fillId="11" borderId="35" xfId="0" applyFont="1" applyFill="1" applyBorder="1" applyAlignment="1">
      <alignment horizontal="centerContinuous"/>
    </xf>
    <xf numFmtId="164" fontId="5" fillId="11" borderId="47" xfId="0" applyFont="1" applyFill="1" applyBorder="1" applyAlignment="1">
      <alignment horizontal="centerContinuous"/>
    </xf>
    <xf numFmtId="164" fontId="5" fillId="11" borderId="51" xfId="0" applyFont="1" applyFill="1" applyBorder="1" applyAlignment="1">
      <alignment horizontal="centerContinuous"/>
    </xf>
    <xf numFmtId="2" fontId="14" fillId="11" borderId="53" xfId="0" applyNumberFormat="1" applyFont="1" applyFill="1" applyBorder="1" applyAlignment="1" applyProtection="1">
      <alignment horizontal="center"/>
    </xf>
    <xf numFmtId="164" fontId="0" fillId="11" borderId="50" xfId="0" applyFill="1" applyBorder="1"/>
    <xf numFmtId="164" fontId="5" fillId="11" borderId="53" xfId="0" applyFont="1" applyFill="1" applyBorder="1" applyAlignment="1" applyProtection="1">
      <alignment horizontal="left"/>
    </xf>
    <xf numFmtId="164" fontId="5" fillId="11" borderId="11" xfId="0" applyFont="1" applyFill="1" applyBorder="1"/>
    <xf numFmtId="164" fontId="3" fillId="11" borderId="0" xfId="0" applyFont="1" applyFill="1" applyBorder="1" applyAlignment="1">
      <alignment horizontal="center"/>
    </xf>
    <xf numFmtId="164" fontId="0" fillId="11" borderId="0" xfId="0" applyFill="1" applyBorder="1" applyAlignment="1">
      <alignment horizontal="center"/>
    </xf>
    <xf numFmtId="164" fontId="5" fillId="11" borderId="0" xfId="0" applyFont="1" applyFill="1" applyBorder="1" applyAlignment="1" applyProtection="1">
      <alignment horizontal="center"/>
    </xf>
    <xf numFmtId="2" fontId="3" fillId="11" borderId="0" xfId="0" applyNumberFormat="1" applyFont="1" applyFill="1" applyBorder="1" applyAlignment="1" applyProtection="1">
      <alignment horizontal="center"/>
    </xf>
    <xf numFmtId="164" fontId="5" fillId="11" borderId="47" xfId="0" applyFont="1" applyFill="1" applyBorder="1"/>
    <xf numFmtId="164" fontId="5" fillId="11" borderId="35" xfId="0" applyFont="1" applyFill="1" applyBorder="1"/>
    <xf numFmtId="164" fontId="5" fillId="11" borderId="13" xfId="0" applyFont="1" applyFill="1" applyBorder="1"/>
    <xf numFmtId="164" fontId="5" fillId="11" borderId="57" xfId="0" applyFont="1" applyFill="1" applyBorder="1" applyAlignment="1">
      <alignment horizontal="centerContinuous"/>
    </xf>
    <xf numFmtId="164" fontId="5" fillId="11" borderId="58" xfId="0" applyFont="1" applyFill="1" applyBorder="1" applyAlignment="1">
      <alignment horizontal="centerContinuous"/>
    </xf>
    <xf numFmtId="164" fontId="5" fillId="11" borderId="59" xfId="0" applyFont="1" applyFill="1" applyBorder="1" applyAlignment="1">
      <alignment horizontal="centerContinuous"/>
    </xf>
    <xf numFmtId="164" fontId="5" fillId="11" borderId="25" xfId="0" applyFont="1" applyFill="1" applyBorder="1" applyAlignment="1" applyProtection="1">
      <alignment horizontal="center"/>
    </xf>
    <xf numFmtId="164" fontId="5" fillId="11" borderId="60" xfId="0" applyFont="1" applyFill="1" applyBorder="1" applyAlignment="1" applyProtection="1">
      <alignment horizontal="centerContinuous"/>
    </xf>
    <xf numFmtId="164" fontId="5" fillId="11" borderId="61" xfId="0" applyFont="1" applyFill="1" applyBorder="1" applyAlignment="1" applyProtection="1">
      <alignment horizontal="center"/>
    </xf>
    <xf numFmtId="2" fontId="5" fillId="11" borderId="60" xfId="0" applyNumberFormat="1" applyFont="1" applyFill="1" applyBorder="1" applyAlignment="1" applyProtection="1">
      <alignment horizontal="right"/>
    </xf>
    <xf numFmtId="2" fontId="5" fillId="11" borderId="53" xfId="0" applyNumberFormat="1" applyFont="1" applyFill="1" applyBorder="1" applyAlignment="1" applyProtection="1">
      <alignment horizontal="right"/>
    </xf>
    <xf numFmtId="164" fontId="5" fillId="11" borderId="62" xfId="0" applyFont="1" applyFill="1" applyBorder="1" applyAlignment="1">
      <alignment horizontal="centerContinuous"/>
    </xf>
    <xf numFmtId="164" fontId="5" fillId="11" borderId="63" xfId="0" applyFont="1" applyFill="1" applyBorder="1" applyAlignment="1" applyProtection="1">
      <alignment horizontal="center"/>
    </xf>
    <xf numFmtId="164" fontId="0" fillId="11" borderId="30" xfId="0" applyFill="1" applyBorder="1" applyAlignment="1">
      <alignment horizontal="centerContinuous"/>
    </xf>
    <xf numFmtId="169" fontId="5" fillId="9" borderId="13" xfId="0" applyNumberFormat="1" applyFont="1" applyFill="1" applyBorder="1"/>
    <xf numFmtId="169" fontId="5" fillId="9" borderId="0" xfId="0" applyNumberFormat="1" applyFont="1" applyFill="1" applyBorder="1"/>
    <xf numFmtId="164" fontId="4" fillId="0" borderId="23" xfId="0" applyFont="1" applyFill="1" applyBorder="1" applyAlignment="1" applyProtection="1">
      <alignment horizontal="center"/>
      <protection locked="0"/>
    </xf>
    <xf numFmtId="164" fontId="5" fillId="4" borderId="58" xfId="0" applyFont="1" applyFill="1" applyBorder="1" applyAlignment="1" applyProtection="1">
      <alignment horizontal="center"/>
    </xf>
    <xf numFmtId="164" fontId="5" fillId="4" borderId="11" xfId="0" applyFont="1" applyFill="1" applyBorder="1" applyAlignment="1" applyProtection="1">
      <alignment horizontal="center"/>
    </xf>
    <xf numFmtId="164" fontId="5" fillId="4" borderId="1" xfId="0" applyFont="1" applyFill="1" applyBorder="1" applyAlignment="1" applyProtection="1">
      <alignment horizontal="center"/>
    </xf>
    <xf numFmtId="164" fontId="5" fillId="4" borderId="64" xfId="0" applyFont="1" applyFill="1" applyBorder="1" applyAlignment="1" applyProtection="1">
      <alignment horizontal="center"/>
    </xf>
    <xf numFmtId="164" fontId="5" fillId="4" borderId="65" xfId="0" applyFont="1" applyFill="1" applyBorder="1" applyAlignment="1" applyProtection="1">
      <alignment horizontal="center"/>
    </xf>
    <xf numFmtId="0" fontId="4" fillId="0" borderId="66" xfId="0" applyNumberFormat="1" applyFont="1" applyFill="1" applyBorder="1" applyAlignment="1" applyProtection="1">
      <alignment horizontal="center"/>
      <protection locked="0"/>
    </xf>
    <xf numFmtId="20" fontId="4" fillId="0" borderId="13" xfId="0" applyNumberFormat="1" applyFont="1" applyFill="1" applyBorder="1" applyAlignment="1" applyProtection="1">
      <alignment horizontal="center"/>
      <protection locked="0"/>
    </xf>
    <xf numFmtId="164" fontId="5" fillId="4" borderId="5" xfId="0" applyFont="1" applyFill="1" applyBorder="1" applyAlignment="1" applyProtection="1">
      <alignment horizontal="center"/>
    </xf>
    <xf numFmtId="2" fontId="3" fillId="5" borderId="59" xfId="0" applyNumberFormat="1" applyFont="1" applyFill="1" applyBorder="1" applyAlignment="1" applyProtection="1">
      <alignment horizontal="center"/>
    </xf>
    <xf numFmtId="164" fontId="5" fillId="4" borderId="48" xfId="0" applyFont="1" applyFill="1" applyBorder="1" applyAlignment="1" applyProtection="1">
      <alignment horizontal="centerContinuous"/>
    </xf>
    <xf numFmtId="164" fontId="5" fillId="4" borderId="67" xfId="0" quotePrefix="1" applyFont="1" applyFill="1" applyBorder="1" applyAlignment="1" applyProtection="1">
      <alignment horizontal="center"/>
    </xf>
    <xf numFmtId="2" fontId="4" fillId="0" borderId="68" xfId="0" applyNumberFormat="1" applyFont="1" applyFill="1" applyBorder="1" applyAlignment="1" applyProtection="1">
      <alignment horizontal="center"/>
      <protection locked="0"/>
    </xf>
    <xf numFmtId="0" fontId="3" fillId="9" borderId="0" xfId="2" applyFont="1" applyFill="1"/>
    <xf numFmtId="164" fontId="5" fillId="9" borderId="0" xfId="0" applyFont="1" applyFill="1"/>
    <xf numFmtId="0" fontId="3" fillId="9" borderId="13" xfId="2" applyFont="1" applyFill="1" applyBorder="1"/>
    <xf numFmtId="0" fontId="5" fillId="9" borderId="13" xfId="2" applyFont="1" applyFill="1" applyBorder="1"/>
    <xf numFmtId="1" fontId="4" fillId="0" borderId="13" xfId="2" applyNumberFormat="1" applyFont="1" applyFill="1" applyBorder="1" applyProtection="1">
      <protection locked="0"/>
    </xf>
    <xf numFmtId="2" fontId="4" fillId="0" borderId="13" xfId="2" applyNumberFormat="1" applyFont="1" applyFill="1" applyBorder="1" applyProtection="1">
      <protection locked="0"/>
    </xf>
    <xf numFmtId="0" fontId="4" fillId="0" borderId="13" xfId="2" applyFont="1" applyFill="1" applyBorder="1" applyProtection="1">
      <protection locked="0"/>
    </xf>
    <xf numFmtId="0" fontId="5" fillId="9" borderId="13" xfId="2" applyFont="1" applyFill="1" applyBorder="1" applyProtection="1">
      <protection locked="0"/>
    </xf>
    <xf numFmtId="1" fontId="5" fillId="9" borderId="13" xfId="2" applyNumberFormat="1" applyFont="1" applyFill="1" applyBorder="1" applyProtection="1">
      <protection locked="0"/>
    </xf>
    <xf numFmtId="164" fontId="5" fillId="9" borderId="13" xfId="0" applyFont="1" applyFill="1" applyBorder="1"/>
    <xf numFmtId="165" fontId="3" fillId="9" borderId="13" xfId="0" applyNumberFormat="1" applyFont="1" applyFill="1" applyBorder="1"/>
    <xf numFmtId="164" fontId="33" fillId="9" borderId="0" xfId="0" applyFont="1" applyFill="1"/>
    <xf numFmtId="164" fontId="3" fillId="9" borderId="0" xfId="0" applyFont="1" applyFill="1"/>
    <xf numFmtId="165" fontId="4" fillId="0" borderId="13" xfId="2" applyNumberFormat="1" applyFont="1" applyFill="1" applyBorder="1" applyProtection="1">
      <protection locked="0"/>
    </xf>
    <xf numFmtId="0" fontId="21" fillId="9" borderId="0" xfId="2" applyFont="1" applyFill="1" applyAlignment="1">
      <alignment horizontal="center"/>
    </xf>
    <xf numFmtId="0" fontId="21" fillId="9" borderId="0" xfId="2" applyFont="1" applyFill="1"/>
    <xf numFmtId="0" fontId="33" fillId="9" borderId="0" xfId="2" applyFont="1" applyFill="1"/>
    <xf numFmtId="0" fontId="21" fillId="9" borderId="13" xfId="2" applyFont="1" applyFill="1" applyBorder="1"/>
    <xf numFmtId="2" fontId="21" fillId="9" borderId="0" xfId="2" applyNumberFormat="1" applyFont="1" applyFill="1"/>
    <xf numFmtId="0" fontId="21" fillId="9" borderId="46" xfId="2" applyFont="1" applyFill="1" applyBorder="1"/>
    <xf numFmtId="165" fontId="21" fillId="9" borderId="0" xfId="2" applyNumberFormat="1" applyFont="1" applyFill="1"/>
    <xf numFmtId="0" fontId="21" fillId="9" borderId="14" xfId="2" applyFont="1" applyFill="1" applyBorder="1"/>
    <xf numFmtId="0" fontId="21" fillId="9" borderId="0" xfId="2" applyFont="1" applyFill="1" applyBorder="1"/>
    <xf numFmtId="0" fontId="21" fillId="9" borderId="12" xfId="2" applyFont="1" applyFill="1" applyBorder="1"/>
    <xf numFmtId="0" fontId="21" fillId="9" borderId="30" xfId="2" applyFont="1" applyFill="1" applyBorder="1"/>
    <xf numFmtId="0" fontId="3" fillId="9" borderId="13" xfId="2" applyFont="1" applyFill="1" applyBorder="1" applyAlignment="1">
      <alignment horizontal="center"/>
    </xf>
    <xf numFmtId="0" fontId="21" fillId="9" borderId="51" xfId="2" applyFont="1" applyFill="1" applyBorder="1" applyAlignment="1">
      <alignment horizontal="center"/>
    </xf>
    <xf numFmtId="1" fontId="21" fillId="9" borderId="0" xfId="2" applyNumberFormat="1" applyFont="1" applyFill="1" applyBorder="1"/>
    <xf numFmtId="164" fontId="22" fillId="9" borderId="0" xfId="0" applyFont="1" applyFill="1"/>
    <xf numFmtId="164" fontId="23" fillId="9" borderId="0" xfId="0" applyFont="1" applyFill="1"/>
    <xf numFmtId="0" fontId="5" fillId="9" borderId="0" xfId="2" applyFont="1" applyFill="1" applyBorder="1"/>
    <xf numFmtId="0" fontId="4" fillId="9" borderId="0" xfId="2" applyFont="1" applyFill="1" applyBorder="1" applyAlignment="1">
      <alignment horizontal="center"/>
    </xf>
    <xf numFmtId="164" fontId="3" fillId="9" borderId="13" xfId="0" applyFont="1" applyFill="1" applyBorder="1"/>
    <xf numFmtId="164" fontId="3" fillId="9" borderId="13" xfId="0" applyFont="1" applyFill="1" applyBorder="1" applyAlignment="1">
      <alignment horizontal="center"/>
    </xf>
    <xf numFmtId="2" fontId="5" fillId="9" borderId="0" xfId="0" applyNumberFormat="1" applyFont="1" applyFill="1"/>
    <xf numFmtId="9" fontId="5" fillId="9" borderId="13" xfId="3" applyFont="1" applyFill="1" applyBorder="1" applyAlignment="1"/>
    <xf numFmtId="0" fontId="5" fillId="9" borderId="0" xfId="2" applyFont="1" applyFill="1" applyAlignment="1">
      <alignment horizontal="right"/>
    </xf>
    <xf numFmtId="3" fontId="4" fillId="0" borderId="13" xfId="0" applyNumberFormat="1" applyFont="1" applyFill="1" applyBorder="1" applyProtection="1">
      <protection locked="0"/>
    </xf>
    <xf numFmtId="9" fontId="4" fillId="0" borderId="13" xfId="3" applyFont="1" applyFill="1" applyBorder="1" applyAlignment="1" applyProtection="1">
      <protection locked="0"/>
    </xf>
    <xf numFmtId="165" fontId="4" fillId="0" borderId="13" xfId="2" applyNumberFormat="1" applyFont="1" applyFill="1" applyBorder="1" applyAlignment="1" applyProtection="1">
      <protection locked="0"/>
    </xf>
    <xf numFmtId="165" fontId="5" fillId="9" borderId="13" xfId="3" applyNumberFormat="1" applyFont="1" applyFill="1" applyBorder="1" applyAlignment="1"/>
    <xf numFmtId="9" fontId="4" fillId="0" borderId="13" xfId="3" applyNumberFormat="1" applyFont="1" applyFill="1" applyBorder="1" applyAlignment="1" applyProtection="1">
      <protection locked="0"/>
    </xf>
    <xf numFmtId="0" fontId="5" fillId="11" borderId="13" xfId="2" applyFont="1" applyFill="1" applyBorder="1" applyAlignment="1">
      <alignment horizontal="center"/>
    </xf>
    <xf numFmtId="0" fontId="21" fillId="11" borderId="13" xfId="2" applyFont="1" applyFill="1" applyBorder="1" applyAlignment="1">
      <alignment horizontal="center"/>
    </xf>
    <xf numFmtId="0" fontId="5" fillId="9" borderId="50" xfId="2" applyFont="1" applyFill="1" applyBorder="1" applyAlignment="1">
      <alignment horizontal="center"/>
    </xf>
    <xf numFmtId="0" fontId="5" fillId="9" borderId="51" xfId="2" applyFont="1" applyFill="1" applyBorder="1" applyAlignment="1">
      <alignment horizontal="center"/>
    </xf>
    <xf numFmtId="0" fontId="3" fillId="9" borderId="13" xfId="2" applyFont="1" applyFill="1" applyBorder="1" applyAlignment="1">
      <alignment horizontal="centerContinuous"/>
    </xf>
    <xf numFmtId="164" fontId="5" fillId="9" borderId="55" xfId="0" applyFont="1" applyFill="1" applyBorder="1" applyAlignment="1">
      <alignment horizontal="centerContinuous"/>
    </xf>
    <xf numFmtId="165" fontId="5" fillId="9" borderId="13" xfId="2" applyNumberFormat="1" applyFont="1" applyFill="1" applyBorder="1" applyAlignment="1">
      <alignment horizontal="right"/>
    </xf>
    <xf numFmtId="9" fontId="4" fillId="0" borderId="13" xfId="3" applyFont="1" applyFill="1" applyBorder="1" applyAlignment="1" applyProtection="1">
      <alignment horizontal="right"/>
      <protection locked="0"/>
    </xf>
    <xf numFmtId="1" fontId="4" fillId="0" borderId="13" xfId="2" applyNumberFormat="1" applyFont="1" applyFill="1" applyBorder="1" applyAlignment="1" applyProtection="1">
      <alignment horizontal="right"/>
      <protection locked="0"/>
    </xf>
    <xf numFmtId="1" fontId="21" fillId="9" borderId="13" xfId="2" applyNumberFormat="1" applyFont="1" applyFill="1" applyBorder="1" applyAlignment="1">
      <alignment horizontal="right"/>
    </xf>
    <xf numFmtId="9" fontId="21" fillId="9" borderId="13" xfId="3" applyFont="1" applyFill="1" applyBorder="1" applyAlignment="1">
      <alignment horizontal="right"/>
    </xf>
    <xf numFmtId="1" fontId="21" fillId="9" borderId="13" xfId="3" applyNumberFormat="1" applyFont="1" applyFill="1" applyBorder="1" applyAlignment="1">
      <alignment horizontal="right"/>
    </xf>
    <xf numFmtId="164" fontId="5" fillId="9" borderId="0" xfId="0" applyFont="1" applyFill="1" applyAlignment="1">
      <alignment horizontal="center"/>
    </xf>
    <xf numFmtId="165" fontId="3" fillId="9" borderId="13" xfId="0" applyNumberFormat="1" applyFont="1" applyFill="1" applyBorder="1" applyAlignment="1">
      <alignment horizontal="center"/>
    </xf>
    <xf numFmtId="0" fontId="5" fillId="9" borderId="0" xfId="2" applyFont="1" applyFill="1"/>
    <xf numFmtId="164" fontId="4" fillId="0" borderId="13" xfId="0" applyFont="1" applyFill="1" applyBorder="1" applyAlignment="1" applyProtection="1">
      <alignment horizontal="right"/>
      <protection locked="0"/>
    </xf>
    <xf numFmtId="169" fontId="5" fillId="9" borderId="13" xfId="0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 applyProtection="1">
      <alignment horizontal="right"/>
      <protection locked="0"/>
    </xf>
    <xf numFmtId="165" fontId="3" fillId="9" borderId="13" xfId="0" applyNumberFormat="1" applyFont="1" applyFill="1" applyBorder="1" applyAlignment="1">
      <alignment horizontal="right"/>
    </xf>
    <xf numFmtId="9" fontId="5" fillId="9" borderId="13" xfId="3" applyFont="1" applyFill="1" applyBorder="1" applyAlignment="1">
      <alignment horizontal="right"/>
    </xf>
    <xf numFmtId="165" fontId="5" fillId="9" borderId="13" xfId="3" applyNumberFormat="1" applyFont="1" applyFill="1" applyBorder="1" applyAlignment="1">
      <alignment horizontal="right"/>
    </xf>
    <xf numFmtId="164" fontId="3" fillId="4" borderId="5" xfId="0" applyFont="1" applyFill="1" applyBorder="1" applyAlignment="1" applyProtection="1">
      <alignment horizontal="left"/>
    </xf>
    <xf numFmtId="164" fontId="5" fillId="13" borderId="5" xfId="0" quotePrefix="1" applyFont="1" applyFill="1" applyBorder="1" applyAlignment="1" applyProtection="1">
      <alignment horizontal="left"/>
    </xf>
    <xf numFmtId="172" fontId="19" fillId="0" borderId="87" xfId="0" applyNumberFormat="1" applyFont="1" applyFill="1" applyBorder="1" applyAlignment="1" applyProtection="1">
      <alignment horizontal="center"/>
      <protection locked="0"/>
    </xf>
    <xf numFmtId="1" fontId="19" fillId="0" borderId="88" xfId="0" applyNumberFormat="1" applyFont="1" applyFill="1" applyBorder="1" applyAlignment="1" applyProtection="1">
      <alignment horizontal="center"/>
      <protection locked="0"/>
    </xf>
    <xf numFmtId="164" fontId="5" fillId="0" borderId="0" xfId="0" quotePrefix="1" applyFont="1" applyFill="1" applyBorder="1" applyAlignment="1" applyProtection="1">
      <alignment horizontal="left"/>
    </xf>
    <xf numFmtId="173" fontId="14" fillId="0" borderId="0" xfId="3" applyNumberFormat="1" applyFont="1" applyFill="1" applyBorder="1" applyAlignment="1" applyProtection="1">
      <alignment horizontal="center"/>
      <protection locked="0"/>
    </xf>
    <xf numFmtId="164" fontId="0" fillId="0" borderId="0" xfId="0" applyFill="1"/>
    <xf numFmtId="4" fontId="15" fillId="0" borderId="13" xfId="0" applyNumberFormat="1" applyFont="1" applyFill="1" applyBorder="1" applyAlignment="1">
      <alignment horizontal="center"/>
    </xf>
    <xf numFmtId="165" fontId="15" fillId="0" borderId="13" xfId="0" applyNumberFormat="1" applyFont="1" applyFill="1" applyBorder="1" applyAlignment="1">
      <alignment horizontal="center"/>
    </xf>
    <xf numFmtId="2" fontId="4" fillId="0" borderId="88" xfId="0" applyNumberFormat="1" applyFont="1" applyFill="1" applyBorder="1" applyAlignment="1" applyProtection="1">
      <alignment horizontal="center"/>
      <protection locked="0"/>
    </xf>
    <xf numFmtId="168" fontId="4" fillId="0" borderId="13" xfId="0" applyNumberFormat="1" applyFont="1" applyFill="1" applyBorder="1" applyAlignment="1" applyProtection="1">
      <alignment horizontal="center"/>
      <protection locked="0"/>
    </xf>
    <xf numFmtId="15" fontId="4" fillId="0" borderId="13" xfId="0" applyNumberFormat="1" applyFont="1" applyFill="1" applyBorder="1" applyAlignment="1" applyProtection="1">
      <alignment horizontal="center"/>
      <protection locked="0"/>
    </xf>
    <xf numFmtId="174" fontId="12" fillId="0" borderId="13" xfId="0" applyNumberFormat="1" applyFont="1" applyFill="1" applyBorder="1" applyAlignment="1">
      <alignment horizontal="center"/>
    </xf>
    <xf numFmtId="165" fontId="12" fillId="0" borderId="13" xfId="3" applyNumberFormat="1" applyFont="1" applyFill="1" applyBorder="1" applyAlignment="1">
      <alignment horizontal="center"/>
    </xf>
    <xf numFmtId="164" fontId="12" fillId="0" borderId="13" xfId="0" applyFont="1" applyBorder="1"/>
    <xf numFmtId="168" fontId="4" fillId="0" borderId="88" xfId="0" applyNumberFormat="1" applyFont="1" applyFill="1" applyBorder="1" applyAlignment="1" applyProtection="1">
      <alignment horizontal="center"/>
      <protection locked="0"/>
    </xf>
    <xf numFmtId="164" fontId="5" fillId="13" borderId="28" xfId="0" applyFont="1" applyFill="1" applyBorder="1" applyAlignment="1" applyProtection="1">
      <alignment horizontal="center"/>
    </xf>
    <xf numFmtId="164" fontId="0" fillId="0" borderId="0" xfId="0" applyFill="1" applyAlignment="1"/>
    <xf numFmtId="164" fontId="16" fillId="0" borderId="0" xfId="0" applyFont="1" applyFill="1" applyBorder="1" applyAlignment="1" applyProtection="1">
      <alignment horizontal="centerContinuous"/>
    </xf>
    <xf numFmtId="164" fontId="2" fillId="0" borderId="0" xfId="0" applyFont="1" applyFill="1" applyAlignment="1">
      <alignment horizontal="centerContinuous"/>
    </xf>
    <xf numFmtId="164" fontId="3" fillId="0" borderId="2" xfId="0" applyFont="1" applyFill="1" applyBorder="1" applyAlignment="1"/>
    <xf numFmtId="164" fontId="5" fillId="0" borderId="3" xfId="0" applyFont="1" applyFill="1" applyBorder="1" applyAlignment="1"/>
    <xf numFmtId="164" fontId="3" fillId="0" borderId="4" xfId="0" applyFont="1" applyFill="1" applyBorder="1" applyAlignment="1">
      <alignment horizontal="center"/>
    </xf>
    <xf numFmtId="164" fontId="5" fillId="0" borderId="64" xfId="0" applyFont="1" applyFill="1" applyBorder="1" applyAlignment="1" applyProtection="1">
      <alignment horizontal="center"/>
    </xf>
    <xf numFmtId="164" fontId="5" fillId="0" borderId="65" xfId="0" applyFont="1" applyFill="1" applyBorder="1" applyAlignment="1" applyProtection="1">
      <alignment horizontal="center"/>
    </xf>
    <xf numFmtId="164" fontId="5" fillId="0" borderId="25" xfId="0" applyFont="1" applyFill="1" applyBorder="1" applyAlignment="1" applyProtection="1">
      <alignment horizontal="center"/>
    </xf>
    <xf numFmtId="164" fontId="5" fillId="0" borderId="58" xfId="0" applyFont="1" applyFill="1" applyBorder="1" applyAlignment="1" applyProtection="1">
      <alignment horizontal="center"/>
    </xf>
    <xf numFmtId="164" fontId="5" fillId="0" borderId="14" xfId="0" applyFont="1" applyFill="1" applyBorder="1" applyAlignment="1" applyProtection="1">
      <alignment horizontal="center"/>
    </xf>
    <xf numFmtId="164" fontId="5" fillId="0" borderId="28" xfId="0" applyFont="1" applyFill="1" applyBorder="1" applyAlignment="1" applyProtection="1">
      <alignment horizontal="center"/>
    </xf>
    <xf numFmtId="164" fontId="4" fillId="0" borderId="12" xfId="0" applyFont="1" applyFill="1" applyBorder="1" applyAlignment="1" applyProtection="1">
      <alignment horizontal="center"/>
      <protection locked="0"/>
    </xf>
    <xf numFmtId="164" fontId="5" fillId="0" borderId="89" xfId="0" applyFont="1" applyFill="1" applyBorder="1" applyAlignment="1" applyProtection="1">
      <alignment horizontal="center"/>
      <protection locked="0"/>
    </xf>
    <xf numFmtId="164" fontId="5" fillId="0" borderId="16" xfId="0" applyFont="1" applyFill="1" applyBorder="1" applyAlignment="1" applyProtection="1">
      <alignment horizontal="centerContinuous"/>
    </xf>
    <xf numFmtId="164" fontId="5" fillId="0" borderId="17" xfId="0" applyFont="1" applyFill="1" applyBorder="1" applyAlignment="1" applyProtection="1">
      <alignment horizontal="center"/>
    </xf>
    <xf numFmtId="164" fontId="5" fillId="0" borderId="18" xfId="0" applyFont="1" applyFill="1" applyBorder="1" applyAlignment="1" applyProtection="1">
      <alignment horizontal="center"/>
    </xf>
    <xf numFmtId="164" fontId="5" fillId="0" borderId="11" xfId="0" applyFont="1" applyFill="1" applyBorder="1" applyAlignment="1" applyProtection="1">
      <alignment horizontal="center"/>
    </xf>
    <xf numFmtId="164" fontId="5" fillId="0" borderId="1" xfId="0" applyFont="1" applyFill="1" applyBorder="1" applyAlignment="1" applyProtection="1">
      <alignment horizontal="center"/>
    </xf>
    <xf numFmtId="164" fontId="5" fillId="0" borderId="90" xfId="0" applyFont="1" applyFill="1" applyBorder="1" applyAlignment="1" applyProtection="1">
      <alignment horizontal="center"/>
      <protection locked="0"/>
    </xf>
    <xf numFmtId="164" fontId="5" fillId="0" borderId="13" xfId="0" applyFont="1" applyFill="1" applyBorder="1" applyAlignment="1" applyProtection="1">
      <alignment horizontal="center"/>
      <protection locked="0"/>
    </xf>
    <xf numFmtId="0" fontId="5" fillId="0" borderId="13" xfId="1" applyNumberFormat="1" applyFont="1" applyFill="1" applyBorder="1" applyAlignment="1" applyProtection="1">
      <alignment horizontal="center"/>
      <protection locked="0"/>
    </xf>
    <xf numFmtId="2" fontId="5" fillId="0" borderId="13" xfId="0" applyNumberFormat="1" applyFont="1" applyFill="1" applyBorder="1" applyAlignment="1" applyProtection="1">
      <alignment horizontal="center"/>
      <protection locked="0"/>
    </xf>
    <xf numFmtId="165" fontId="5" fillId="0" borderId="88" xfId="0" applyNumberFormat="1" applyFont="1" applyFill="1" applyBorder="1" applyAlignment="1" applyProtection="1">
      <alignment horizontal="center"/>
      <protection locked="0"/>
    </xf>
    <xf numFmtId="164" fontId="5" fillId="0" borderId="91" xfId="0" applyFont="1" applyFill="1" applyBorder="1" applyAlignment="1" applyProtection="1">
      <alignment horizontal="center"/>
      <protection locked="0"/>
    </xf>
    <xf numFmtId="164" fontId="5" fillId="0" borderId="5" xfId="0" applyFont="1" applyFill="1" applyBorder="1" applyAlignment="1" applyProtection="1">
      <alignment horizontal="center"/>
      <protection locked="0"/>
    </xf>
    <xf numFmtId="164" fontId="4" fillId="0" borderId="0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4" fontId="5" fillId="0" borderId="6" xfId="0" applyFont="1" applyFill="1" applyBorder="1"/>
    <xf numFmtId="164" fontId="5" fillId="0" borderId="7" xfId="0" applyFont="1" applyFill="1" applyBorder="1"/>
    <xf numFmtId="164" fontId="5" fillId="0" borderId="8" xfId="0" applyFont="1" applyFill="1" applyBorder="1"/>
    <xf numFmtId="164" fontId="3" fillId="0" borderId="19" xfId="0" applyFont="1" applyFill="1" applyBorder="1" applyAlignment="1" applyProtection="1">
      <alignment horizontal="left"/>
    </xf>
    <xf numFmtId="164" fontId="5" fillId="0" borderId="92" xfId="0" applyFont="1" applyFill="1" applyBorder="1" applyAlignment="1">
      <alignment horizontal="centerContinuous"/>
    </xf>
    <xf numFmtId="164" fontId="5" fillId="0" borderId="56" xfId="0" quotePrefix="1" applyFont="1" applyFill="1" applyBorder="1" applyAlignment="1">
      <alignment horizontal="centerContinuous"/>
    </xf>
    <xf numFmtId="164" fontId="5" fillId="0" borderId="20" xfId="0" applyFont="1" applyFill="1" applyBorder="1" applyAlignment="1" applyProtection="1">
      <alignment horizontal="centerContinuous"/>
    </xf>
    <xf numFmtId="164" fontId="5" fillId="0" borderId="13" xfId="0" applyFont="1" applyFill="1" applyBorder="1" applyAlignment="1">
      <alignment horizontal="center"/>
    </xf>
    <xf numFmtId="164" fontId="5" fillId="0" borderId="21" xfId="0" applyFont="1" applyFill="1" applyBorder="1" applyAlignment="1" applyProtection="1">
      <alignment horizontal="center"/>
    </xf>
    <xf numFmtId="164" fontId="5" fillId="0" borderId="40" xfId="0" quotePrefix="1" applyFont="1" applyFill="1" applyBorder="1" applyAlignment="1" applyProtection="1">
      <alignment horizontal="center"/>
    </xf>
    <xf numFmtId="164" fontId="5" fillId="0" borderId="48" xfId="0" applyFont="1" applyFill="1" applyBorder="1" applyAlignment="1" applyProtection="1">
      <alignment horizontal="centerContinuous"/>
    </xf>
    <xf numFmtId="164" fontId="5" fillId="0" borderId="67" xfId="0" quotePrefix="1" applyFont="1" applyFill="1" applyBorder="1" applyAlignment="1" applyProtection="1">
      <alignment horizontal="center"/>
    </xf>
    <xf numFmtId="164" fontId="5" fillId="0" borderId="93" xfId="0" applyFont="1" applyFill="1" applyBorder="1" applyAlignment="1" applyProtection="1">
      <alignment horizontal="center"/>
      <protection locked="0"/>
    </xf>
    <xf numFmtId="164" fontId="14" fillId="0" borderId="5" xfId="0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164" fontId="5" fillId="0" borderId="1" xfId="0" applyFont="1" applyFill="1" applyBorder="1"/>
    <xf numFmtId="164" fontId="5" fillId="0" borderId="5" xfId="0" applyFont="1" applyFill="1" applyBorder="1"/>
    <xf numFmtId="164" fontId="5" fillId="0" borderId="0" xfId="0" applyFont="1" applyFill="1" applyBorder="1"/>
    <xf numFmtId="164" fontId="3" fillId="0" borderId="9" xfId="0" applyFont="1" applyFill="1" applyBorder="1" applyAlignment="1" applyProtection="1">
      <alignment horizontal="left"/>
    </xf>
    <xf numFmtId="164" fontId="5" fillId="0" borderId="10" xfId="0" applyFont="1" applyFill="1" applyBorder="1" applyAlignment="1">
      <alignment horizontal="centerContinuous"/>
    </xf>
    <xf numFmtId="164" fontId="3" fillId="0" borderId="5" xfId="0" applyFont="1" applyFill="1" applyBorder="1" applyAlignment="1" applyProtection="1">
      <alignment horizontal="left"/>
    </xf>
    <xf numFmtId="164" fontId="5" fillId="0" borderId="0" xfId="0" applyFont="1" applyFill="1" applyBorder="1" applyAlignment="1">
      <alignment horizontal="centerContinuous"/>
    </xf>
    <xf numFmtId="164" fontId="5" fillId="0" borderId="1" xfId="0" quotePrefix="1" applyFont="1" applyFill="1" applyBorder="1" applyAlignment="1">
      <alignment horizontal="centerContinuous"/>
    </xf>
    <xf numFmtId="164" fontId="5" fillId="0" borderId="94" xfId="0" applyFont="1" applyFill="1" applyBorder="1" applyAlignment="1" applyProtection="1">
      <alignment horizontal="center"/>
    </xf>
    <xf numFmtId="164" fontId="5" fillId="0" borderId="95" xfId="0" applyFont="1" applyFill="1" applyBorder="1" applyAlignment="1" applyProtection="1">
      <alignment horizontal="center"/>
    </xf>
    <xf numFmtId="164" fontId="5" fillId="0" borderId="96" xfId="0" applyFont="1" applyFill="1" applyBorder="1" applyAlignment="1" applyProtection="1">
      <alignment horizontal="center"/>
    </xf>
    <xf numFmtId="164" fontId="5" fillId="0" borderId="16" xfId="0" applyFont="1" applyFill="1" applyBorder="1" applyAlignment="1" applyProtection="1">
      <alignment horizontal="center"/>
    </xf>
    <xf numFmtId="164" fontId="5" fillId="0" borderId="22" xfId="0" applyFont="1" applyFill="1" applyBorder="1" applyAlignment="1" applyProtection="1">
      <alignment horizontal="center"/>
    </xf>
    <xf numFmtId="165" fontId="3" fillId="0" borderId="97" xfId="0" applyNumberFormat="1" applyFont="1" applyFill="1" applyBorder="1" applyAlignment="1">
      <alignment horizontal="center"/>
    </xf>
    <xf numFmtId="165" fontId="3" fillId="0" borderId="98" xfId="0" applyNumberFormat="1" applyFont="1" applyFill="1" applyBorder="1" applyAlignment="1">
      <alignment horizontal="center"/>
    </xf>
    <xf numFmtId="164" fontId="5" fillId="0" borderId="23" xfId="0" applyFont="1" applyFill="1" applyBorder="1" applyAlignment="1" applyProtection="1">
      <alignment horizontal="center"/>
    </xf>
    <xf numFmtId="164" fontId="5" fillId="0" borderId="24" xfId="0" applyFont="1" applyFill="1" applyBorder="1" applyAlignment="1" applyProtection="1">
      <alignment horizontal="center"/>
    </xf>
    <xf numFmtId="164" fontId="5" fillId="0" borderId="5" xfId="0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5" fillId="0" borderId="76" xfId="0" quotePrefix="1" applyFont="1" applyFill="1" applyBorder="1" applyAlignment="1">
      <alignment horizontal="centerContinuous"/>
    </xf>
    <xf numFmtId="164" fontId="5" fillId="0" borderId="64" xfId="0" applyFont="1" applyFill="1" applyBorder="1" applyAlignment="1">
      <alignment horizontal="right"/>
    </xf>
    <xf numFmtId="164" fontId="5" fillId="0" borderId="26" xfId="0" applyFont="1" applyFill="1" applyBorder="1" applyAlignment="1" applyProtection="1">
      <alignment horizontal="center"/>
    </xf>
    <xf numFmtId="164" fontId="5" fillId="0" borderId="99" xfId="0" applyFont="1" applyFill="1" applyBorder="1"/>
    <xf numFmtId="165" fontId="3" fillId="0" borderId="25" xfId="0" applyNumberFormat="1" applyFont="1" applyFill="1" applyBorder="1" applyAlignment="1" applyProtection="1">
      <alignment horizontal="center"/>
    </xf>
    <xf numFmtId="165" fontId="3" fillId="0" borderId="26" xfId="0" applyNumberFormat="1" applyFont="1" applyFill="1" applyBorder="1" applyAlignment="1" applyProtection="1">
      <alignment horizontal="center"/>
    </xf>
    <xf numFmtId="164" fontId="5" fillId="0" borderId="100" xfId="0" applyFont="1" applyFill="1" applyBorder="1"/>
    <xf numFmtId="2" fontId="3" fillId="0" borderId="59" xfId="0" applyNumberFormat="1" applyFont="1" applyFill="1" applyBorder="1" applyAlignment="1" applyProtection="1">
      <alignment horizontal="center"/>
    </xf>
    <xf numFmtId="2" fontId="3" fillId="0" borderId="25" xfId="0" applyNumberFormat="1" applyFont="1" applyFill="1" applyBorder="1" applyAlignment="1" applyProtection="1">
      <alignment horizontal="center"/>
    </xf>
    <xf numFmtId="2" fontId="3" fillId="0" borderId="26" xfId="0" applyNumberFormat="1" applyFont="1" applyFill="1" applyBorder="1" applyAlignment="1" applyProtection="1">
      <alignment horizontal="center"/>
    </xf>
    <xf numFmtId="164" fontId="5" fillId="0" borderId="99" xfId="0" applyFont="1" applyFill="1" applyBorder="1" applyAlignment="1">
      <alignment horizontal="left"/>
    </xf>
    <xf numFmtId="164" fontId="5" fillId="0" borderId="16" xfId="0" applyFont="1" applyFill="1" applyBorder="1" applyAlignment="1" applyProtection="1">
      <alignment horizontal="left"/>
    </xf>
    <xf numFmtId="164" fontId="5" fillId="0" borderId="23" xfId="0" applyFont="1" applyFill="1" applyBorder="1" applyAlignment="1" applyProtection="1">
      <alignment horizontal="left"/>
    </xf>
    <xf numFmtId="164" fontId="5" fillId="0" borderId="27" xfId="0" quotePrefix="1" applyFont="1" applyFill="1" applyBorder="1" applyAlignment="1" applyProtection="1">
      <alignment horizontal="left"/>
    </xf>
    <xf numFmtId="173" fontId="14" fillId="0" borderId="101" xfId="3" applyNumberFormat="1" applyFont="1" applyFill="1" applyBorder="1" applyAlignment="1" applyProtection="1">
      <alignment horizontal="center"/>
      <protection locked="0"/>
    </xf>
    <xf numFmtId="173" fontId="14" fillId="0" borderId="102" xfId="3" applyNumberFormat="1" applyFont="1" applyFill="1" applyBorder="1" applyAlignment="1" applyProtection="1">
      <alignment horizontal="center"/>
      <protection locked="0"/>
    </xf>
    <xf numFmtId="172" fontId="17" fillId="0" borderId="13" xfId="0" applyNumberFormat="1" applyFont="1" applyFill="1" applyBorder="1" applyAlignment="1" applyProtection="1">
      <alignment horizontal="center"/>
      <protection locked="0"/>
    </xf>
    <xf numFmtId="0" fontId="17" fillId="0" borderId="13" xfId="0" applyNumberFormat="1" applyFont="1" applyFill="1" applyBorder="1" applyAlignment="1" applyProtection="1">
      <alignment horizontal="center"/>
      <protection locked="0"/>
    </xf>
    <xf numFmtId="164" fontId="18" fillId="0" borderId="50" xfId="0" applyFont="1" applyFill="1" applyBorder="1"/>
    <xf numFmtId="164" fontId="0" fillId="0" borderId="103" xfId="0" applyFill="1" applyBorder="1"/>
    <xf numFmtId="164" fontId="18" fillId="0" borderId="51" xfId="0" applyFont="1" applyFill="1" applyBorder="1"/>
    <xf numFmtId="164" fontId="0" fillId="0" borderId="52" xfId="0" applyFill="1" applyBorder="1"/>
    <xf numFmtId="164" fontId="18" fillId="0" borderId="53" xfId="0" quotePrefix="1" applyFont="1" applyFill="1" applyBorder="1" applyAlignment="1">
      <alignment horizontal="left"/>
    </xf>
    <xf numFmtId="164" fontId="0" fillId="0" borderId="54" xfId="0" applyFill="1" applyBorder="1"/>
    <xf numFmtId="164" fontId="18" fillId="0" borderId="53" xfId="0" applyFont="1" applyFill="1" applyBorder="1" applyAlignment="1">
      <alignment horizontal="left"/>
    </xf>
    <xf numFmtId="164" fontId="2" fillId="4" borderId="0" xfId="0" applyFont="1" applyFill="1" applyProtection="1"/>
    <xf numFmtId="164" fontId="2" fillId="4" borderId="0" xfId="0" applyFont="1" applyFill="1" applyAlignment="1" applyProtection="1">
      <alignment horizontal="centerContinuous"/>
    </xf>
    <xf numFmtId="164" fontId="2" fillId="4" borderId="0" xfId="0" applyFont="1" applyFill="1" applyAlignment="1" applyProtection="1"/>
    <xf numFmtId="164" fontId="3" fillId="4" borderId="2" xfId="0" applyFont="1" applyFill="1" applyBorder="1" applyAlignment="1" applyProtection="1"/>
    <xf numFmtId="164" fontId="5" fillId="4" borderId="3" xfId="0" applyFont="1" applyFill="1" applyBorder="1" applyAlignment="1" applyProtection="1"/>
    <xf numFmtId="164" fontId="3" fillId="4" borderId="4" xfId="0" applyFont="1" applyFill="1" applyBorder="1" applyAlignment="1" applyProtection="1">
      <alignment horizontal="center"/>
    </xf>
    <xf numFmtId="164" fontId="5" fillId="13" borderId="89" xfId="0" applyFont="1" applyFill="1" applyBorder="1" applyAlignment="1" applyProtection="1">
      <alignment horizontal="center"/>
    </xf>
    <xf numFmtId="164" fontId="5" fillId="4" borderId="90" xfId="0" applyFont="1" applyFill="1" applyBorder="1" applyAlignment="1" applyProtection="1">
      <alignment horizontal="center"/>
    </xf>
    <xf numFmtId="164" fontId="5" fillId="4" borderId="13" xfId="0" applyFont="1" applyFill="1" applyBorder="1" applyAlignment="1" applyProtection="1">
      <alignment horizontal="center"/>
    </xf>
    <xf numFmtId="0" fontId="5" fillId="4" borderId="13" xfId="1" applyNumberFormat="1" applyFont="1" applyFill="1" applyBorder="1" applyAlignment="1" applyProtection="1">
      <alignment horizontal="center"/>
    </xf>
    <xf numFmtId="2" fontId="5" fillId="4" borderId="13" xfId="0" applyNumberFormat="1" applyFont="1" applyFill="1" applyBorder="1" applyAlignment="1" applyProtection="1">
      <alignment horizontal="center"/>
    </xf>
    <xf numFmtId="165" fontId="5" fillId="4" borderId="88" xfId="0" applyNumberFormat="1" applyFont="1" applyFill="1" applyBorder="1" applyAlignment="1" applyProtection="1">
      <alignment horizontal="center"/>
    </xf>
    <xf numFmtId="164" fontId="5" fillId="4" borderId="91" xfId="0" applyFont="1" applyFill="1" applyBorder="1" applyAlignment="1" applyProtection="1">
      <alignment horizontal="center"/>
    </xf>
    <xf numFmtId="164" fontId="4" fillId="4" borderId="0" xfId="0" applyFont="1" applyFill="1" applyBorder="1" applyAlignment="1" applyProtection="1">
      <alignment horizontal="center"/>
    </xf>
    <xf numFmtId="2" fontId="4" fillId="4" borderId="0" xfId="0" applyNumberFormat="1" applyFont="1" applyFill="1" applyBorder="1" applyAlignment="1" applyProtection="1">
      <alignment horizontal="center"/>
    </xf>
    <xf numFmtId="165" fontId="4" fillId="4" borderId="1" xfId="0" applyNumberFormat="1" applyFont="1" applyFill="1" applyBorder="1" applyAlignment="1" applyProtection="1">
      <alignment horizontal="center"/>
    </xf>
    <xf numFmtId="164" fontId="5" fillId="4" borderId="6" xfId="0" applyFont="1" applyFill="1" applyBorder="1" applyProtection="1"/>
    <xf numFmtId="164" fontId="5" fillId="4" borderId="7" xfId="0" applyFont="1" applyFill="1" applyBorder="1" applyProtection="1"/>
    <xf numFmtId="164" fontId="5" fillId="4" borderId="8" xfId="0" applyFont="1" applyFill="1" applyBorder="1" applyProtection="1"/>
    <xf numFmtId="164" fontId="5" fillId="4" borderId="92" xfId="0" applyFont="1" applyFill="1" applyBorder="1" applyAlignment="1" applyProtection="1">
      <alignment horizontal="centerContinuous"/>
    </xf>
    <xf numFmtId="164" fontId="5" fillId="4" borderId="56" xfId="0" quotePrefix="1" applyFont="1" applyFill="1" applyBorder="1" applyAlignment="1" applyProtection="1">
      <alignment horizontal="centerContinuous"/>
    </xf>
    <xf numFmtId="164" fontId="5" fillId="4" borderId="93" xfId="0" applyFont="1" applyFill="1" applyBorder="1" applyAlignment="1" applyProtection="1">
      <alignment horizontal="center"/>
    </xf>
    <xf numFmtId="164" fontId="14" fillId="4" borderId="5" xfId="0" applyFont="1" applyFill="1" applyBorder="1" applyAlignment="1" applyProtection="1">
      <alignment horizontal="center"/>
    </xf>
    <xf numFmtId="1" fontId="14" fillId="4" borderId="0" xfId="0" applyNumberFormat="1" applyFont="1" applyFill="1" applyBorder="1" applyAlignment="1" applyProtection="1">
      <alignment horizontal="center"/>
    </xf>
    <xf numFmtId="165" fontId="4" fillId="4" borderId="0" xfId="0" applyNumberFormat="1" applyFont="1" applyFill="1" applyBorder="1" applyAlignment="1" applyProtection="1">
      <alignment horizontal="center"/>
    </xf>
    <xf numFmtId="164" fontId="5" fillId="4" borderId="1" xfId="0" applyFont="1" applyFill="1" applyBorder="1" applyProtection="1"/>
    <xf numFmtId="164" fontId="5" fillId="4" borderId="5" xfId="0" applyFont="1" applyFill="1" applyBorder="1" applyProtection="1"/>
    <xf numFmtId="164" fontId="5" fillId="4" borderId="0" xfId="0" applyFont="1" applyFill="1" applyBorder="1" applyProtection="1"/>
    <xf numFmtId="164" fontId="5" fillId="4" borderId="10" xfId="0" applyFont="1" applyFill="1" applyBorder="1" applyAlignment="1" applyProtection="1">
      <alignment horizontal="centerContinuous"/>
    </xf>
    <xf numFmtId="164" fontId="5" fillId="4" borderId="0" xfId="0" applyFont="1" applyFill="1" applyBorder="1" applyAlignment="1" applyProtection="1">
      <alignment horizontal="centerContinuous"/>
    </xf>
    <xf numFmtId="164" fontId="5" fillId="4" borderId="1" xfId="0" quotePrefix="1" applyFont="1" applyFill="1" applyBorder="1" applyAlignment="1" applyProtection="1">
      <alignment horizontal="centerContinuous"/>
    </xf>
    <xf numFmtId="165" fontId="3" fillId="5" borderId="97" xfId="0" applyNumberFormat="1" applyFont="1" applyFill="1" applyBorder="1" applyAlignment="1" applyProtection="1">
      <alignment horizontal="center"/>
    </xf>
    <xf numFmtId="165" fontId="3" fillId="5" borderId="0" xfId="0" applyNumberFormat="1" applyFont="1" applyFill="1" applyBorder="1" applyAlignment="1" applyProtection="1">
      <alignment horizontal="center"/>
    </xf>
    <xf numFmtId="165" fontId="3" fillId="5" borderId="1" xfId="0" applyNumberFormat="1" applyFont="1" applyFill="1" applyBorder="1" applyAlignment="1" applyProtection="1">
      <alignment horizontal="center"/>
    </xf>
    <xf numFmtId="164" fontId="5" fillId="4" borderId="76" xfId="0" quotePrefix="1" applyFont="1" applyFill="1" applyBorder="1" applyAlignment="1" applyProtection="1">
      <alignment horizontal="centerContinuous"/>
    </xf>
    <xf numFmtId="164" fontId="5" fillId="4" borderId="64" xfId="0" applyFont="1" applyFill="1" applyBorder="1" applyAlignment="1" applyProtection="1">
      <alignment horizontal="right"/>
    </xf>
    <xf numFmtId="164" fontId="5" fillId="4" borderId="99" xfId="0" applyFont="1" applyFill="1" applyBorder="1" applyProtection="1"/>
    <xf numFmtId="164" fontId="5" fillId="4" borderId="100" xfId="0" applyFont="1" applyFill="1" applyBorder="1" applyProtection="1"/>
    <xf numFmtId="164" fontId="5" fillId="4" borderId="99" xfId="0" applyFont="1" applyFill="1" applyBorder="1" applyAlignment="1" applyProtection="1">
      <alignment horizontal="left"/>
    </xf>
    <xf numFmtId="173" fontId="14" fillId="5" borderId="101" xfId="3" applyNumberFormat="1" applyFont="1" applyFill="1" applyBorder="1" applyAlignment="1" applyProtection="1">
      <alignment horizontal="center"/>
    </xf>
    <xf numFmtId="173" fontId="14" fillId="13" borderId="0" xfId="3" applyNumberFormat="1" applyFont="1" applyFill="1" applyBorder="1" applyAlignment="1" applyProtection="1">
      <alignment horizontal="center"/>
    </xf>
    <xf numFmtId="173" fontId="14" fillId="13" borderId="1" xfId="3" applyNumberFormat="1" applyFont="1" applyFill="1" applyBorder="1" applyAlignment="1" applyProtection="1">
      <alignment horizontal="center"/>
    </xf>
    <xf numFmtId="164" fontId="2" fillId="4" borderId="9" xfId="0" applyFont="1" applyFill="1" applyBorder="1" applyProtection="1"/>
    <xf numFmtId="164" fontId="2" fillId="4" borderId="10" xfId="0" applyFont="1" applyFill="1" applyBorder="1" applyProtection="1"/>
    <xf numFmtId="164" fontId="2" fillId="4" borderId="56" xfId="0" applyFont="1" applyFill="1" applyBorder="1" applyProtection="1"/>
    <xf numFmtId="164" fontId="2" fillId="4" borderId="5" xfId="0" applyFont="1" applyFill="1" applyBorder="1" applyProtection="1"/>
    <xf numFmtId="164" fontId="2" fillId="4" borderId="0" xfId="0" applyFont="1" applyFill="1" applyBorder="1" applyProtection="1"/>
    <xf numFmtId="164" fontId="2" fillId="4" borderId="1" xfId="0" applyFont="1" applyFill="1" applyBorder="1" applyProtection="1"/>
    <xf numFmtId="164" fontId="2" fillId="4" borderId="6" xfId="0" applyFont="1" applyFill="1" applyBorder="1" applyProtection="1"/>
    <xf numFmtId="164" fontId="2" fillId="4" borderId="7" xfId="0" applyFont="1" applyFill="1" applyBorder="1" applyProtection="1"/>
    <xf numFmtId="164" fontId="2" fillId="4" borderId="8" xfId="0" applyFont="1" applyFill="1" applyBorder="1" applyProtection="1"/>
    <xf numFmtId="164" fontId="5" fillId="9" borderId="13" xfId="0" applyFont="1" applyFill="1" applyBorder="1" applyAlignment="1" applyProtection="1">
      <alignment horizontal="right"/>
      <protection locked="0"/>
    </xf>
    <xf numFmtId="164" fontId="5" fillId="13" borderId="14" xfId="0" applyFont="1" applyFill="1" applyBorder="1" applyAlignment="1" applyProtection="1">
      <alignment horizontal="center"/>
    </xf>
    <xf numFmtId="164" fontId="4" fillId="13" borderId="12" xfId="0" applyFont="1" applyFill="1" applyBorder="1" applyAlignment="1" applyProtection="1">
      <alignment horizontal="center"/>
    </xf>
    <xf numFmtId="0" fontId="4" fillId="0" borderId="13" xfId="1" applyNumberFormat="1" applyFont="1" applyFill="1" applyBorder="1" applyAlignment="1" applyProtection="1">
      <alignment horizontal="center"/>
      <protection locked="0"/>
    </xf>
    <xf numFmtId="165" fontId="4" fillId="0" borderId="88" xfId="0" applyNumberFormat="1" applyFont="1" applyFill="1" applyBorder="1" applyAlignment="1" applyProtection="1">
      <alignment horizontal="center"/>
      <protection locked="0"/>
    </xf>
    <xf numFmtId="164" fontId="4" fillId="0" borderId="14" xfId="0" applyFont="1" applyFill="1" applyBorder="1" applyAlignment="1" applyProtection="1">
      <alignment horizontal="center"/>
      <protection locked="0"/>
    </xf>
    <xf numFmtId="164" fontId="4" fillId="0" borderId="14" xfId="0" quotePrefix="1" applyFont="1" applyFill="1" applyBorder="1" applyAlignment="1" applyProtection="1">
      <alignment horizontal="center"/>
      <protection locked="0"/>
    </xf>
    <xf numFmtId="1" fontId="4" fillId="0" borderId="39" xfId="0" applyNumberFormat="1" applyFont="1" applyFill="1" applyBorder="1" applyAlignment="1" applyProtection="1">
      <alignment horizontal="center"/>
      <protection locked="0"/>
    </xf>
    <xf numFmtId="1" fontId="4" fillId="0" borderId="104" xfId="0" applyNumberFormat="1" applyFont="1" applyFill="1" applyBorder="1" applyAlignment="1" applyProtection="1">
      <alignment horizontal="center"/>
      <protection locked="0"/>
    </xf>
    <xf numFmtId="165" fontId="4" fillId="0" borderId="105" xfId="0" applyNumberFormat="1" applyFont="1" applyFill="1" applyBorder="1" applyAlignment="1" applyProtection="1">
      <alignment horizontal="center"/>
      <protection locked="0"/>
    </xf>
    <xf numFmtId="165" fontId="4" fillId="0" borderId="106" xfId="0" applyNumberFormat="1" applyFont="1" applyFill="1" applyBorder="1" applyAlignment="1" applyProtection="1">
      <alignment horizontal="center"/>
      <protection locked="0"/>
    </xf>
    <xf numFmtId="165" fontId="4" fillId="0" borderId="107" xfId="0" applyNumberFormat="1" applyFont="1" applyFill="1" applyBorder="1" applyAlignment="1" applyProtection="1">
      <alignment horizontal="center"/>
      <protection locked="0"/>
    </xf>
    <xf numFmtId="2" fontId="4" fillId="0" borderId="105" xfId="0" applyNumberFormat="1" applyFont="1" applyFill="1" applyBorder="1" applyAlignment="1" applyProtection="1">
      <alignment horizontal="center"/>
      <protection locked="0"/>
    </xf>
    <xf numFmtId="2" fontId="4" fillId="0" borderId="106" xfId="0" applyNumberFormat="1" applyFont="1" applyFill="1" applyBorder="1" applyAlignment="1" applyProtection="1">
      <alignment horizontal="center"/>
      <protection locked="0"/>
    </xf>
    <xf numFmtId="2" fontId="4" fillId="0" borderId="107" xfId="0" applyNumberFormat="1" applyFont="1" applyFill="1" applyBorder="1" applyAlignment="1" applyProtection="1">
      <alignment horizontal="center"/>
      <protection locked="0"/>
    </xf>
    <xf numFmtId="171" fontId="4" fillId="0" borderId="105" xfId="0" applyNumberFormat="1" applyFont="1" applyFill="1" applyBorder="1" applyAlignment="1" applyProtection="1">
      <alignment horizontal="center"/>
      <protection locked="0"/>
    </xf>
    <xf numFmtId="171" fontId="4" fillId="0" borderId="15" xfId="0" applyNumberFormat="1" applyFont="1" applyFill="1" applyBorder="1" applyAlignment="1" applyProtection="1">
      <alignment horizontal="center"/>
      <protection locked="0"/>
    </xf>
    <xf numFmtId="164" fontId="5" fillId="9" borderId="13" xfId="0" applyFont="1" applyFill="1" applyBorder="1" applyProtection="1">
      <protection locked="0"/>
    </xf>
    <xf numFmtId="2" fontId="5" fillId="9" borderId="13" xfId="2" applyNumberFormat="1" applyFont="1" applyFill="1" applyBorder="1" applyAlignment="1">
      <alignment horizontal="right"/>
    </xf>
    <xf numFmtId="0" fontId="4" fillId="0" borderId="108" xfId="1" applyNumberFormat="1" applyFont="1" applyFill="1" applyBorder="1" applyAlignment="1" applyProtection="1">
      <alignment horizontal="center"/>
      <protection locked="0"/>
    </xf>
    <xf numFmtId="164" fontId="4" fillId="0" borderId="68" xfId="0" applyFont="1" applyFill="1" applyBorder="1" applyAlignment="1" applyProtection="1">
      <alignment horizontal="center"/>
      <protection locked="0"/>
    </xf>
    <xf numFmtId="1" fontId="4" fillId="0" borderId="13" xfId="0" applyNumberFormat="1" applyFont="1" applyFill="1" applyBorder="1" applyAlignment="1" applyProtection="1">
      <alignment horizontal="center"/>
      <protection locked="0"/>
    </xf>
    <xf numFmtId="164" fontId="5" fillId="4" borderId="109" xfId="0" applyFont="1" applyFill="1" applyBorder="1" applyAlignment="1" applyProtection="1">
      <alignment horizontal="center"/>
    </xf>
    <xf numFmtId="164" fontId="5" fillId="4" borderId="1" xfId="0" quotePrefix="1" applyFont="1" applyFill="1" applyBorder="1" applyAlignment="1" applyProtection="1"/>
    <xf numFmtId="164" fontId="5" fillId="4" borderId="47" xfId="0" applyFont="1" applyFill="1" applyBorder="1" applyAlignment="1" applyProtection="1">
      <alignment horizontal="centerContinuous"/>
    </xf>
    <xf numFmtId="164" fontId="5" fillId="4" borderId="35" xfId="0" applyFont="1" applyFill="1" applyBorder="1" applyAlignment="1" applyProtection="1">
      <alignment horizontal="centerContinuous"/>
    </xf>
    <xf numFmtId="164" fontId="5" fillId="4" borderId="110" xfId="0" quotePrefix="1" applyFont="1" applyFill="1" applyBorder="1" applyAlignment="1" applyProtection="1"/>
    <xf numFmtId="164" fontId="5" fillId="0" borderId="0" xfId="0" applyFont="1" applyFill="1" applyBorder="1" applyAlignment="1" applyProtection="1">
      <alignment horizontal="centerContinuous"/>
    </xf>
    <xf numFmtId="164" fontId="5" fillId="0" borderId="1" xfId="0" quotePrefix="1" applyFont="1" applyFill="1" applyBorder="1" applyAlignment="1" applyProtection="1">
      <alignment horizontal="centerContinuous"/>
    </xf>
    <xf numFmtId="164" fontId="5" fillId="0" borderId="90" xfId="0" applyFont="1" applyFill="1" applyBorder="1" applyAlignment="1" applyProtection="1">
      <alignment horizontal="center"/>
    </xf>
    <xf numFmtId="164" fontId="5" fillId="0" borderId="13" xfId="0" applyFont="1" applyFill="1" applyBorder="1" applyAlignment="1" applyProtection="1">
      <alignment horizontal="center"/>
    </xf>
    <xf numFmtId="164" fontId="5" fillId="0" borderId="47" xfId="0" applyFont="1" applyFill="1" applyBorder="1" applyAlignment="1" applyProtection="1">
      <alignment horizontal="centerContinuous"/>
    </xf>
    <xf numFmtId="164" fontId="5" fillId="0" borderId="35" xfId="0" applyFont="1" applyFill="1" applyBorder="1" applyAlignment="1" applyProtection="1">
      <alignment horizontal="centerContinuous"/>
    </xf>
    <xf numFmtId="164" fontId="5" fillId="0" borderId="1" xfId="0" quotePrefix="1" applyFont="1" applyFill="1" applyBorder="1" applyAlignment="1" applyProtection="1"/>
    <xf numFmtId="164" fontId="5" fillId="0" borderId="109" xfId="0" applyFont="1" applyFill="1" applyBorder="1" applyAlignment="1" applyProtection="1">
      <alignment horizontal="center"/>
    </xf>
    <xf numFmtId="164" fontId="5" fillId="0" borderId="110" xfId="0" quotePrefix="1" applyFont="1" applyFill="1" applyBorder="1" applyAlignment="1" applyProtection="1"/>
    <xf numFmtId="164" fontId="12" fillId="0" borderId="47" xfId="0" applyFont="1" applyFill="1" applyBorder="1" applyAlignment="1">
      <alignment horizontal="centerContinuous"/>
    </xf>
    <xf numFmtId="164" fontId="12" fillId="0" borderId="46" xfId="0" applyFont="1" applyFill="1" applyBorder="1" applyAlignment="1">
      <alignment horizontal="centerContinuous"/>
    </xf>
    <xf numFmtId="164" fontId="12" fillId="0" borderId="35" xfId="0" applyFont="1" applyFill="1" applyBorder="1" applyAlignment="1">
      <alignment horizontal="centerContinuous"/>
    </xf>
    <xf numFmtId="164" fontId="4" fillId="0" borderId="111" xfId="0" applyFont="1" applyFill="1" applyBorder="1" applyAlignment="1" applyProtection="1">
      <alignment horizontal="center"/>
      <protection locked="0"/>
    </xf>
    <xf numFmtId="164" fontId="4" fillId="0" borderId="112" xfId="0" applyFont="1" applyFill="1" applyBorder="1" applyAlignment="1" applyProtection="1">
      <alignment horizontal="centerContinuous"/>
      <protection locked="0"/>
    </xf>
    <xf numFmtId="164" fontId="0" fillId="0" borderId="113" xfId="0" applyBorder="1" applyAlignment="1" applyProtection="1">
      <alignment horizontal="centerContinuous"/>
      <protection locked="0"/>
    </xf>
    <xf numFmtId="164" fontId="35" fillId="0" borderId="0" xfId="0" applyFont="1" applyFill="1" applyBorder="1" applyAlignment="1" applyProtection="1">
      <alignment horizontal="left"/>
    </xf>
    <xf numFmtId="164" fontId="35" fillId="0" borderId="0" xfId="0" applyFont="1" applyFill="1"/>
    <xf numFmtId="165" fontId="3" fillId="5" borderId="98" xfId="0" applyNumberFormat="1" applyFont="1" applyFill="1" applyBorder="1" applyAlignment="1" applyProtection="1">
      <alignment horizontal="center"/>
    </xf>
    <xf numFmtId="173" fontId="14" fillId="5" borderId="102" xfId="3" applyNumberFormat="1" applyFont="1" applyFill="1" applyBorder="1" applyAlignment="1" applyProtection="1">
      <alignment horizontal="center"/>
    </xf>
    <xf numFmtId="0" fontId="22" fillId="9" borderId="0" xfId="2" applyFont="1" applyFill="1" applyAlignment="1">
      <alignment horizontal="left"/>
    </xf>
    <xf numFmtId="0" fontId="36" fillId="9" borderId="0" xfId="2" applyFont="1" applyFill="1"/>
    <xf numFmtId="0" fontId="36" fillId="9" borderId="0" xfId="2" applyFont="1" applyFill="1" applyAlignment="1">
      <alignment horizontal="left"/>
    </xf>
    <xf numFmtId="0" fontId="5" fillId="9" borderId="47" xfId="2" applyFont="1" applyFill="1" applyBorder="1" applyAlignment="1" applyProtection="1">
      <alignment horizontal="left"/>
    </xf>
    <xf numFmtId="0" fontId="5" fillId="9" borderId="46" xfId="2" applyFont="1" applyFill="1" applyBorder="1" applyAlignment="1" applyProtection="1">
      <alignment horizontal="left"/>
    </xf>
    <xf numFmtId="0" fontId="21" fillId="9" borderId="35" xfId="2" applyFont="1" applyFill="1" applyBorder="1" applyProtection="1"/>
    <xf numFmtId="0" fontId="5" fillId="9" borderId="35" xfId="2" applyFont="1" applyFill="1" applyBorder="1" applyAlignment="1" applyProtection="1">
      <alignment horizontal="center"/>
    </xf>
    <xf numFmtId="0" fontId="3" fillId="9" borderId="35" xfId="2" applyFont="1" applyFill="1" applyBorder="1" applyAlignment="1" applyProtection="1">
      <alignment horizontal="center"/>
    </xf>
    <xf numFmtId="0" fontId="5" fillId="9" borderId="47" xfId="2" applyFont="1" applyFill="1" applyBorder="1" applyProtection="1"/>
    <xf numFmtId="0" fontId="5" fillId="9" borderId="46" xfId="2" applyFont="1" applyFill="1" applyBorder="1" applyProtection="1"/>
    <xf numFmtId="0" fontId="5" fillId="9" borderId="47" xfId="2" applyFont="1" applyFill="1" applyBorder="1" applyAlignment="1" applyProtection="1"/>
    <xf numFmtId="0" fontId="5" fillId="9" borderId="46" xfId="2" applyFont="1" applyFill="1" applyBorder="1" applyAlignment="1" applyProtection="1"/>
    <xf numFmtId="0" fontId="22" fillId="9" borderId="0" xfId="2" applyFont="1" applyFill="1"/>
    <xf numFmtId="164" fontId="22" fillId="9" borderId="0" xfId="0" applyFont="1" applyFill="1" applyAlignment="1">
      <alignment horizontal="left"/>
    </xf>
    <xf numFmtId="0" fontId="5" fillId="9" borderId="12" xfId="2" applyFont="1" applyFill="1" applyBorder="1" applyProtection="1">
      <protection locked="0"/>
    </xf>
    <xf numFmtId="1" fontId="3" fillId="9" borderId="13" xfId="2" applyNumberFormat="1" applyFont="1" applyFill="1" applyBorder="1" applyAlignment="1">
      <alignment horizontal="right"/>
    </xf>
    <xf numFmtId="164" fontId="0" fillId="9" borderId="0" xfId="0" applyFill="1"/>
    <xf numFmtId="164" fontId="36" fillId="9" borderId="0" xfId="0" applyFont="1" applyFill="1"/>
    <xf numFmtId="164" fontId="3" fillId="9" borderId="47" xfId="0" applyFont="1" applyFill="1" applyBorder="1" applyAlignment="1">
      <alignment horizontal="centerContinuous"/>
    </xf>
    <xf numFmtId="164" fontId="3" fillId="9" borderId="35" xfId="0" applyFont="1" applyFill="1" applyBorder="1" applyAlignment="1">
      <alignment horizontal="centerContinuous"/>
    </xf>
    <xf numFmtId="164" fontId="5" fillId="9" borderId="47" xfId="0" applyFont="1" applyFill="1" applyBorder="1" applyAlignment="1">
      <alignment horizontal="left"/>
    </xf>
    <xf numFmtId="164" fontId="5" fillId="9" borderId="13" xfId="0" applyFont="1" applyFill="1" applyBorder="1" applyAlignment="1">
      <alignment horizontal="right"/>
    </xf>
    <xf numFmtId="164" fontId="5" fillId="9" borderId="11" xfId="0" applyFont="1" applyFill="1" applyBorder="1" applyAlignment="1">
      <alignment horizontal="right"/>
    </xf>
    <xf numFmtId="164" fontId="5" fillId="9" borderId="12" xfId="0" applyFont="1" applyFill="1" applyBorder="1"/>
    <xf numFmtId="164" fontId="10" fillId="9" borderId="13" xfId="0" applyFont="1" applyFill="1" applyBorder="1"/>
    <xf numFmtId="164" fontId="10" fillId="9" borderId="0" xfId="0" applyFont="1" applyFill="1"/>
    <xf numFmtId="164" fontId="10" fillId="9" borderId="13" xfId="0" applyFont="1" applyFill="1" applyBorder="1" applyAlignment="1">
      <alignment horizontal="center"/>
    </xf>
    <xf numFmtId="165" fontId="3" fillId="9" borderId="11" xfId="0" applyNumberFormat="1" applyFont="1" applyFill="1" applyBorder="1"/>
    <xf numFmtId="2" fontId="3" fillId="9" borderId="12" xfId="0" applyNumberFormat="1" applyFont="1" applyFill="1" applyBorder="1" applyAlignment="1">
      <alignment horizontal="right"/>
    </xf>
    <xf numFmtId="168" fontId="3" fillId="9" borderId="13" xfId="0" applyNumberFormat="1" applyFont="1" applyFill="1" applyBorder="1"/>
    <xf numFmtId="2" fontId="3" fillId="9" borderId="13" xfId="0" applyNumberFormat="1" applyFont="1" applyFill="1" applyBorder="1" applyAlignment="1">
      <alignment horizontal="right"/>
    </xf>
    <xf numFmtId="10" fontId="3" fillId="9" borderId="13" xfId="0" applyNumberFormat="1" applyFont="1" applyFill="1" applyBorder="1"/>
    <xf numFmtId="2" fontId="3" fillId="9" borderId="13" xfId="0" applyNumberFormat="1" applyFont="1" applyFill="1" applyBorder="1"/>
    <xf numFmtId="164" fontId="3" fillId="9" borderId="54" xfId="0" applyFont="1" applyFill="1" applyBorder="1" applyAlignment="1">
      <alignment horizontal="center"/>
    </xf>
    <xf numFmtId="2" fontId="5" fillId="11" borderId="0" xfId="0" applyNumberFormat="1" applyFont="1" applyFill="1" applyBorder="1" applyAlignment="1" applyProtection="1">
      <alignment horizontal="right"/>
    </xf>
    <xf numFmtId="165" fontId="4" fillId="11" borderId="0" xfId="0" applyNumberFormat="1" applyFont="1" applyFill="1" applyBorder="1" applyAlignment="1" applyProtection="1">
      <alignment horizontal="center"/>
    </xf>
    <xf numFmtId="164" fontId="5" fillId="14" borderId="13" xfId="0" applyFont="1" applyFill="1" applyBorder="1" applyAlignment="1">
      <alignment horizontal="centerContinuous"/>
    </xf>
    <xf numFmtId="164" fontId="5" fillId="11" borderId="13" xfId="0" applyFont="1" applyFill="1" applyBorder="1" applyAlignment="1" applyProtection="1">
      <alignment horizontal="center"/>
    </xf>
    <xf numFmtId="2" fontId="4" fillId="0" borderId="47" xfId="0" applyNumberFormat="1" applyFont="1" applyFill="1" applyBorder="1" applyAlignment="1" applyProtection="1">
      <alignment horizontal="right"/>
      <protection locked="0"/>
    </xf>
    <xf numFmtId="2" fontId="5" fillId="11" borderId="25" xfId="0" applyNumberFormat="1" applyFont="1" applyFill="1" applyBorder="1" applyAlignment="1" applyProtection="1">
      <alignment horizontal="center"/>
    </xf>
    <xf numFmtId="165" fontId="5" fillId="11" borderId="106" xfId="0" applyNumberFormat="1" applyFont="1" applyFill="1" applyBorder="1" applyAlignment="1" applyProtection="1">
      <alignment horizontal="center"/>
    </xf>
    <xf numFmtId="165" fontId="5" fillId="11" borderId="114" xfId="0" applyNumberFormat="1" applyFont="1" applyFill="1" applyBorder="1" applyAlignment="1" applyProtection="1">
      <alignment horizontal="center"/>
    </xf>
    <xf numFmtId="3" fontId="4" fillId="0" borderId="53" xfId="0" applyNumberFormat="1" applyFont="1" applyFill="1" applyBorder="1" applyAlignment="1" applyProtection="1">
      <alignment horizontal="center"/>
      <protection locked="0"/>
    </xf>
    <xf numFmtId="164" fontId="5" fillId="9" borderId="13" xfId="0" applyFont="1" applyFill="1" applyBorder="1" applyAlignment="1">
      <alignment horizontal="center"/>
    </xf>
    <xf numFmtId="2" fontId="5" fillId="9" borderId="13" xfId="0" applyNumberFormat="1" applyFont="1" applyFill="1" applyBorder="1"/>
    <xf numFmtId="164" fontId="20" fillId="16" borderId="47" xfId="0" applyFont="1" applyFill="1" applyBorder="1" applyAlignment="1">
      <alignment horizontal="centerContinuous"/>
    </xf>
    <xf numFmtId="164" fontId="20" fillId="16" borderId="46" xfId="0" applyFont="1" applyFill="1" applyBorder="1" applyAlignment="1">
      <alignment horizontal="centerContinuous"/>
    </xf>
    <xf numFmtId="164" fontId="20" fillId="16" borderId="35" xfId="0" applyFont="1" applyFill="1" applyBorder="1" applyAlignment="1">
      <alignment horizontal="centerContinuous"/>
    </xf>
    <xf numFmtId="164" fontId="3" fillId="16" borderId="50" xfId="0" applyFont="1" applyFill="1" applyBorder="1" applyAlignment="1" applyProtection="1">
      <alignment horizontal="centerContinuous"/>
    </xf>
    <xf numFmtId="164" fontId="5" fillId="16" borderId="55" xfId="0" applyFont="1" applyFill="1" applyBorder="1" applyAlignment="1">
      <alignment horizontal="centerContinuous"/>
    </xf>
    <xf numFmtId="164" fontId="5" fillId="16" borderId="103" xfId="0" applyFont="1" applyFill="1" applyBorder="1" applyAlignment="1">
      <alignment horizontal="centerContinuous"/>
    </xf>
    <xf numFmtId="0" fontId="3" fillId="9" borderId="0" xfId="2" applyFont="1" applyFill="1" applyAlignment="1">
      <alignment horizontal="left"/>
    </xf>
    <xf numFmtId="164" fontId="1" fillId="0" borderId="0" xfId="0" applyFont="1" applyBorder="1" applyAlignment="1">
      <alignment horizontal="left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47" xfId="2" applyNumberFormat="1" applyFont="1" applyFill="1" applyBorder="1" applyAlignment="1" applyProtection="1">
      <alignment horizontal="centerContinuous"/>
      <protection locked="0"/>
    </xf>
    <xf numFmtId="2" fontId="4" fillId="0" borderId="35" xfId="2" applyNumberFormat="1" applyFont="1" applyFill="1" applyBorder="1" applyAlignment="1" applyProtection="1">
      <alignment horizontal="centerContinuous"/>
      <protection locked="0"/>
    </xf>
    <xf numFmtId="1" fontId="21" fillId="9" borderId="0" xfId="2" applyNumberFormat="1" applyFont="1" applyFill="1" applyBorder="1" applyAlignment="1">
      <alignment horizontal="right"/>
    </xf>
    <xf numFmtId="1" fontId="3" fillId="9" borderId="0" xfId="2" applyNumberFormat="1" applyFont="1" applyFill="1" applyBorder="1" applyAlignment="1">
      <alignment horizontal="right"/>
    </xf>
    <xf numFmtId="168" fontId="4" fillId="0" borderId="13" xfId="2" applyNumberFormat="1" applyFont="1" applyFill="1" applyBorder="1" applyProtection="1">
      <protection locked="0"/>
    </xf>
    <xf numFmtId="2" fontId="5" fillId="9" borderId="13" xfId="2" applyNumberFormat="1" applyFont="1" applyFill="1" applyBorder="1" applyProtection="1">
      <protection locked="0"/>
    </xf>
    <xf numFmtId="165" fontId="5" fillId="9" borderId="13" xfId="2" applyNumberFormat="1" applyFont="1" applyFill="1" applyBorder="1" applyProtection="1">
      <protection locked="0"/>
    </xf>
    <xf numFmtId="165" fontId="5" fillId="9" borderId="13" xfId="2" applyNumberFormat="1" applyFont="1" applyFill="1" applyBorder="1" applyProtection="1"/>
    <xf numFmtId="0" fontId="5" fillId="9" borderId="13" xfId="2" applyFont="1" applyFill="1" applyBorder="1" applyProtection="1"/>
    <xf numFmtId="1" fontId="5" fillId="9" borderId="13" xfId="2" applyNumberFormat="1" applyFont="1" applyFill="1" applyBorder="1" applyProtection="1"/>
    <xf numFmtId="169" fontId="5" fillId="9" borderId="13" xfId="0" applyNumberFormat="1" applyFont="1" applyFill="1" applyBorder="1" applyProtection="1"/>
    <xf numFmtId="165" fontId="3" fillId="9" borderId="13" xfId="0" applyNumberFormat="1" applyFont="1" applyFill="1" applyBorder="1" applyProtection="1"/>
    <xf numFmtId="14" fontId="1" fillId="0" borderId="5" xfId="0" applyNumberFormat="1" applyFont="1" applyBorder="1" applyAlignment="1">
      <alignment horizontal="left"/>
    </xf>
    <xf numFmtId="164" fontId="38" fillId="9" borderId="0" xfId="0" applyFont="1" applyFill="1"/>
    <xf numFmtId="164" fontId="3" fillId="0" borderId="0" xfId="0" applyFont="1" applyBorder="1" applyAlignment="1">
      <alignment horizontal="center"/>
    </xf>
    <xf numFmtId="164" fontId="0" fillId="0" borderId="0" xfId="0" applyBorder="1"/>
    <xf numFmtId="164" fontId="0" fillId="0" borderId="1" xfId="0" applyBorder="1"/>
    <xf numFmtId="164" fontId="0" fillId="0" borderId="0" xfId="0" applyBorder="1" applyAlignment="1">
      <alignment vertical="top"/>
    </xf>
    <xf numFmtId="164" fontId="0" fillId="0" borderId="7" xfId="0" applyBorder="1"/>
    <xf numFmtId="164" fontId="0" fillId="0" borderId="8" xfId="0" applyBorder="1"/>
    <xf numFmtId="164" fontId="5" fillId="0" borderId="7" xfId="0" applyFont="1" applyBorder="1"/>
    <xf numFmtId="164" fontId="5" fillId="0" borderId="7" xfId="0" applyFont="1" applyBorder="1" applyAlignment="1">
      <alignment horizontal="left"/>
    </xf>
    <xf numFmtId="164" fontId="5" fillId="9" borderId="0" xfId="0" applyFont="1" applyFill="1" applyBorder="1"/>
    <xf numFmtId="1" fontId="5" fillId="9" borderId="13" xfId="0" applyNumberFormat="1" applyFont="1" applyFill="1" applyBorder="1"/>
    <xf numFmtId="170" fontId="4" fillId="0" borderId="13" xfId="2" applyNumberFormat="1" applyFont="1" applyFill="1" applyBorder="1" applyProtection="1">
      <protection locked="0"/>
    </xf>
    <xf numFmtId="164" fontId="41" fillId="9" borderId="0" xfId="0" applyFont="1" applyFill="1" applyAlignment="1">
      <alignment horizontal="left"/>
    </xf>
    <xf numFmtId="164" fontId="44" fillId="0" borderId="0" xfId="0" applyFont="1" applyBorder="1" applyAlignment="1">
      <alignment horizontal="centerContinuous"/>
    </xf>
    <xf numFmtId="164" fontId="44" fillId="0" borderId="0" xfId="0" applyFont="1" applyBorder="1" applyAlignment="1">
      <alignment horizontal="center"/>
    </xf>
    <xf numFmtId="164" fontId="45" fillId="0" borderId="0" xfId="0" applyFont="1" applyBorder="1"/>
    <xf numFmtId="164" fontId="44" fillId="0" borderId="9" xfId="0" applyFont="1" applyBorder="1" applyAlignment="1">
      <alignment horizontal="centerContinuous"/>
    </xf>
    <xf numFmtId="164" fontId="45" fillId="0" borderId="10" xfId="0" applyFont="1" applyBorder="1" applyAlignment="1">
      <alignment horizontal="centerContinuous"/>
    </xf>
    <xf numFmtId="164" fontId="45" fillId="0" borderId="56" xfId="0" applyFont="1" applyBorder="1" applyAlignment="1">
      <alignment horizontal="centerContinuous"/>
    </xf>
    <xf numFmtId="164" fontId="44" fillId="0" borderId="100" xfId="0" applyFont="1" applyBorder="1" applyAlignment="1">
      <alignment horizontal="center"/>
    </xf>
    <xf numFmtId="164" fontId="44" fillId="0" borderId="13" xfId="0" applyFont="1" applyBorder="1" applyAlignment="1">
      <alignment horizontal="center"/>
    </xf>
    <xf numFmtId="164" fontId="44" fillId="0" borderId="13" xfId="0" applyFont="1" applyBorder="1"/>
    <xf numFmtId="164" fontId="44" fillId="0" borderId="127" xfId="0" applyFont="1" applyBorder="1"/>
    <xf numFmtId="164" fontId="44" fillId="0" borderId="0" xfId="0" applyFont="1" applyBorder="1"/>
    <xf numFmtId="164" fontId="44" fillId="0" borderId="100" xfId="0" applyFont="1" applyBorder="1"/>
    <xf numFmtId="164" fontId="44" fillId="0" borderId="127" xfId="0" applyFont="1" applyBorder="1" applyAlignment="1">
      <alignment horizontal="center"/>
    </xf>
    <xf numFmtId="164" fontId="45" fillId="0" borderId="100" xfId="0" applyFont="1" applyBorder="1"/>
    <xf numFmtId="164" fontId="45" fillId="0" borderId="100" xfId="0" applyFont="1" applyFill="1" applyBorder="1"/>
    <xf numFmtId="164" fontId="44" fillId="0" borderId="100" xfId="0" applyFont="1" applyFill="1" applyBorder="1"/>
    <xf numFmtId="164" fontId="44" fillId="0" borderId="88" xfId="0" applyFont="1" applyBorder="1" applyAlignment="1">
      <alignment horizontal="center"/>
    </xf>
    <xf numFmtId="164" fontId="45" fillId="0" borderId="5" xfId="0" applyFont="1" applyFill="1" applyBorder="1"/>
    <xf numFmtId="164" fontId="44" fillId="0" borderId="1" xfId="0" applyFont="1" applyBorder="1" applyAlignment="1">
      <alignment horizontal="center"/>
    </xf>
    <xf numFmtId="164" fontId="46" fillId="0" borderId="5" xfId="0" applyFont="1" applyFill="1" applyBorder="1"/>
    <xf numFmtId="164" fontId="44" fillId="0" borderId="128" xfId="0" applyFont="1" applyBorder="1" applyAlignment="1">
      <alignment horizontal="centerContinuous"/>
    </xf>
    <xf numFmtId="0" fontId="45" fillId="0" borderId="47" xfId="2" applyFont="1" applyFill="1" applyBorder="1" applyAlignment="1">
      <alignment horizontal="centerContinuous"/>
    </xf>
    <xf numFmtId="164" fontId="45" fillId="0" borderId="46" xfId="0" applyFont="1" applyBorder="1" applyAlignment="1">
      <alignment horizontal="centerContinuous"/>
    </xf>
    <xf numFmtId="164" fontId="45" fillId="0" borderId="127" xfId="0" applyFont="1" applyBorder="1" applyAlignment="1">
      <alignment horizontal="centerContinuous"/>
    </xf>
    <xf numFmtId="164" fontId="44" fillId="0" borderId="128" xfId="0" applyFont="1" applyFill="1" applyBorder="1"/>
    <xf numFmtId="164" fontId="45" fillId="0" borderId="13" xfId="0" applyFont="1" applyBorder="1"/>
    <xf numFmtId="164" fontId="45" fillId="0" borderId="127" xfId="0" applyFont="1" applyBorder="1"/>
    <xf numFmtId="0" fontId="46" fillId="0" borderId="13" xfId="2" applyFont="1" applyFill="1" applyBorder="1" applyAlignment="1">
      <alignment horizontal="center" vertical="center"/>
    </xf>
    <xf numFmtId="164" fontId="46" fillId="0" borderId="13" xfId="0" applyFont="1" applyBorder="1" applyAlignment="1">
      <alignment horizontal="center" vertical="center"/>
    </xf>
    <xf numFmtId="164" fontId="45" fillId="0" borderId="78" xfId="0" applyFont="1" applyBorder="1"/>
    <xf numFmtId="164" fontId="45" fillId="0" borderId="1" xfId="0" applyFont="1" applyBorder="1"/>
    <xf numFmtId="164" fontId="45" fillId="0" borderId="129" xfId="0" applyFont="1" applyFill="1" applyBorder="1"/>
    <xf numFmtId="164" fontId="45" fillId="0" borderId="55" xfId="0" applyFont="1" applyBorder="1"/>
    <xf numFmtId="164" fontId="45" fillId="0" borderId="130" xfId="0" applyFont="1" applyBorder="1"/>
    <xf numFmtId="164" fontId="46" fillId="0" borderId="6" xfId="0" applyFont="1" applyFill="1" applyBorder="1"/>
    <xf numFmtId="164" fontId="45" fillId="0" borderId="7" xfId="0" applyFont="1" applyBorder="1"/>
    <xf numFmtId="164" fontId="45" fillId="0" borderId="8" xfId="0" applyFont="1" applyBorder="1"/>
    <xf numFmtId="164" fontId="44" fillId="0" borderId="30" xfId="0" applyFont="1" applyBorder="1" applyAlignment="1">
      <alignment horizontal="centerContinuous"/>
    </xf>
    <xf numFmtId="164" fontId="44" fillId="0" borderId="129" xfId="0" applyFont="1" applyFill="1" applyBorder="1" applyAlignment="1">
      <alignment horizontal="centerContinuous"/>
    </xf>
    <xf numFmtId="164" fontId="45" fillId="0" borderId="55" xfId="0" applyFont="1" applyBorder="1" applyAlignment="1">
      <alignment horizontal="centerContinuous"/>
    </xf>
    <xf numFmtId="164" fontId="45" fillId="0" borderId="130" xfId="0" applyFont="1" applyBorder="1" applyAlignment="1">
      <alignment horizontal="centerContinuous"/>
    </xf>
    <xf numFmtId="164" fontId="45" fillId="0" borderId="77" xfId="0" applyFont="1" applyFill="1" applyBorder="1" applyAlignment="1">
      <alignment horizontal="centerContinuous"/>
    </xf>
    <xf numFmtId="164" fontId="45" fillId="0" borderId="30" xfId="0" applyFont="1" applyBorder="1" applyAlignment="1">
      <alignment horizontal="centerContinuous"/>
    </xf>
    <xf numFmtId="164" fontId="45" fillId="0" borderId="78" xfId="0" applyFont="1" applyBorder="1" applyAlignment="1">
      <alignment horizontal="centerContinuous"/>
    </xf>
    <xf numFmtId="164" fontId="46" fillId="0" borderId="13" xfId="0" applyFont="1" applyBorder="1" applyAlignment="1">
      <alignment horizontal="center"/>
    </xf>
    <xf numFmtId="164" fontId="46" fillId="0" borderId="127" xfId="0" applyFont="1" applyBorder="1" applyAlignment="1">
      <alignment horizontal="center"/>
    </xf>
    <xf numFmtId="167" fontId="45" fillId="0" borderId="13" xfId="1" applyNumberFormat="1" applyFont="1" applyBorder="1" applyAlignment="1"/>
    <xf numFmtId="164" fontId="45" fillId="0" borderId="88" xfId="0" applyFont="1" applyBorder="1"/>
    <xf numFmtId="164" fontId="45" fillId="0" borderId="13" xfId="0" applyFont="1" applyBorder="1" applyAlignment="1">
      <alignment horizontal="center"/>
    </xf>
    <xf numFmtId="164" fontId="45" fillId="0" borderId="88" xfId="0" applyFont="1" applyBorder="1" applyAlignment="1">
      <alignment horizontal="center"/>
    </xf>
    <xf numFmtId="164" fontId="45" fillId="0" borderId="13" xfId="0" applyFont="1" applyFill="1" applyBorder="1"/>
    <xf numFmtId="164" fontId="45" fillId="0" borderId="30" xfId="0" applyFont="1" applyBorder="1"/>
    <xf numFmtId="164" fontId="44" fillId="0" borderId="128" xfId="0" applyFont="1" applyFill="1" applyBorder="1" applyAlignment="1">
      <alignment horizontal="centerContinuous"/>
    </xf>
    <xf numFmtId="164" fontId="44" fillId="0" borderId="91" xfId="0" applyFont="1" applyFill="1" applyBorder="1"/>
    <xf numFmtId="164" fontId="45" fillId="0" borderId="47" xfId="0" applyFont="1" applyBorder="1"/>
    <xf numFmtId="164" fontId="45" fillId="0" borderId="46" xfId="0" applyFont="1" applyBorder="1"/>
    <xf numFmtId="164" fontId="46" fillId="0" borderId="47" xfId="0" applyFont="1" applyBorder="1"/>
    <xf numFmtId="164" fontId="46" fillId="0" borderId="47" xfId="0" applyFont="1" applyBorder="1" applyAlignment="1">
      <alignment horizontal="left"/>
    </xf>
    <xf numFmtId="164" fontId="45" fillId="0" borderId="131" xfId="0" applyFont="1" applyFill="1" applyBorder="1"/>
    <xf numFmtId="167" fontId="47" fillId="0" borderId="132" xfId="1" applyNumberFormat="1" applyFont="1" applyBorder="1" applyAlignment="1">
      <alignment horizontal="left"/>
    </xf>
    <xf numFmtId="164" fontId="45" fillId="0" borderId="133" xfId="0" applyFont="1" applyBorder="1"/>
    <xf numFmtId="164" fontId="45" fillId="0" borderId="134" xfId="0" applyFont="1" applyBorder="1"/>
    <xf numFmtId="164" fontId="45" fillId="0" borderId="0" xfId="0" applyFont="1" applyFill="1" applyBorder="1"/>
    <xf numFmtId="164" fontId="45" fillId="0" borderId="0" xfId="0" applyFont="1" applyFill="1" applyBorder="1" applyAlignment="1" applyProtection="1">
      <alignment horizontal="left"/>
    </xf>
    <xf numFmtId="0" fontId="3" fillId="9" borderId="13" xfId="2" applyFont="1" applyFill="1" applyBorder="1"/>
    <xf numFmtId="0" fontId="5" fillId="9" borderId="13" xfId="2" applyFont="1" applyFill="1" applyBorder="1"/>
    <xf numFmtId="165" fontId="5" fillId="0" borderId="0" xfId="0" applyNumberFormat="1" applyFont="1" applyBorder="1"/>
    <xf numFmtId="176" fontId="4" fillId="0" borderId="13" xfId="2" applyNumberFormat="1" applyFont="1" applyFill="1" applyBorder="1" applyProtection="1">
      <protection locked="0"/>
    </xf>
    <xf numFmtId="0" fontId="48" fillId="9" borderId="13" xfId="2" applyFont="1" applyFill="1" applyBorder="1"/>
    <xf numFmtId="165" fontId="3" fillId="0" borderId="13" xfId="2" applyNumberFormat="1" applyFont="1" applyFill="1" applyBorder="1" applyProtection="1">
      <protection locked="0"/>
    </xf>
    <xf numFmtId="176" fontId="3" fillId="0" borderId="13" xfId="2" applyNumberFormat="1" applyFont="1" applyFill="1" applyBorder="1" applyProtection="1">
      <protection locked="0"/>
    </xf>
    <xf numFmtId="169" fontId="3" fillId="0" borderId="13" xfId="2" applyNumberFormat="1" applyFont="1" applyFill="1" applyBorder="1" applyProtection="1">
      <protection locked="0"/>
    </xf>
    <xf numFmtId="170" fontId="3" fillId="0" borderId="13" xfId="2" applyNumberFormat="1" applyFont="1" applyFill="1" applyBorder="1" applyProtection="1">
      <protection locked="0"/>
    </xf>
    <xf numFmtId="165" fontId="41" fillId="0" borderId="13" xfId="2" applyNumberFormat="1" applyFont="1" applyFill="1" applyBorder="1" applyProtection="1">
      <protection locked="0"/>
    </xf>
    <xf numFmtId="165" fontId="4" fillId="0" borderId="13" xfId="2" applyNumberFormat="1" applyFont="1" applyFill="1" applyBorder="1" applyAlignment="1" applyProtection="1">
      <alignment horizontal="center"/>
      <protection locked="0"/>
    </xf>
    <xf numFmtId="171" fontId="3" fillId="0" borderId="13" xfId="2" applyNumberFormat="1" applyFont="1" applyFill="1" applyBorder="1" applyProtection="1">
      <protection locked="0"/>
    </xf>
    <xf numFmtId="165" fontId="4" fillId="0" borderId="13" xfId="2" applyNumberFormat="1" applyFont="1" applyFill="1" applyBorder="1" applyAlignment="1" applyProtection="1">
      <alignment vertical="center"/>
      <protection locked="0"/>
    </xf>
    <xf numFmtId="165" fontId="4" fillId="0" borderId="13" xfId="2" applyNumberFormat="1" applyFont="1" applyFill="1" applyBorder="1" applyAlignment="1" applyProtection="1">
      <alignment horizontal="center" vertical="center"/>
      <protection locked="0"/>
    </xf>
    <xf numFmtId="164" fontId="49" fillId="6" borderId="0" xfId="0" applyFont="1" applyFill="1"/>
    <xf numFmtId="164" fontId="49" fillId="6" borderId="0" xfId="0" applyFont="1" applyFill="1" applyBorder="1"/>
    <xf numFmtId="164" fontId="49" fillId="6" borderId="19" xfId="0" applyFont="1" applyFill="1" applyBorder="1"/>
    <xf numFmtId="164" fontId="50" fillId="6" borderId="75" xfId="0" applyFont="1" applyFill="1" applyBorder="1" applyAlignment="1" applyProtection="1">
      <alignment horizontal="centerContinuous"/>
    </xf>
    <xf numFmtId="164" fontId="49" fillId="6" borderId="75" xfId="0" applyFont="1" applyFill="1" applyBorder="1" applyAlignment="1">
      <alignment horizontal="centerContinuous"/>
    </xf>
    <xf numFmtId="164" fontId="49" fillId="6" borderId="76" xfId="0" applyFont="1" applyFill="1" applyBorder="1"/>
    <xf numFmtId="164" fontId="49" fillId="6" borderId="5" xfId="0" applyFont="1" applyFill="1" applyBorder="1"/>
    <xf numFmtId="164" fontId="49" fillId="6" borderId="29" xfId="0" applyFont="1" applyFill="1" applyBorder="1" applyAlignment="1" applyProtection="1">
      <alignment horizontal="left"/>
    </xf>
    <xf numFmtId="164" fontId="49" fillId="6" borderId="29" xfId="0" applyFont="1" applyFill="1" applyBorder="1"/>
    <xf numFmtId="164" fontId="49" fillId="6" borderId="1" xfId="0" applyFont="1" applyFill="1" applyBorder="1"/>
    <xf numFmtId="164" fontId="49" fillId="6" borderId="77" xfId="0" applyFont="1" applyFill="1" applyBorder="1"/>
    <xf numFmtId="164" fontId="49" fillId="6" borderId="30" xfId="0" applyFont="1" applyFill="1" applyBorder="1" applyAlignment="1" applyProtection="1">
      <alignment horizontal="left"/>
    </xf>
    <xf numFmtId="164" fontId="49" fillId="6" borderId="30" xfId="0" applyFont="1" applyFill="1" applyBorder="1"/>
    <xf numFmtId="164" fontId="49" fillId="6" borderId="78" xfId="0" applyFont="1" applyFill="1" applyBorder="1"/>
    <xf numFmtId="164" fontId="50" fillId="6" borderId="0" xfId="0" applyFont="1" applyFill="1" applyBorder="1" applyAlignment="1" applyProtection="1">
      <alignment horizontal="left"/>
    </xf>
    <xf numFmtId="164" fontId="50" fillId="6" borderId="0" xfId="0" applyFont="1" applyFill="1" applyBorder="1" applyAlignment="1" applyProtection="1">
      <alignment horizontal="right"/>
    </xf>
    <xf numFmtId="164" fontId="51" fillId="17" borderId="13" xfId="0" applyFont="1" applyFill="1" applyBorder="1"/>
    <xf numFmtId="164" fontId="49" fillId="6" borderId="0" xfId="0" applyFont="1" applyFill="1" applyBorder="1" applyAlignment="1" applyProtection="1">
      <alignment horizontal="right"/>
    </xf>
    <xf numFmtId="164" fontId="49" fillId="6" borderId="0" xfId="0" applyFont="1" applyFill="1" applyBorder="1" applyAlignment="1" applyProtection="1">
      <alignment horizontal="left"/>
    </xf>
    <xf numFmtId="164" fontId="49" fillId="7" borderId="115" xfId="0" applyFont="1" applyFill="1" applyBorder="1"/>
    <xf numFmtId="164" fontId="49" fillId="7" borderId="124" xfId="0" applyFont="1" applyFill="1" applyBorder="1" applyAlignment="1">
      <alignment horizontal="center"/>
    </xf>
    <xf numFmtId="164" fontId="49" fillId="7" borderId="116" xfId="0" applyFont="1" applyFill="1" applyBorder="1" applyAlignment="1">
      <alignment horizontal="center"/>
    </xf>
    <xf numFmtId="164" fontId="49" fillId="7" borderId="0" xfId="0" applyFont="1" applyFill="1" applyBorder="1"/>
    <xf numFmtId="164" fontId="49" fillId="6" borderId="117" xfId="0" applyFont="1" applyFill="1" applyBorder="1" applyAlignment="1" applyProtection="1">
      <alignment horizontal="left"/>
    </xf>
    <xf numFmtId="167" fontId="52" fillId="0" borderId="125" xfId="1" applyNumberFormat="1" applyFont="1" applyFill="1" applyBorder="1" applyProtection="1">
      <protection locked="0"/>
    </xf>
    <xf numFmtId="164" fontId="49" fillId="6" borderId="0" xfId="0" applyFont="1" applyFill="1" applyAlignment="1">
      <alignment horizontal="centerContinuous"/>
    </xf>
    <xf numFmtId="164" fontId="53" fillId="6" borderId="136" xfId="0" applyFont="1" applyFill="1" applyBorder="1" applyAlignment="1" applyProtection="1">
      <alignment horizontal="left"/>
    </xf>
    <xf numFmtId="166" fontId="52" fillId="0" borderId="14" xfId="1" applyNumberFormat="1" applyFont="1" applyFill="1" applyBorder="1" applyProtection="1">
      <protection locked="0"/>
    </xf>
    <xf numFmtId="166" fontId="52" fillId="0" borderId="121" xfId="1" applyNumberFormat="1" applyFont="1" applyFill="1" applyBorder="1" applyProtection="1">
      <protection locked="0"/>
    </xf>
    <xf numFmtId="164" fontId="49" fillId="6" borderId="0" xfId="0" applyFont="1" applyFill="1" applyAlignment="1">
      <alignment horizontal="center"/>
    </xf>
    <xf numFmtId="164" fontId="49" fillId="6" borderId="0" xfId="0" applyFont="1" applyFill="1" applyAlignment="1">
      <alignment horizontal="left"/>
    </xf>
    <xf numFmtId="164" fontId="49" fillId="6" borderId="118" xfId="0" applyFont="1" applyFill="1" applyBorder="1" applyAlignment="1" applyProtection="1">
      <alignment horizontal="left"/>
    </xf>
    <xf numFmtId="166" fontId="50" fillId="9" borderId="108" xfId="1" applyNumberFormat="1" applyFont="1" applyFill="1" applyBorder="1"/>
    <xf numFmtId="166" fontId="50" fillId="9" borderId="135" xfId="1" applyNumberFormat="1" applyFont="1" applyFill="1" applyBorder="1"/>
    <xf numFmtId="165" fontId="49" fillId="6" borderId="13" xfId="0" applyNumberFormat="1" applyFont="1" applyFill="1" applyBorder="1" applyAlignment="1">
      <alignment horizontal="right" vertical="center"/>
    </xf>
    <xf numFmtId="165" fontId="50" fillId="6" borderId="13" xfId="0" applyNumberFormat="1" applyFont="1" applyFill="1" applyBorder="1" applyAlignment="1">
      <alignment horizontal="right" vertical="center"/>
    </xf>
    <xf numFmtId="164" fontId="49" fillId="6" borderId="31" xfId="0" applyFont="1" applyFill="1" applyBorder="1" applyAlignment="1" applyProtection="1">
      <alignment horizontal="left"/>
    </xf>
    <xf numFmtId="167" fontId="52" fillId="0" borderId="13" xfId="1" applyNumberFormat="1" applyFont="1" applyFill="1" applyBorder="1" applyProtection="1">
      <protection locked="0"/>
    </xf>
    <xf numFmtId="167" fontId="52" fillId="0" borderId="122" xfId="1" applyNumberFormat="1" applyFont="1" applyFill="1" applyBorder="1" applyProtection="1">
      <protection locked="0"/>
    </xf>
    <xf numFmtId="164" fontId="49" fillId="6" borderId="13" xfId="0" applyFont="1" applyFill="1" applyBorder="1" applyAlignment="1">
      <alignment horizontal="right" vertical="center"/>
    </xf>
    <xf numFmtId="164" fontId="54" fillId="6" borderId="13" xfId="0" applyFont="1" applyFill="1" applyBorder="1" applyAlignment="1">
      <alignment horizontal="right" vertical="center"/>
    </xf>
    <xf numFmtId="164" fontId="54" fillId="6" borderId="13" xfId="0" applyFont="1" applyFill="1" applyBorder="1"/>
    <xf numFmtId="164" fontId="49" fillId="6" borderId="119" xfId="0" applyFont="1" applyFill="1" applyBorder="1" applyAlignment="1" applyProtection="1">
      <alignment horizontal="left"/>
    </xf>
    <xf numFmtId="167" fontId="50" fillId="9" borderId="111" xfId="1" applyNumberFormat="1" applyFont="1" applyFill="1" applyBorder="1"/>
    <xf numFmtId="167" fontId="50" fillId="9" borderId="123" xfId="1" applyNumberFormat="1" applyFont="1" applyFill="1" applyBorder="1"/>
    <xf numFmtId="1" fontId="49" fillId="6" borderId="13" xfId="0" applyNumberFormat="1" applyFont="1" applyFill="1" applyBorder="1" applyAlignment="1">
      <alignment horizontal="right" vertical="center"/>
    </xf>
    <xf numFmtId="164" fontId="49" fillId="7" borderId="28" xfId="0" applyFont="1" applyFill="1" applyBorder="1"/>
    <xf numFmtId="164" fontId="49" fillId="6" borderId="28" xfId="0" applyFont="1" applyFill="1" applyBorder="1" applyAlignment="1" applyProtection="1">
      <alignment horizontal="left"/>
    </xf>
    <xf numFmtId="164" fontId="49" fillId="6" borderId="28" xfId="0" applyFont="1" applyFill="1" applyBorder="1"/>
    <xf numFmtId="164" fontId="50" fillId="6" borderId="36" xfId="0" applyFont="1" applyFill="1" applyBorder="1" applyAlignment="1" applyProtection="1">
      <alignment horizontal="centerContinuous"/>
    </xf>
    <xf numFmtId="164" fontId="50" fillId="6" borderId="126" xfId="0" applyFont="1" applyFill="1" applyBorder="1" applyAlignment="1" applyProtection="1">
      <alignment horizontal="centerContinuous"/>
    </xf>
    <xf numFmtId="164" fontId="49" fillId="6" borderId="33" xfId="0" applyFont="1" applyFill="1" applyBorder="1" applyAlignment="1">
      <alignment horizontal="centerContinuous"/>
    </xf>
    <xf numFmtId="164" fontId="49" fillId="6" borderId="72" xfId="0" applyFont="1" applyFill="1" applyBorder="1" applyAlignment="1" applyProtection="1">
      <alignment horizontal="centerContinuous"/>
    </xf>
    <xf numFmtId="164" fontId="49" fillId="6" borderId="0" xfId="0" applyFont="1" applyFill="1" applyBorder="1" applyAlignment="1" applyProtection="1">
      <alignment horizontal="centerContinuous"/>
    </xf>
    <xf numFmtId="164" fontId="49" fillId="6" borderId="65" xfId="0" applyFont="1" applyFill="1" applyBorder="1" applyAlignment="1" applyProtection="1">
      <alignment horizontal="center"/>
    </xf>
    <xf numFmtId="164" fontId="49" fillId="6" borderId="140" xfId="0" applyFont="1" applyFill="1" applyBorder="1" applyAlignment="1" applyProtection="1">
      <alignment horizontal="center"/>
    </xf>
    <xf numFmtId="164" fontId="55" fillId="6" borderId="0" xfId="0" applyFont="1" applyFill="1"/>
    <xf numFmtId="164" fontId="51" fillId="17" borderId="141" xfId="0" applyFont="1" applyFill="1" applyBorder="1" applyAlignment="1" applyProtection="1">
      <alignment horizontal="center"/>
    </xf>
    <xf numFmtId="164" fontId="51" fillId="17" borderId="142" xfId="0" applyFont="1" applyFill="1" applyBorder="1" applyAlignment="1" applyProtection="1">
      <alignment horizontal="center"/>
    </xf>
    <xf numFmtId="164" fontId="49" fillId="6" borderId="72" xfId="0" applyFont="1" applyFill="1" applyBorder="1" applyAlignment="1" applyProtection="1">
      <alignment horizontal="left"/>
    </xf>
    <xf numFmtId="164" fontId="52" fillId="0" borderId="13" xfId="0" applyFont="1" applyFill="1" applyBorder="1" applyAlignment="1" applyProtection="1">
      <alignment horizontal="right"/>
      <protection locked="0"/>
    </xf>
    <xf numFmtId="1" fontId="52" fillId="0" borderId="13" xfId="0" applyNumberFormat="1" applyFont="1" applyFill="1" applyBorder="1" applyAlignment="1" applyProtection="1">
      <alignment horizontal="right"/>
      <protection locked="0"/>
    </xf>
    <xf numFmtId="164" fontId="52" fillId="0" borderId="41" xfId="0" applyFont="1" applyFill="1" applyBorder="1" applyAlignment="1" applyProtection="1">
      <alignment horizontal="right"/>
      <protection locked="0"/>
    </xf>
    <xf numFmtId="1" fontId="52" fillId="0" borderId="72" xfId="0" applyNumberFormat="1" applyFont="1" applyFill="1" applyBorder="1" applyAlignment="1" applyProtection="1">
      <alignment horizontal="right"/>
      <protection locked="0"/>
    </xf>
    <xf numFmtId="165" fontId="52" fillId="0" borderId="13" xfId="0" applyNumberFormat="1" applyFont="1" applyFill="1" applyBorder="1" applyAlignment="1" applyProtection="1">
      <alignment horizontal="right"/>
      <protection locked="0"/>
    </xf>
    <xf numFmtId="164" fontId="52" fillId="0" borderId="72" xfId="0" applyFont="1" applyFill="1" applyBorder="1" applyAlignment="1" applyProtection="1">
      <alignment horizontal="right"/>
      <protection locked="0"/>
    </xf>
    <xf numFmtId="167" fontId="50" fillId="9" borderId="13" xfId="1" applyNumberFormat="1" applyFont="1" applyFill="1" applyBorder="1"/>
    <xf numFmtId="167" fontId="50" fillId="9" borderId="41" xfId="1" applyNumberFormat="1" applyFont="1" applyFill="1" applyBorder="1"/>
    <xf numFmtId="166" fontId="50" fillId="9" borderId="72" xfId="1" applyNumberFormat="1" applyFont="1" applyFill="1" applyBorder="1"/>
    <xf numFmtId="166" fontId="50" fillId="9" borderId="41" xfId="1" applyNumberFormat="1" applyFont="1" applyFill="1" applyBorder="1"/>
    <xf numFmtId="164" fontId="52" fillId="0" borderId="0" xfId="0" applyFont="1" applyFill="1" applyBorder="1" applyAlignment="1" applyProtection="1">
      <protection locked="0"/>
    </xf>
    <xf numFmtId="164" fontId="52" fillId="0" borderId="25" xfId="0" applyFont="1" applyFill="1" applyBorder="1" applyAlignment="1" applyProtection="1">
      <protection locked="0"/>
    </xf>
    <xf numFmtId="164" fontId="52" fillId="0" borderId="42" xfId="0" applyFont="1" applyFill="1" applyBorder="1" applyAlignment="1" applyProtection="1">
      <protection locked="0"/>
    </xf>
    <xf numFmtId="164" fontId="52" fillId="0" borderId="143" xfId="0" applyFont="1" applyFill="1" applyBorder="1" applyAlignment="1" applyProtection="1">
      <protection locked="0"/>
    </xf>
    <xf numFmtId="164" fontId="49" fillId="6" borderId="73" xfId="0" applyFont="1" applyFill="1" applyBorder="1" applyAlignment="1" applyProtection="1">
      <alignment horizontal="left"/>
    </xf>
    <xf numFmtId="167" fontId="50" fillId="9" borderId="71" xfId="1" applyNumberFormat="1" applyFont="1" applyFill="1" applyBorder="1"/>
    <xf numFmtId="167" fontId="50" fillId="9" borderId="44" xfId="1" applyNumberFormat="1" applyFont="1" applyFill="1" applyBorder="1"/>
    <xf numFmtId="167" fontId="50" fillId="9" borderId="43" xfId="1" applyNumberFormat="1" applyFont="1" applyFill="1" applyBorder="1"/>
    <xf numFmtId="167" fontId="50" fillId="9" borderId="144" xfId="1" applyNumberFormat="1" applyFont="1" applyFill="1" applyBorder="1"/>
    <xf numFmtId="164" fontId="49" fillId="7" borderId="30" xfId="0" applyFont="1" applyFill="1" applyBorder="1"/>
    <xf numFmtId="164" fontId="49" fillId="7" borderId="84" xfId="0" applyFont="1" applyFill="1" applyBorder="1"/>
    <xf numFmtId="164" fontId="49" fillId="7" borderId="85" xfId="0" applyFont="1" applyFill="1" applyBorder="1"/>
    <xf numFmtId="164" fontId="49" fillId="7" borderId="86" xfId="0" applyFont="1" applyFill="1" applyBorder="1"/>
    <xf numFmtId="2" fontId="49" fillId="6" borderId="0" xfId="0" applyNumberFormat="1" applyFont="1" applyFill="1" applyBorder="1"/>
    <xf numFmtId="164" fontId="54" fillId="6" borderId="0" xfId="0" applyFont="1" applyFill="1"/>
    <xf numFmtId="164" fontId="49" fillId="7" borderId="36" xfId="0" applyFont="1" applyFill="1" applyBorder="1"/>
    <xf numFmtId="164" fontId="49" fillId="7" borderId="32" xfId="0" applyFont="1" applyFill="1" applyBorder="1"/>
    <xf numFmtId="164" fontId="49" fillId="7" borderId="33" xfId="0" applyFont="1" applyFill="1" applyBorder="1"/>
    <xf numFmtId="164" fontId="49" fillId="6" borderId="82" xfId="0" applyFont="1" applyFill="1" applyBorder="1"/>
    <xf numFmtId="37" fontId="52" fillId="10" borderId="83" xfId="1" applyNumberFormat="1" applyFont="1" applyFill="1" applyBorder="1" applyProtection="1">
      <protection locked="0"/>
    </xf>
    <xf numFmtId="2" fontId="49" fillId="6" borderId="0" xfId="0" applyNumberFormat="1" applyFont="1" applyFill="1"/>
    <xf numFmtId="164" fontId="49" fillId="6" borderId="34" xfId="0" applyFont="1" applyFill="1" applyBorder="1"/>
    <xf numFmtId="164" fontId="49" fillId="6" borderId="35" xfId="0" applyFont="1" applyFill="1" applyBorder="1"/>
    <xf numFmtId="164" fontId="52" fillId="0" borderId="41" xfId="0" applyFont="1" applyFill="1" applyBorder="1" applyProtection="1">
      <protection locked="0"/>
    </xf>
    <xf numFmtId="164" fontId="49" fillId="6" borderId="31" xfId="0" applyFont="1" applyFill="1" applyBorder="1"/>
    <xf numFmtId="164" fontId="49" fillId="6" borderId="46" xfId="0" applyFont="1" applyFill="1" applyBorder="1"/>
    <xf numFmtId="37" fontId="52" fillId="10" borderId="45" xfId="0" applyNumberFormat="1" applyFont="1" applyFill="1" applyBorder="1" applyProtection="1">
      <protection locked="0"/>
    </xf>
    <xf numFmtId="168" fontId="49" fillId="6" borderId="0" xfId="0" applyNumberFormat="1" applyFont="1" applyFill="1" applyBorder="1"/>
    <xf numFmtId="165" fontId="49" fillId="6" borderId="0" xfId="0" applyNumberFormat="1" applyFont="1" applyFill="1"/>
    <xf numFmtId="164" fontId="49" fillId="6" borderId="69" xfId="0" applyFont="1" applyFill="1" applyBorder="1" applyAlignment="1" applyProtection="1">
      <alignment horizontal="left"/>
    </xf>
    <xf numFmtId="164" fontId="49" fillId="6" borderId="57" xfId="0" applyFont="1" applyFill="1" applyBorder="1" applyAlignment="1">
      <alignment horizontal="centerContinuous"/>
    </xf>
    <xf numFmtId="167" fontId="52" fillId="0" borderId="70" xfId="1" applyNumberFormat="1" applyFont="1" applyFill="1" applyBorder="1" applyProtection="1">
      <protection locked="0"/>
    </xf>
    <xf numFmtId="168" fontId="49" fillId="6" borderId="0" xfId="0" quotePrefix="1" applyNumberFormat="1" applyFont="1" applyFill="1"/>
    <xf numFmtId="164" fontId="49" fillId="6" borderId="34" xfId="0" applyFont="1" applyFill="1" applyBorder="1" applyAlignment="1" applyProtection="1">
      <alignment horizontal="left"/>
    </xf>
    <xf numFmtId="164" fontId="49" fillId="6" borderId="35" xfId="0" applyFont="1" applyFill="1" applyBorder="1" applyAlignment="1">
      <alignment horizontal="centerContinuous"/>
    </xf>
    <xf numFmtId="164" fontId="52" fillId="0" borderId="45" xfId="0" applyFont="1" applyFill="1" applyBorder="1" applyProtection="1">
      <protection locked="0"/>
    </xf>
    <xf numFmtId="166" fontId="52" fillId="0" borderId="41" xfId="1" applyNumberFormat="1" applyFont="1" applyFill="1" applyBorder="1" applyProtection="1">
      <protection locked="0"/>
    </xf>
    <xf numFmtId="164" fontId="49" fillId="6" borderId="79" xfId="0" applyFont="1" applyFill="1" applyBorder="1"/>
    <xf numFmtId="164" fontId="49" fillId="6" borderId="80" xfId="0" applyFont="1" applyFill="1" applyBorder="1"/>
    <xf numFmtId="166" fontId="50" fillId="9" borderId="74" xfId="1" applyNumberFormat="1" applyFont="1" applyFill="1" applyBorder="1"/>
    <xf numFmtId="39" fontId="50" fillId="8" borderId="45" xfId="0" applyNumberFormat="1" applyFont="1" applyFill="1" applyBorder="1"/>
    <xf numFmtId="165" fontId="50" fillId="6" borderId="0" xfId="1" applyNumberFormat="1" applyFont="1" applyFill="1" applyBorder="1"/>
    <xf numFmtId="175" fontId="52" fillId="0" borderId="45" xfId="1" applyNumberFormat="1" applyFont="1" applyFill="1" applyBorder="1" applyProtection="1">
      <protection locked="0"/>
    </xf>
    <xf numFmtId="164" fontId="49" fillId="6" borderId="37" xfId="0" applyFont="1" applyFill="1" applyBorder="1"/>
    <xf numFmtId="164" fontId="49" fillId="6" borderId="81" xfId="0" applyFont="1" applyFill="1" applyBorder="1"/>
    <xf numFmtId="175" fontId="50" fillId="8" borderId="38" xfId="0" applyNumberFormat="1" applyFont="1" applyFill="1" applyBorder="1"/>
    <xf numFmtId="164" fontId="49" fillId="6" borderId="0" xfId="0" quotePrefix="1" applyFont="1" applyFill="1" applyBorder="1"/>
    <xf numFmtId="1" fontId="49" fillId="6" borderId="0" xfId="0" applyNumberFormat="1" applyFont="1" applyFill="1" applyBorder="1"/>
    <xf numFmtId="175" fontId="50" fillId="7" borderId="30" xfId="0" applyNumberFormat="1" applyFont="1" applyFill="1" applyBorder="1"/>
    <xf numFmtId="164" fontId="56" fillId="6" borderId="0" xfId="0" applyFont="1" applyFill="1"/>
    <xf numFmtId="164" fontId="49" fillId="6" borderId="6" xfId="0" applyFont="1" applyFill="1" applyBorder="1"/>
    <xf numFmtId="164" fontId="49" fillId="6" borderId="7" xfId="0" applyFont="1" applyFill="1" applyBorder="1"/>
    <xf numFmtId="164" fontId="49" fillId="6" borderId="8" xfId="0" applyFont="1" applyFill="1" applyBorder="1"/>
    <xf numFmtId="164" fontId="53" fillId="6" borderId="0" xfId="0" applyFont="1" applyFill="1" applyAlignment="1">
      <alignment horizontal="center"/>
    </xf>
    <xf numFmtId="164" fontId="53" fillId="6" borderId="0" xfId="0" applyFont="1" applyFill="1"/>
    <xf numFmtId="2" fontId="53" fillId="6" borderId="0" xfId="0" applyNumberFormat="1" applyFont="1" applyFill="1"/>
    <xf numFmtId="165" fontId="53" fillId="6" borderId="0" xfId="0" applyNumberFormat="1" applyFont="1" applyFill="1"/>
    <xf numFmtId="164" fontId="45" fillId="0" borderId="128" xfId="0" applyFont="1" applyFill="1" applyBorder="1"/>
    <xf numFmtId="164" fontId="45" fillId="0" borderId="1" xfId="0" applyFont="1" applyBorder="1" applyAlignment="1">
      <alignment horizontal="center"/>
    </xf>
    <xf numFmtId="0" fontId="45" fillId="0" borderId="13" xfId="2" applyFont="1" applyFill="1" applyBorder="1" applyAlignment="1">
      <alignment horizontal="center"/>
    </xf>
    <xf numFmtId="164" fontId="46" fillId="0" borderId="13" xfId="0" applyFont="1" applyBorder="1" applyAlignment="1">
      <alignment horizontal="right"/>
    </xf>
    <xf numFmtId="164" fontId="46" fillId="0" borderId="127" xfId="0" applyFont="1" applyBorder="1" applyAlignment="1">
      <alignment horizontal="right"/>
    </xf>
    <xf numFmtId="164" fontId="46" fillId="0" borderId="88" xfId="0" applyFont="1" applyBorder="1" applyAlignment="1">
      <alignment horizontal="right"/>
    </xf>
    <xf numFmtId="167" fontId="46" fillId="0" borderId="13" xfId="1" applyNumberFormat="1" applyFont="1" applyBorder="1" applyAlignment="1"/>
    <xf numFmtId="164" fontId="46" fillId="0" borderId="13" xfId="0" applyFont="1" applyBorder="1"/>
    <xf numFmtId="164" fontId="46" fillId="0" borderId="88" xfId="0" applyFont="1" applyBorder="1"/>
    <xf numFmtId="2" fontId="46" fillId="0" borderId="13" xfId="0" applyNumberFormat="1" applyFont="1" applyBorder="1" applyAlignment="1">
      <alignment horizontal="center"/>
    </xf>
    <xf numFmtId="165" fontId="46" fillId="0" borderId="13" xfId="0" applyNumberFormat="1" applyFont="1" applyBorder="1" applyAlignment="1">
      <alignment horizontal="center" vertical="center"/>
    </xf>
    <xf numFmtId="167" fontId="46" fillId="0" borderId="13" xfId="1" applyNumberFormat="1" applyFont="1" applyBorder="1" applyAlignment="1">
      <alignment horizontal="center" vertical="center"/>
    </xf>
    <xf numFmtId="4" fontId="4" fillId="0" borderId="13" xfId="0" applyNumberFormat="1" applyFont="1" applyFill="1" applyBorder="1" applyProtection="1">
      <protection locked="0"/>
    </xf>
    <xf numFmtId="164" fontId="5" fillId="9" borderId="0" xfId="0" applyFont="1" applyFill="1" applyBorder="1" applyAlignment="1">
      <alignment horizontal="center"/>
    </xf>
    <xf numFmtId="2" fontId="5" fillId="9" borderId="0" xfId="0" applyNumberFormat="1" applyFont="1" applyFill="1" applyBorder="1"/>
    <xf numFmtId="39" fontId="52" fillId="0" borderId="125" xfId="1" applyNumberFormat="1" applyFont="1" applyFill="1" applyBorder="1" applyProtection="1">
      <protection locked="0"/>
    </xf>
    <xf numFmtId="39" fontId="52" fillId="0" borderId="120" xfId="1" applyNumberFormat="1" applyFont="1" applyFill="1" applyBorder="1" applyProtection="1">
      <protection locked="0"/>
    </xf>
    <xf numFmtId="164" fontId="13" fillId="11" borderId="137" xfId="0" quotePrefix="1" applyFont="1" applyFill="1" applyBorder="1" applyAlignment="1" applyProtection="1">
      <alignment horizontal="center"/>
    </xf>
    <xf numFmtId="164" fontId="13" fillId="11" borderId="75" xfId="0" quotePrefix="1" applyFont="1" applyFill="1" applyBorder="1" applyAlignment="1" applyProtection="1">
      <alignment horizontal="center"/>
    </xf>
    <xf numFmtId="164" fontId="13" fillId="11" borderId="138" xfId="0" quotePrefix="1" applyFont="1" applyFill="1" applyBorder="1" applyAlignment="1" applyProtection="1">
      <alignment horizontal="center"/>
    </xf>
    <xf numFmtId="164" fontId="30" fillId="0" borderId="47" xfId="0" applyFont="1" applyFill="1" applyBorder="1" applyAlignment="1" applyProtection="1">
      <alignment horizontal="center"/>
      <protection locked="0"/>
    </xf>
    <xf numFmtId="164" fontId="30" fillId="0" borderId="35" xfId="0" applyFont="1" applyFill="1" applyBorder="1" applyAlignment="1" applyProtection="1">
      <alignment horizontal="center"/>
      <protection locked="0"/>
    </xf>
    <xf numFmtId="164" fontId="0" fillId="11" borderId="47" xfId="0" applyFill="1" applyBorder="1" applyAlignment="1">
      <alignment horizontal="center"/>
    </xf>
    <xf numFmtId="164" fontId="0" fillId="11" borderId="35" xfId="0" applyFill="1" applyBorder="1" applyAlignment="1">
      <alignment horizontal="center"/>
    </xf>
    <xf numFmtId="164" fontId="30" fillId="15" borderId="13" xfId="0" applyFont="1" applyFill="1" applyBorder="1" applyAlignment="1" applyProtection="1">
      <alignment horizontal="center"/>
      <protection locked="0"/>
    </xf>
    <xf numFmtId="164" fontId="0" fillId="11" borderId="50" xfId="0" applyFill="1" applyBorder="1" applyAlignment="1">
      <alignment horizontal="center"/>
    </xf>
    <xf numFmtId="164" fontId="0" fillId="0" borderId="103" xfId="0" applyBorder="1" applyAlignment="1">
      <alignment horizontal="center"/>
    </xf>
    <xf numFmtId="2" fontId="4" fillId="0" borderId="47" xfId="0" applyNumberFormat="1" applyFon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 applyProtection="1">
      <alignment horizontal="center"/>
      <protection locked="0"/>
    </xf>
    <xf numFmtId="2" fontId="5" fillId="11" borderId="47" xfId="0" applyNumberFormat="1" applyFont="1" applyFill="1" applyBorder="1" applyAlignment="1" applyProtection="1">
      <alignment horizontal="center"/>
    </xf>
    <xf numFmtId="2" fontId="5" fillId="11" borderId="35" xfId="0" applyNumberFormat="1" applyFont="1" applyFill="1" applyBorder="1" applyAlignment="1" applyProtection="1">
      <alignment horizontal="center"/>
    </xf>
    <xf numFmtId="164" fontId="3" fillId="16" borderId="47" xfId="0" applyFont="1" applyFill="1" applyBorder="1" applyAlignment="1" applyProtection="1">
      <alignment horizontal="center"/>
    </xf>
    <xf numFmtId="164" fontId="3" fillId="16" borderId="46" xfId="0" applyFont="1" applyFill="1" applyBorder="1" applyAlignment="1" applyProtection="1">
      <alignment horizontal="center"/>
    </xf>
    <xf numFmtId="164" fontId="3" fillId="16" borderId="35" xfId="0" applyFont="1" applyFill="1" applyBorder="1" applyAlignment="1" applyProtection="1">
      <alignment horizontal="center"/>
    </xf>
    <xf numFmtId="164" fontId="3" fillId="11" borderId="13" xfId="0" applyFont="1" applyFill="1" applyBorder="1" applyAlignment="1">
      <alignment horizontal="center"/>
    </xf>
    <xf numFmtId="165" fontId="20" fillId="11" borderId="13" xfId="0" applyNumberFormat="1" applyFont="1" applyFill="1" applyBorder="1" applyAlignment="1">
      <alignment horizontal="center"/>
    </xf>
    <xf numFmtId="165" fontId="20" fillId="0" borderId="13" xfId="0" applyNumberFormat="1" applyFont="1" applyBorder="1" applyAlignment="1">
      <alignment horizontal="center"/>
    </xf>
    <xf numFmtId="164" fontId="5" fillId="11" borderId="139" xfId="0" applyFont="1" applyFill="1" applyBorder="1" applyAlignment="1" applyProtection="1">
      <alignment horizontal="center"/>
    </xf>
    <xf numFmtId="164" fontId="5" fillId="11" borderId="54" xfId="0" applyFont="1" applyFill="1" applyBorder="1" applyAlignment="1" applyProtection="1">
      <alignment horizontal="center"/>
    </xf>
    <xf numFmtId="2" fontId="20" fillId="11" borderId="47" xfId="0" applyNumberFormat="1" applyFont="1" applyFill="1" applyBorder="1" applyAlignment="1">
      <alignment horizontal="center"/>
    </xf>
    <xf numFmtId="2" fontId="20" fillId="11" borderId="35" xfId="0" applyNumberFormat="1" applyFont="1" applyFill="1" applyBorder="1" applyAlignment="1">
      <alignment horizontal="center"/>
    </xf>
    <xf numFmtId="164" fontId="0" fillId="0" borderId="35" xfId="0" applyBorder="1" applyAlignment="1">
      <alignment horizontal="center"/>
    </xf>
    <xf numFmtId="9" fontId="4" fillId="0" borderId="47" xfId="3" applyFont="1" applyFill="1" applyBorder="1" applyAlignment="1" applyProtection="1">
      <alignment horizontal="center"/>
      <protection locked="0"/>
    </xf>
    <xf numFmtId="9" fontId="4" fillId="0" borderId="35" xfId="3" applyFont="1" applyFill="1" applyBorder="1" applyAlignment="1" applyProtection="1">
      <alignment horizontal="center"/>
      <protection locked="0"/>
    </xf>
    <xf numFmtId="164" fontId="0" fillId="0" borderId="35" xfId="0" applyBorder="1" applyAlignment="1" applyProtection="1">
      <alignment horizontal="center"/>
      <protection locked="0"/>
    </xf>
    <xf numFmtId="164" fontId="5" fillId="0" borderId="47" xfId="0" applyFont="1" applyBorder="1" applyAlignment="1">
      <alignment horizontal="center"/>
    </xf>
    <xf numFmtId="164" fontId="5" fillId="0" borderId="46" xfId="0" applyFont="1" applyBorder="1" applyAlignment="1">
      <alignment horizontal="center"/>
    </xf>
    <xf numFmtId="164" fontId="5" fillId="0" borderId="35" xfId="0" applyFont="1" applyBorder="1" applyAlignment="1">
      <alignment horizontal="center"/>
    </xf>
    <xf numFmtId="164" fontId="10" fillId="0" borderId="9" xfId="0" applyFont="1" applyBorder="1" applyAlignment="1">
      <alignment horizontal="center"/>
    </xf>
    <xf numFmtId="164" fontId="10" fillId="0" borderId="10" xfId="0" applyFont="1" applyBorder="1" applyAlignment="1">
      <alignment horizontal="center"/>
    </xf>
    <xf numFmtId="164" fontId="10" fillId="0" borderId="56" xfId="0" applyFont="1" applyBorder="1" applyAlignment="1">
      <alignment horizontal="center"/>
    </xf>
    <xf numFmtId="164" fontId="1" fillId="0" borderId="5" xfId="0" applyFont="1" applyBorder="1" applyAlignment="1">
      <alignment horizontal="left" vertical="top" wrapText="1"/>
    </xf>
    <xf numFmtId="164" fontId="1" fillId="0" borderId="0" xfId="0" applyFont="1" applyBorder="1" applyAlignment="1">
      <alignment horizontal="left" vertical="top" wrapText="1"/>
    </xf>
    <xf numFmtId="164" fontId="1" fillId="0" borderId="6" xfId="0" applyFont="1" applyBorder="1" applyAlignment="1">
      <alignment horizontal="left" vertical="top" wrapText="1"/>
    </xf>
    <xf numFmtId="164" fontId="1" fillId="0" borderId="7" xfId="0" applyFont="1" applyBorder="1" applyAlignment="1">
      <alignment horizontal="left" vertical="top" wrapText="1"/>
    </xf>
    <xf numFmtId="0" fontId="21" fillId="9" borderId="13" xfId="2" applyFont="1" applyFill="1" applyBorder="1"/>
    <xf numFmtId="0" fontId="3" fillId="9" borderId="47" xfId="2" applyFont="1" applyFill="1" applyBorder="1" applyAlignment="1">
      <alignment horizontal="center" wrapText="1"/>
    </xf>
    <xf numFmtId="0" fontId="3" fillId="9" borderId="35" xfId="2" applyFont="1" applyFill="1" applyBorder="1" applyAlignment="1">
      <alignment horizontal="center" wrapText="1"/>
    </xf>
    <xf numFmtId="0" fontId="3" fillId="9" borderId="13" xfId="2" applyFont="1" applyFill="1" applyBorder="1"/>
    <xf numFmtId="0" fontId="5" fillId="9" borderId="13" xfId="2" applyFont="1" applyFill="1" applyBorder="1"/>
  </cellXfs>
  <cellStyles count="4">
    <cellStyle name="Comma" xfId="1" builtinId="3"/>
    <cellStyle name="Normal" xfId="0" builtinId="0"/>
    <cellStyle name="Normal_G-CALC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82096069868995"/>
          <c:y val="0.12587434077650508"/>
          <c:w val="0.72270742358078599"/>
          <c:h val="0.7062949121348342"/>
        </c:manualLayout>
      </c:layout>
      <c:lineChart>
        <c:grouping val="standard"/>
        <c:varyColors val="0"/>
        <c:ser>
          <c:idx val="0"/>
          <c:order val="0"/>
          <c:tx>
            <c:v>Settled Turbidity, ntu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DataEntry!$C$33:$H$33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DataEntry!$C$39:$H$39</c:f>
              <c:numCache>
                <c:formatCode>0.00</c:formatCode>
                <c:ptCount val="6"/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CC5-4A59-B199-81C16981D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36928"/>
        <c:axId val="93039232"/>
      </c:lineChart>
      <c:lineChart>
        <c:grouping val="standard"/>
        <c:varyColors val="0"/>
        <c:ser>
          <c:idx val="2"/>
          <c:order val="1"/>
          <c:tx>
            <c:v>Filtered Turbidity, ntu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DataEntry!$C$33:$H$33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DataEntry!$C$41:$H$41</c:f>
              <c:numCache>
                <c:formatCode>0.00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C5-4A59-B199-81C16981D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49600"/>
        <c:axId val="93051136"/>
      </c:lineChart>
      <c:catAx>
        <c:axId val="9303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Jar Number</a:t>
                </a:r>
              </a:p>
            </c:rich>
          </c:tx>
          <c:layout>
            <c:manualLayout>
              <c:xMode val="edge"/>
              <c:yMode val="edge"/>
              <c:x val="0.41484728898198892"/>
              <c:y val="0.90909231417043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303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03923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Turbidity (NTU)</a:t>
                </a:r>
              </a:p>
            </c:rich>
          </c:tx>
          <c:layout>
            <c:manualLayout>
              <c:xMode val="edge"/>
              <c:yMode val="edge"/>
              <c:x val="1.0917138920580296E-2"/>
              <c:y val="0.2832172195032029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3036928"/>
        <c:crosses val="autoZero"/>
        <c:crossBetween val="between"/>
        <c:majorUnit val="1"/>
        <c:minorUnit val="0.5"/>
      </c:valAx>
      <c:catAx>
        <c:axId val="9304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051136"/>
        <c:crosses val="autoZero"/>
        <c:auto val="1"/>
        <c:lblAlgn val="ctr"/>
        <c:lblOffset val="100"/>
        <c:noMultiLvlLbl val="0"/>
      </c:catAx>
      <c:valAx>
        <c:axId val="93051136"/>
        <c:scaling>
          <c:orientation val="minMax"/>
          <c:max val="0.5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3049600"/>
        <c:crosses val="max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95261874925967"/>
          <c:y val="1.9748838264825482E-2"/>
          <c:w val="0.75059382422802845"/>
          <c:h val="0.102334100975114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10297501746549"/>
          <c:y val="8.9347378877318501E-2"/>
          <c:w val="0.76666858640972213"/>
          <c:h val="0.697596842772909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TurbineMixHELP!$E$13</c:f>
              <c:strCache>
                <c:ptCount val="1"/>
                <c:pt idx="0">
                  <c:v>G @ 0 C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strRef>
              <c:f>TurbineMixHELP!$D$100:$D$110</c:f>
              <c:strCache>
                <c:ptCount val="1"/>
                <c:pt idx="0">
                  <c:v>0</c:v>
                </c:pt>
              </c:strCache>
            </c:strRef>
          </c:xVal>
          <c:yVal>
            <c:numRef>
              <c:f>TurbineMixHELP!$E$100:$E$110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C35-4A77-BAB2-A1EE6991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03488"/>
        <c:axId val="112322048"/>
      </c:scatterChart>
      <c:valAx>
        <c:axId val="112303488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Mixer Speed (RPM)</a:t>
                </a:r>
              </a:p>
            </c:rich>
          </c:tx>
          <c:layout>
            <c:manualLayout>
              <c:xMode val="edge"/>
              <c:yMode val="edge"/>
              <c:x val="0.40769338448078607"/>
              <c:y val="0.879727858791064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322048"/>
        <c:crosses val="autoZero"/>
        <c:crossBetween val="midCat"/>
        <c:majorUnit val="2"/>
        <c:minorUnit val="1"/>
      </c:valAx>
      <c:valAx>
        <c:axId val="112322048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Velocity Gradient (sec</a:t>
                </a:r>
                <a:r>
                  <a:rPr lang="en-US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461538461538464E-2"/>
              <c:y val="0.206186296199379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303488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30796150481189"/>
          <c:y val="0.11178247734138973"/>
          <c:w val="0.24615411535096576"/>
          <c:h val="9.3655589123867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29145728643215"/>
          <c:y val="8.9843921363680579E-2"/>
          <c:w val="0.75125628140703515"/>
          <c:h val="0.652344994249332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PaddleMixHELP!$E$12</c:f>
              <c:strCache>
                <c:ptCount val="1"/>
                <c:pt idx="0">
                  <c:v>G @ 0 C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strRef>
              <c:f>PaddleMixHELP!$D$13:$D$23</c:f>
              <c:strCache>
                <c:ptCount val="1"/>
                <c:pt idx="0">
                  <c:v>0.0</c:v>
                </c:pt>
              </c:strCache>
            </c:strRef>
          </c:xVal>
          <c:yVal>
            <c:numRef>
              <c:f>PaddleMixHELP!$E$13:$E$23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B6C-4009-9077-654049D78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20672"/>
        <c:axId val="112622592"/>
      </c:scatterChart>
      <c:valAx>
        <c:axId val="112620672"/>
        <c:scaling>
          <c:orientation val="minMax"/>
          <c:max val="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Paddle Speed (RPM)</a:t>
                </a:r>
              </a:p>
            </c:rich>
          </c:tx>
          <c:layout>
            <c:manualLayout>
              <c:xMode val="edge"/>
              <c:yMode val="edge"/>
              <c:x val="0.34924623115577891"/>
              <c:y val="0.86718914041994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22592"/>
        <c:crosses val="autoZero"/>
        <c:crossBetween val="midCat"/>
        <c:majorUnit val="1"/>
      </c:valAx>
      <c:valAx>
        <c:axId val="11262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Velocity Gradient (sec</a:t>
                </a:r>
                <a:r>
                  <a:rPr lang="en-US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8.2031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2067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72401376963558"/>
          <c:y val="0.1328125"/>
          <c:w val="0.23492528258088344"/>
          <c:h val="0.11132833005249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29145728643229"/>
          <c:y val="8.9843921363680621E-2"/>
          <c:w val="0.75125628140703493"/>
          <c:h val="0.652344994249333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PaddleMixHELP!$E$12</c:f>
              <c:strCache>
                <c:ptCount val="1"/>
                <c:pt idx="0">
                  <c:v>G @ 0 C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strRef>
              <c:f>PaddleMixHELP!$D$13:$D$23</c:f>
              <c:strCache>
                <c:ptCount val="1"/>
                <c:pt idx="0">
                  <c:v>0.0</c:v>
                </c:pt>
              </c:strCache>
            </c:strRef>
          </c:xVal>
          <c:yVal>
            <c:numRef>
              <c:f>PaddleMixHELP!$E$13:$E$23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507-4E79-B907-7615A2D95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14912"/>
        <c:axId val="120616832"/>
      </c:scatterChart>
      <c:valAx>
        <c:axId val="120614912"/>
        <c:scaling>
          <c:orientation val="minMax"/>
          <c:max val="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Paddle Speed (RPM)</a:t>
                </a:r>
              </a:p>
            </c:rich>
          </c:tx>
          <c:layout>
            <c:manualLayout>
              <c:xMode val="edge"/>
              <c:yMode val="edge"/>
              <c:x val="0.34924623115577891"/>
              <c:y val="0.86718914999438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16832"/>
        <c:crosses val="autoZero"/>
        <c:crossBetween val="midCat"/>
        <c:majorUnit val="1"/>
      </c:valAx>
      <c:valAx>
        <c:axId val="120616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Velocity Gradient (sec</a:t>
                </a:r>
                <a:r>
                  <a:rPr lang="en-US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8.203110797920687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1491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72401376963558"/>
          <c:y val="0.12840507776994803"/>
          <c:w val="0.23492528258088344"/>
          <c:h val="0.110895554398112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29145728643243"/>
          <c:y val="8.9843921363680662E-2"/>
          <c:w val="0.75125628140703471"/>
          <c:h val="0.652344994249333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PaddleMixHELP!$E$12</c:f>
              <c:strCache>
                <c:ptCount val="1"/>
                <c:pt idx="0">
                  <c:v>G @ 0 C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strRef>
              <c:f>PaddleMixHELP!$D$13:$D$23</c:f>
              <c:strCache>
                <c:ptCount val="1"/>
                <c:pt idx="0">
                  <c:v>0.0</c:v>
                </c:pt>
              </c:strCache>
            </c:strRef>
          </c:xVal>
          <c:yVal>
            <c:numRef>
              <c:f>PaddleMixHELP!$E$13:$E$23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417-4857-8398-A8888D4F0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29504"/>
        <c:axId val="120643968"/>
      </c:scatterChart>
      <c:valAx>
        <c:axId val="120629504"/>
        <c:scaling>
          <c:orientation val="minMax"/>
          <c:max val="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Paddle Speed (RPM)</a:t>
                </a:r>
              </a:p>
            </c:rich>
          </c:tx>
          <c:layout>
            <c:manualLayout>
              <c:xMode val="edge"/>
              <c:yMode val="edge"/>
              <c:x val="0.34924615766312794"/>
              <c:y val="0.86718914041994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43968"/>
        <c:crosses val="autoZero"/>
        <c:crossBetween val="midCat"/>
        <c:majorUnit val="1"/>
      </c:valAx>
      <c:valAx>
        <c:axId val="12064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Velocity Gradient (sec</a:t>
                </a:r>
                <a:r>
                  <a:rPr lang="en-US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0100547133100902E-2"/>
              <c:y val="8.2031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2950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51767409670806"/>
          <c:y val="0.1328125"/>
          <c:w val="0.23258745641869394"/>
          <c:h val="0.11132833005249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65756289635"/>
          <c:y val="9.8859315589353611E-2"/>
          <c:w val="0.78325217351564125"/>
          <c:h val="0.6463878326996197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BeamMixHELP!$E$12</c:f>
              <c:strCache>
                <c:ptCount val="1"/>
                <c:pt idx="0">
                  <c:v>G @ 0 C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BeamMixHELP!$D$13:$D$23</c:f>
            </c:numRef>
          </c:xVal>
          <c:yVal>
            <c:numRef>
              <c:f>BeamMixHELP!$E$13:$E$23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E1D-4564-85E2-7ABE27F0A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367872"/>
        <c:axId val="113009024"/>
      </c:scatterChart>
      <c:valAx>
        <c:axId val="112367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Flocculator Speed (RPM)</a:t>
                </a:r>
              </a:p>
            </c:rich>
          </c:tx>
          <c:layout>
            <c:manualLayout>
              <c:xMode val="edge"/>
              <c:yMode val="edge"/>
              <c:x val="0.37438475362993417"/>
              <c:y val="0.85931558935361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09024"/>
        <c:crosses val="autoZero"/>
        <c:crossBetween val="midCat"/>
        <c:majorUnit val="1"/>
      </c:valAx>
      <c:valAx>
        <c:axId val="11300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Velocity Gradient (sec</a:t>
                </a:r>
                <a:r>
                  <a:rPr lang="en-US" sz="9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4482758620689655E-2"/>
              <c:y val="0.159695817490494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36787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67487684729065"/>
          <c:y val="0.15779527559055118"/>
          <c:w val="0.18719211822660098"/>
          <c:h val="7.22437451972495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8874851254526"/>
          <c:y val="0.12237783131049107"/>
          <c:w val="0.81719067270931967"/>
          <c:h val="0.66599258216148682"/>
        </c:manualLayout>
      </c:layout>
      <c:scatterChart>
        <c:scatterStyle val="lineMarker"/>
        <c:varyColors val="0"/>
        <c:ser>
          <c:idx val="2"/>
          <c:order val="0"/>
          <c:tx>
            <c:v>Settled TOC, mg/L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DataEntry!$C$34:$H$34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DataEntry!$C$42:$H$42</c:f>
              <c:numCache>
                <c:formatCode>0.00</c:formatCode>
                <c:ptCount val="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68-4ADC-AC36-808FEDD07410}"/>
            </c:ext>
          </c:extLst>
        </c:ser>
        <c:ser>
          <c:idx val="1"/>
          <c:order val="1"/>
          <c:tx>
            <c:v>Settled pH</c:v>
          </c:tx>
          <c:spPr>
            <a:ln w="12700">
              <a:solidFill>
                <a:srgbClr val="33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DataEntry!$C$34:$H$34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DataEntry!$C$40:$H$40</c:f>
              <c:numCache>
                <c:formatCode>0.00</c:formatCode>
                <c:ptCount val="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68-4ADC-AC36-808FEDD07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60096"/>
        <c:axId val="94651904"/>
      </c:scatterChart>
      <c:valAx>
        <c:axId val="9306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Coagulant Dose, mg/L</a:t>
                </a:r>
              </a:p>
            </c:rich>
          </c:tx>
          <c:layout>
            <c:manualLayout>
              <c:xMode val="edge"/>
              <c:yMode val="edge"/>
              <c:x val="0.41921416895719454"/>
              <c:y val="0.909092336580196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51904"/>
        <c:crosses val="autoZero"/>
        <c:crossBetween val="midCat"/>
      </c:valAx>
      <c:valAx>
        <c:axId val="94651904"/>
        <c:scaling>
          <c:orientation val="minMax"/>
          <c:max val="9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See Legend</a:t>
                </a:r>
              </a:p>
            </c:rich>
          </c:tx>
          <c:layout>
            <c:manualLayout>
              <c:xMode val="edge"/>
              <c:yMode val="edge"/>
              <c:x val="1.0917135778599306E-2"/>
              <c:y val="0.318182116958645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60096"/>
        <c:crosses val="autoZero"/>
        <c:crossBetween val="midCat"/>
        <c:majorUnit val="0.5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58429071948584"/>
          <c:y val="1.9130613875501287E-2"/>
          <c:w val="0.77553434069123539"/>
          <c:h val="8.52175583306979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26964486582033"/>
          <c:y val="9.3103448275862075E-2"/>
          <c:w val="0.7894273105971642"/>
          <c:h val="0.70197231933282289"/>
        </c:manualLayout>
      </c:layout>
      <c:scatterChart>
        <c:scatterStyle val="lineMarker"/>
        <c:varyColors val="0"/>
        <c:ser>
          <c:idx val="2"/>
          <c:order val="0"/>
          <c:tx>
            <c:v>TOC Removal, %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DataEntry!$C$34:$H$34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DataEntry!$C$44:$H$44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69-4B66-808F-FE6819592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0576"/>
        <c:axId val="94691328"/>
      </c:scatterChart>
      <c:valAx>
        <c:axId val="9468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Coagulant Dose, mg/L</a:t>
                </a:r>
              </a:p>
            </c:rich>
          </c:tx>
          <c:layout>
            <c:manualLayout>
              <c:xMode val="edge"/>
              <c:yMode val="edge"/>
              <c:x val="0.43859768290149476"/>
              <c:y val="0.91034503520775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91328"/>
        <c:crosses val="autoZero"/>
        <c:crossBetween val="midCat"/>
      </c:valAx>
      <c:valAx>
        <c:axId val="94691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TOC Removal</a:t>
                </a:r>
              </a:p>
            </c:rich>
          </c:tx>
          <c:layout>
            <c:manualLayout>
              <c:xMode val="edge"/>
              <c:yMode val="edge"/>
              <c:x val="1.0964495847379097E-2"/>
              <c:y val="0.2793103868775193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68057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566044050356012"/>
          <c:y val="2.1778580242350059E-2"/>
          <c:w val="0.72051877145289422"/>
          <c:h val="6.89655041007751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46159482889687"/>
          <c:y val="9.440575558237882E-2"/>
          <c:w val="0.81054658583868666"/>
          <c:h val="0.72727396893091834"/>
        </c:manualLayout>
      </c:layout>
      <c:scatterChart>
        <c:scatterStyle val="lineMarker"/>
        <c:varyColors val="0"/>
        <c:ser>
          <c:idx val="2"/>
          <c:order val="0"/>
          <c:tx>
            <c:v>UV Absorbance vs TOC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DataEntry!$C$42:$H$42</c:f>
              <c:numCache>
                <c:formatCode>0.00</c:formatCode>
                <c:ptCount val="6"/>
              </c:numCache>
            </c:numRef>
          </c:xVal>
          <c:yVal>
            <c:numRef>
              <c:f>DataEntry!$C$43:$H$43</c:f>
              <c:numCache>
                <c:formatCode>0.0000</c:formatCode>
                <c:ptCount val="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E4-451F-82AA-0F97DF282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77152"/>
        <c:axId val="99379456"/>
      </c:scatterChart>
      <c:valAx>
        <c:axId val="9937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TOC Concentration, mg/L</a:t>
                </a:r>
              </a:p>
            </c:rich>
          </c:tx>
          <c:layout>
            <c:manualLayout>
              <c:xMode val="edge"/>
              <c:yMode val="edge"/>
              <c:x val="0.39780227471566054"/>
              <c:y val="0.905595892069807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79456"/>
        <c:crosses val="autoZero"/>
        <c:crossBetween val="midCat"/>
      </c:valAx>
      <c:valAx>
        <c:axId val="993794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UV Absorbance</a:t>
                </a:r>
              </a:p>
            </c:rich>
          </c:tx>
          <c:layout>
            <c:manualLayout>
              <c:xMode val="edge"/>
              <c:yMode val="edge"/>
              <c:x val="1.0988876390451194E-2"/>
              <c:y val="0.269231111068318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7715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238120234970629"/>
          <c:y val="1.9400534303483489E-2"/>
          <c:w val="0.49166729158855138"/>
          <c:h val="5.82012325864391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21002386634844"/>
          <c:y val="9.3283752047414376E-2"/>
          <c:w val="0.6945107398568019"/>
          <c:h val="0.6716430147413835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8053912379073966"/>
                  <c:y val="-0.31620933938252543"/>
                </c:manualLayout>
              </c:layout>
              <c:numFmt formatCode="0.0000E+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JarG!$G$28:$G$34</c:f>
              <c:numCache>
                <c:formatCode>General_)</c:formatCode>
                <c:ptCount val="7"/>
                <c:pt idx="0">
                  <c:v>0</c:v>
                </c:pt>
                <c:pt idx="1">
                  <c:v>4.4000000000000004</c:v>
                </c:pt>
                <c:pt idx="2">
                  <c:v>10</c:v>
                </c:pt>
                <c:pt idx="3">
                  <c:v>15.6</c:v>
                </c:pt>
                <c:pt idx="4">
                  <c:v>21.1</c:v>
                </c:pt>
                <c:pt idx="5">
                  <c:v>26.7</c:v>
                </c:pt>
                <c:pt idx="6">
                  <c:v>32.200000000000003</c:v>
                </c:pt>
              </c:numCache>
            </c:numRef>
          </c:xVal>
          <c:yVal>
            <c:numRef>
              <c:f>JarG!$H$28:$H$34</c:f>
              <c:numCache>
                <c:formatCode>0.00000000</c:formatCode>
                <c:ptCount val="7"/>
                <c:pt idx="0">
                  <c:v>3.7459999999999997E-5</c:v>
                </c:pt>
                <c:pt idx="1">
                  <c:v>3.2289999999999997E-5</c:v>
                </c:pt>
                <c:pt idx="2">
                  <c:v>2.7350000000000001E-5</c:v>
                </c:pt>
                <c:pt idx="3">
                  <c:v>2.3589999999999999E-5</c:v>
                </c:pt>
                <c:pt idx="4">
                  <c:v>2.05E-5</c:v>
                </c:pt>
                <c:pt idx="5">
                  <c:v>1.7989999999999999E-5</c:v>
                </c:pt>
                <c:pt idx="6">
                  <c:v>1.5950000000000001E-5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C3-474D-93B2-E14C6751E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94560"/>
        <c:axId val="108996480"/>
      </c:scatterChart>
      <c:valAx>
        <c:axId val="10899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(C)</a:t>
                </a:r>
              </a:p>
            </c:rich>
          </c:tx>
          <c:layout>
            <c:manualLayout>
              <c:xMode val="edge"/>
              <c:yMode val="edge"/>
              <c:x val="0.47971353580802401"/>
              <c:y val="0.8656730035962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96480"/>
        <c:crosses val="autoZero"/>
        <c:crossBetween val="midCat"/>
      </c:valAx>
      <c:valAx>
        <c:axId val="10899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Viscosity</a:t>
                </a:r>
              </a:p>
            </c:rich>
          </c:tx>
          <c:layout>
            <c:manualLayout>
              <c:xMode val="edge"/>
              <c:yMode val="edge"/>
              <c:x val="3.8186226721659798E-2"/>
              <c:y val="0.328358643067799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9456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Mixing Curves for Flat Paddle in 2-Liter Square Jar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9406671662239"/>
          <c:y val="0.11377366165965228"/>
          <c:w val="0.82078373610438049"/>
          <c:h val="0.7332086332029305"/>
        </c:manualLayout>
      </c:layout>
      <c:scatterChart>
        <c:scatterStyle val="lineMarker"/>
        <c:varyColors val="0"/>
        <c:ser>
          <c:idx val="0"/>
          <c:order val="0"/>
          <c:tx>
            <c:strRef>
              <c:f>JarG!$D$18</c:f>
              <c:strCache>
                <c:ptCount val="1"/>
                <c:pt idx="0">
                  <c:v>4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JarG!$B$19:$B$23</c:f>
              <c:numCache>
                <c:formatCode>General_)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</c:numCache>
            </c:numRef>
          </c:xVal>
          <c:yVal>
            <c:numRef>
              <c:f>JarG!$D$19:$D$23</c:f>
              <c:numCache>
                <c:formatCode>0.0</c:formatCode>
                <c:ptCount val="5"/>
                <c:pt idx="0">
                  <c:v>3.2652522196724179</c:v>
                </c:pt>
                <c:pt idx="1">
                  <c:v>16.966748231999041</c:v>
                </c:pt>
                <c:pt idx="2">
                  <c:v>36.506629634348009</c:v>
                </c:pt>
                <c:pt idx="3">
                  <c:v>103.25634149085299</c:v>
                </c:pt>
                <c:pt idx="4">
                  <c:v>536.53568899751917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84-4670-ACEF-E19B5C40579B}"/>
            </c:ext>
          </c:extLst>
        </c:ser>
        <c:ser>
          <c:idx val="1"/>
          <c:order val="1"/>
          <c:tx>
            <c:strRef>
              <c:f>JarG!$H$18</c:f>
              <c:strCache>
                <c:ptCount val="1"/>
                <c:pt idx="0">
                  <c:v>27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JarG!$B$19:$B$23</c:f>
              <c:numCache>
                <c:formatCode>General_)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</c:numCache>
            </c:numRef>
          </c:xVal>
          <c:yVal>
            <c:numRef>
              <c:f>JarG!$H$19:$H$23</c:f>
              <c:numCache>
                <c:formatCode>0.0</c:formatCode>
                <c:ptCount val="5"/>
                <c:pt idx="0">
                  <c:v>4.374568024447087</c:v>
                </c:pt>
                <c:pt idx="1">
                  <c:v>22.730922238525693</c:v>
                </c:pt>
                <c:pt idx="2">
                  <c:v>48.909157374303234</c:v>
                </c:pt>
                <c:pt idx="3">
                  <c:v>138.3359873659594</c:v>
                </c:pt>
                <c:pt idx="4">
                  <c:v>718.81487589914411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84-4670-ACEF-E19B5C405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56384"/>
        <c:axId val="111760896"/>
      </c:scatterChart>
      <c:valAx>
        <c:axId val="10945638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Impeller Speed (rpm)</a:t>
                </a:r>
              </a:p>
            </c:rich>
          </c:tx>
          <c:layout>
            <c:manualLayout>
              <c:xMode val="edge"/>
              <c:yMode val="edge"/>
              <c:x val="0.42018095170127906"/>
              <c:y val="0.939655578766939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760896"/>
        <c:crosses val="autoZero"/>
        <c:crossBetween val="midCat"/>
      </c:valAx>
      <c:valAx>
        <c:axId val="111760896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Velocity Gradient G (per sec)</a:t>
                </a:r>
              </a:p>
            </c:rich>
          </c:tx>
          <c:layout>
            <c:manualLayout>
              <c:xMode val="edge"/>
              <c:yMode val="edge"/>
              <c:x val="7.530033066108428E-3"/>
              <c:y val="0.267241684075204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5638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90666159177231"/>
          <c:y val="0.1637278375917296"/>
          <c:w val="0.21752297579116806"/>
          <c:h val="0.14861454818147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Mixing Curves for Flat Paddle in 1-Liter Square Jar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49406671662239"/>
          <c:y val="0.11377366165965228"/>
          <c:w val="0.82078373610438049"/>
          <c:h val="0.7332086332029305"/>
        </c:manualLayout>
      </c:layout>
      <c:scatterChart>
        <c:scatterStyle val="lineMarker"/>
        <c:varyColors val="0"/>
        <c:ser>
          <c:idx val="0"/>
          <c:order val="0"/>
          <c:tx>
            <c:strRef>
              <c:f>JarG!$N$18</c:f>
              <c:strCache>
                <c:ptCount val="1"/>
                <c:pt idx="0">
                  <c:v>4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JarG!$L$19:$L$23</c:f>
              <c:numCache>
                <c:formatCode>General_)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</c:numCache>
            </c:numRef>
          </c:xVal>
          <c:yVal>
            <c:numRef>
              <c:f>JarG!$N$19:$N$23</c:f>
              <c:numCache>
                <c:formatCode>0.0</c:formatCode>
                <c:ptCount val="5"/>
                <c:pt idx="0">
                  <c:v>4.9317991978702764</c:v>
                </c:pt>
                <c:pt idx="1">
                  <c:v>25.626380350316261</c:v>
                </c:pt>
                <c:pt idx="2">
                  <c:v>55.13919128908438</c:v>
                </c:pt>
                <c:pt idx="3">
                  <c:v>155.9571842786151</c:v>
                </c:pt>
                <c:pt idx="4">
                  <c:v>810.37730092783045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C3-40E7-80E9-6473193D963E}"/>
            </c:ext>
          </c:extLst>
        </c:ser>
        <c:ser>
          <c:idx val="1"/>
          <c:order val="1"/>
          <c:tx>
            <c:strRef>
              <c:f>JarG!$Q$18</c:f>
              <c:strCache>
                <c:ptCount val="1"/>
                <c:pt idx="0">
                  <c:v>20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JarG!$L$19:$L$23</c:f>
              <c:numCache>
                <c:formatCode>General_)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</c:numCache>
            </c:numRef>
          </c:xVal>
          <c:yVal>
            <c:numRef>
              <c:f>JarG!$Q$19:$Q$23</c:f>
              <c:numCache>
                <c:formatCode>0.0</c:formatCode>
                <c:ptCount val="5"/>
                <c:pt idx="0">
                  <c:v>6.1895984859920459</c:v>
                </c:pt>
                <c:pt idx="1">
                  <c:v>32.16209716856887</c:v>
                </c:pt>
                <c:pt idx="2">
                  <c:v>69.201814840539967</c:v>
                </c:pt>
                <c:pt idx="3">
                  <c:v>195.7322901766467</c:v>
                </c:pt>
                <c:pt idx="4">
                  <c:v>1017.0548138033002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C3-40E7-80E9-6473193D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521920"/>
        <c:axId val="109532672"/>
      </c:scatterChart>
      <c:valAx>
        <c:axId val="10952192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Impeller Speed (rpm)</a:t>
                </a:r>
              </a:p>
            </c:rich>
          </c:tx>
          <c:layout>
            <c:manualLayout>
              <c:xMode val="edge"/>
              <c:yMode val="edge"/>
              <c:x val="0.42018095170127906"/>
              <c:y val="0.939655578766939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32672"/>
        <c:crosses val="autoZero"/>
        <c:crossBetween val="midCat"/>
      </c:valAx>
      <c:valAx>
        <c:axId val="109532672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Velocity Gradient G (per sec)</a:t>
                </a:r>
              </a:p>
            </c:rich>
          </c:tx>
          <c:layout>
            <c:manualLayout>
              <c:xMode val="edge"/>
              <c:yMode val="edge"/>
              <c:x val="7.530033066108428E-3"/>
              <c:y val="0.267241684075204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2192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90666159177231"/>
          <c:y val="0.1637278375917296"/>
          <c:w val="0.21752297579116806"/>
          <c:h val="0.14861454818147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10297501746549"/>
          <c:y val="8.9347378877318501E-2"/>
          <c:w val="0.76666858640972158"/>
          <c:h val="0.697596842772909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TurbineMixHELP!$E$13</c:f>
              <c:strCache>
                <c:ptCount val="1"/>
                <c:pt idx="0">
                  <c:v>G @ 0 C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strRef>
              <c:f>TurbineMixHELP!$D$14:$D$24</c:f>
              <c:strCache>
                <c:ptCount val="1"/>
                <c:pt idx="0">
                  <c:v>0</c:v>
                </c:pt>
              </c:strCache>
            </c:strRef>
          </c:xVal>
          <c:yVal>
            <c:numRef>
              <c:f>TurbineMixHELP!$E$14:$E$24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BD9-4535-8B40-36593339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31488"/>
        <c:axId val="112433408"/>
      </c:scatterChart>
      <c:valAx>
        <c:axId val="112431488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Mixer Speed (RPM)</a:t>
                </a:r>
              </a:p>
            </c:rich>
          </c:tx>
          <c:layout>
            <c:manualLayout>
              <c:xMode val="edge"/>
              <c:yMode val="edge"/>
              <c:x val="0.40769338448078607"/>
              <c:y val="0.87972797214781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33408"/>
        <c:crosses val="autoZero"/>
        <c:crossBetween val="midCat"/>
        <c:majorUnit val="2"/>
        <c:minorUnit val="1"/>
      </c:valAx>
      <c:valAx>
        <c:axId val="112433408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Velocity Gradient (sec</a:t>
                </a:r>
                <a:r>
                  <a:rPr lang="en-US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461538461538464E-2"/>
              <c:y val="0.2061862885695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31488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58987818830337"/>
          <c:y val="0.11340242263531491"/>
          <c:w val="0.24615411535096571"/>
          <c:h val="9.27835051546391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10297501746549"/>
          <c:y val="8.9347378877318501E-2"/>
          <c:w val="0.76666858640972191"/>
          <c:h val="0.697596842772909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TurbineMixHELP!$E$13</c:f>
              <c:strCache>
                <c:ptCount val="1"/>
                <c:pt idx="0">
                  <c:v>G @ 0 C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strRef>
              <c:f>TurbineMixHELP!$D$75:$D$85</c:f>
              <c:strCache>
                <c:ptCount val="1"/>
                <c:pt idx="0">
                  <c:v>0</c:v>
                </c:pt>
              </c:strCache>
            </c:strRef>
          </c:xVal>
          <c:yVal>
            <c:numRef>
              <c:f>TurbineMixHELP!$E$75:$E$85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67D-48BC-B39A-3FBB0ABB6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84800"/>
        <c:axId val="112286720"/>
      </c:scatterChart>
      <c:valAx>
        <c:axId val="112284800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Mixer Speed (RPM)</a:t>
                </a:r>
              </a:p>
            </c:rich>
          </c:tx>
          <c:layout>
            <c:manualLayout>
              <c:xMode val="edge"/>
              <c:yMode val="edge"/>
              <c:x val="0.40769338448078607"/>
              <c:y val="0.879727811801302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286720"/>
        <c:crosses val="autoZero"/>
        <c:crossBetween val="midCat"/>
        <c:majorUnit val="2"/>
        <c:minorUnit val="1"/>
      </c:valAx>
      <c:valAx>
        <c:axId val="112286720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Velocity Gradient (sec</a:t>
                </a:r>
                <a:r>
                  <a:rPr lang="en-US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-1</a:t>
                </a: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461538461538464E-2"/>
              <c:y val="0.206186149808197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284800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30796150481189"/>
          <c:y val="0.10968675924056501"/>
          <c:w val="0.24615411535096576"/>
          <c:h val="9.25927421465479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8.xml"/><Relationship Id="rId6" Type="http://schemas.openxmlformats.org/officeDocument/2006/relationships/image" Target="../media/image5.png"/><Relationship Id="rId11" Type="http://schemas.openxmlformats.org/officeDocument/2006/relationships/chart" Target="../charts/chart10.xml"/><Relationship Id="rId5" Type="http://schemas.openxmlformats.org/officeDocument/2006/relationships/image" Target="../media/image4.png"/><Relationship Id="rId10" Type="http://schemas.openxmlformats.org/officeDocument/2006/relationships/chart" Target="../charts/chart9.xml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9.jpeg"/><Relationship Id="rId1" Type="http://schemas.openxmlformats.org/officeDocument/2006/relationships/chart" Target="../charts/chart11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14</xdr:row>
      <xdr:rowOff>85725</xdr:rowOff>
    </xdr:from>
    <xdr:to>
      <xdr:col>3</xdr:col>
      <xdr:colOff>257175</xdr:colOff>
      <xdr:row>14</xdr:row>
      <xdr:rowOff>304800</xdr:rowOff>
    </xdr:to>
    <xdr:sp macro="[0]!GotoJarSettingsScreen" textlink="">
      <xdr:nvSpPr>
        <xdr:cNvPr id="6158" name="Text Box 14">
          <a:extLst>
            <a:ext uri="{FF2B5EF4-FFF2-40B4-BE49-F238E27FC236}">
              <a16:creationId xmlns="" xmlns:a16="http://schemas.microsoft.com/office/drawing/2014/main" id="{00000000-0008-0000-0100-00000E180000}"/>
            </a:ext>
          </a:extLst>
        </xdr:cNvPr>
        <xdr:cNvSpPr txBox="1">
          <a:spLocks noChangeArrowheads="1"/>
        </xdr:cNvSpPr>
      </xdr:nvSpPr>
      <xdr:spPr bwMode="auto">
        <a:xfrm>
          <a:off x="419100" y="3086100"/>
          <a:ext cx="2876550" cy="16192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Helv"/>
            </a:rPr>
            <a:t>Jar Settings HELP Button</a:t>
          </a:r>
        </a:p>
      </xdr:txBody>
    </xdr:sp>
    <xdr:clientData/>
  </xdr:twoCellAnchor>
  <xdr:twoCellAnchor>
    <xdr:from>
      <xdr:col>5</xdr:col>
      <xdr:colOff>828675</xdr:colOff>
      <xdr:row>16</xdr:row>
      <xdr:rowOff>66675</xdr:rowOff>
    </xdr:from>
    <xdr:to>
      <xdr:col>7</xdr:col>
      <xdr:colOff>1085850</xdr:colOff>
      <xdr:row>17</xdr:row>
      <xdr:rowOff>123914</xdr:rowOff>
    </xdr:to>
    <xdr:sp macro="[0]!GotoMacros.StockSolutionHelp" textlink="">
      <xdr:nvSpPr>
        <xdr:cNvPr id="6160" name="Text Box 16">
          <a:extLst>
            <a:ext uri="{FF2B5EF4-FFF2-40B4-BE49-F238E27FC236}">
              <a16:creationId xmlns="" xmlns:a16="http://schemas.microsoft.com/office/drawing/2014/main" id="{00000000-0008-0000-0100-000010180000}"/>
            </a:ext>
          </a:extLst>
        </xdr:cNvPr>
        <xdr:cNvSpPr txBox="1">
          <a:spLocks noChangeArrowheads="1"/>
        </xdr:cNvSpPr>
      </xdr:nvSpPr>
      <xdr:spPr bwMode="auto">
        <a:xfrm>
          <a:off x="6229350" y="3524250"/>
          <a:ext cx="2619375" cy="25717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Helv"/>
            </a:rPr>
            <a:t>Stock Solution HELP Button</a:t>
          </a:r>
        </a:p>
      </xdr:txBody>
    </xdr:sp>
    <xdr:clientData/>
  </xdr:twoCellAnchor>
  <xdr:twoCellAnchor editAs="oneCell">
    <xdr:from>
      <xdr:col>2</xdr:col>
      <xdr:colOff>428625</xdr:colOff>
      <xdr:row>7</xdr:row>
      <xdr:rowOff>176213</xdr:rowOff>
    </xdr:from>
    <xdr:to>
      <xdr:col>2</xdr:col>
      <xdr:colOff>533400</xdr:colOff>
      <xdr:row>9</xdr:row>
      <xdr:rowOff>9525</xdr:rowOff>
    </xdr:to>
    <xdr:sp macro="" textlink="">
      <xdr:nvSpPr>
        <xdr:cNvPr id="1082290" name="Text Box 22">
          <a:extLst>
            <a:ext uri="{FF2B5EF4-FFF2-40B4-BE49-F238E27FC236}">
              <a16:creationId xmlns="" xmlns:a16="http://schemas.microsoft.com/office/drawing/2014/main" id="{00000000-0008-0000-0100-0000B2831000}"/>
            </a:ext>
          </a:extLst>
        </xdr:cNvPr>
        <xdr:cNvSpPr txBox="1">
          <a:spLocks noChangeArrowheads="1"/>
        </xdr:cNvSpPr>
      </xdr:nvSpPr>
      <xdr:spPr bwMode="auto">
        <a:xfrm>
          <a:off x="2286000" y="18192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8</xdr:row>
      <xdr:rowOff>176213</xdr:rowOff>
    </xdr:from>
    <xdr:to>
      <xdr:col>2</xdr:col>
      <xdr:colOff>533400</xdr:colOff>
      <xdr:row>10</xdr:row>
      <xdr:rowOff>85725</xdr:rowOff>
    </xdr:to>
    <xdr:sp macro="" textlink="">
      <xdr:nvSpPr>
        <xdr:cNvPr id="1082291" name="Text Box 23">
          <a:extLst>
            <a:ext uri="{FF2B5EF4-FFF2-40B4-BE49-F238E27FC236}">
              <a16:creationId xmlns="" xmlns:a16="http://schemas.microsoft.com/office/drawing/2014/main" id="{00000000-0008-0000-0100-0000B3831000}"/>
            </a:ext>
          </a:extLst>
        </xdr:cNvPr>
        <xdr:cNvSpPr txBox="1">
          <a:spLocks noChangeArrowheads="1"/>
        </xdr:cNvSpPr>
      </xdr:nvSpPr>
      <xdr:spPr bwMode="auto">
        <a:xfrm>
          <a:off x="2286000" y="2014538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7</xdr:row>
      <xdr:rowOff>176213</xdr:rowOff>
    </xdr:from>
    <xdr:to>
      <xdr:col>3</xdr:col>
      <xdr:colOff>533400</xdr:colOff>
      <xdr:row>9</xdr:row>
      <xdr:rowOff>9525</xdr:rowOff>
    </xdr:to>
    <xdr:sp macro="" textlink="">
      <xdr:nvSpPr>
        <xdr:cNvPr id="1082292" name="Text Box 24">
          <a:extLst>
            <a:ext uri="{FF2B5EF4-FFF2-40B4-BE49-F238E27FC236}">
              <a16:creationId xmlns="" xmlns:a16="http://schemas.microsoft.com/office/drawing/2014/main" id="{00000000-0008-0000-0100-0000B4831000}"/>
            </a:ext>
          </a:extLst>
        </xdr:cNvPr>
        <xdr:cNvSpPr txBox="1">
          <a:spLocks noChangeArrowheads="1"/>
        </xdr:cNvSpPr>
      </xdr:nvSpPr>
      <xdr:spPr bwMode="auto">
        <a:xfrm>
          <a:off x="3467100" y="18192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7</xdr:row>
      <xdr:rowOff>176213</xdr:rowOff>
    </xdr:from>
    <xdr:to>
      <xdr:col>4</xdr:col>
      <xdr:colOff>533400</xdr:colOff>
      <xdr:row>9</xdr:row>
      <xdr:rowOff>9525</xdr:rowOff>
    </xdr:to>
    <xdr:sp macro="" textlink="">
      <xdr:nvSpPr>
        <xdr:cNvPr id="1082293" name="Text Box 25">
          <a:extLst>
            <a:ext uri="{FF2B5EF4-FFF2-40B4-BE49-F238E27FC236}">
              <a16:creationId xmlns="" xmlns:a16="http://schemas.microsoft.com/office/drawing/2014/main" id="{00000000-0008-0000-0100-0000B5831000}"/>
            </a:ext>
          </a:extLst>
        </xdr:cNvPr>
        <xdr:cNvSpPr txBox="1">
          <a:spLocks noChangeArrowheads="1"/>
        </xdr:cNvSpPr>
      </xdr:nvSpPr>
      <xdr:spPr bwMode="auto">
        <a:xfrm>
          <a:off x="4648200" y="18192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7</xdr:row>
      <xdr:rowOff>176213</xdr:rowOff>
    </xdr:from>
    <xdr:to>
      <xdr:col>5</xdr:col>
      <xdr:colOff>533400</xdr:colOff>
      <xdr:row>9</xdr:row>
      <xdr:rowOff>9525</xdr:rowOff>
    </xdr:to>
    <xdr:sp macro="" textlink="">
      <xdr:nvSpPr>
        <xdr:cNvPr id="1082294" name="Text Box 26">
          <a:extLst>
            <a:ext uri="{FF2B5EF4-FFF2-40B4-BE49-F238E27FC236}">
              <a16:creationId xmlns="" xmlns:a16="http://schemas.microsoft.com/office/drawing/2014/main" id="{00000000-0008-0000-0100-0000B6831000}"/>
            </a:ext>
          </a:extLst>
        </xdr:cNvPr>
        <xdr:cNvSpPr txBox="1">
          <a:spLocks noChangeArrowheads="1"/>
        </xdr:cNvSpPr>
      </xdr:nvSpPr>
      <xdr:spPr bwMode="auto">
        <a:xfrm>
          <a:off x="5829300" y="18192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7</xdr:row>
      <xdr:rowOff>176213</xdr:rowOff>
    </xdr:from>
    <xdr:to>
      <xdr:col>6</xdr:col>
      <xdr:colOff>533400</xdr:colOff>
      <xdr:row>9</xdr:row>
      <xdr:rowOff>9525</xdr:rowOff>
    </xdr:to>
    <xdr:sp macro="" textlink="">
      <xdr:nvSpPr>
        <xdr:cNvPr id="1082295" name="Text Box 27">
          <a:extLst>
            <a:ext uri="{FF2B5EF4-FFF2-40B4-BE49-F238E27FC236}">
              <a16:creationId xmlns="" xmlns:a16="http://schemas.microsoft.com/office/drawing/2014/main" id="{00000000-0008-0000-0100-0000B7831000}"/>
            </a:ext>
          </a:extLst>
        </xdr:cNvPr>
        <xdr:cNvSpPr txBox="1">
          <a:spLocks noChangeArrowheads="1"/>
        </xdr:cNvSpPr>
      </xdr:nvSpPr>
      <xdr:spPr bwMode="auto">
        <a:xfrm>
          <a:off x="7010400" y="18192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7</xdr:row>
      <xdr:rowOff>176213</xdr:rowOff>
    </xdr:from>
    <xdr:to>
      <xdr:col>7</xdr:col>
      <xdr:colOff>533400</xdr:colOff>
      <xdr:row>9</xdr:row>
      <xdr:rowOff>9525</xdr:rowOff>
    </xdr:to>
    <xdr:sp macro="" textlink="">
      <xdr:nvSpPr>
        <xdr:cNvPr id="1082296" name="Text Box 28">
          <a:extLst>
            <a:ext uri="{FF2B5EF4-FFF2-40B4-BE49-F238E27FC236}">
              <a16:creationId xmlns="" xmlns:a16="http://schemas.microsoft.com/office/drawing/2014/main" id="{00000000-0008-0000-0100-0000B8831000}"/>
            </a:ext>
          </a:extLst>
        </xdr:cNvPr>
        <xdr:cNvSpPr txBox="1">
          <a:spLocks noChangeArrowheads="1"/>
        </xdr:cNvSpPr>
      </xdr:nvSpPr>
      <xdr:spPr bwMode="auto">
        <a:xfrm>
          <a:off x="8191500" y="18192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7</xdr:row>
      <xdr:rowOff>176213</xdr:rowOff>
    </xdr:from>
    <xdr:to>
      <xdr:col>7</xdr:col>
      <xdr:colOff>533400</xdr:colOff>
      <xdr:row>9</xdr:row>
      <xdr:rowOff>9525</xdr:rowOff>
    </xdr:to>
    <xdr:sp macro="" textlink="">
      <xdr:nvSpPr>
        <xdr:cNvPr id="1082297" name="Text Box 29">
          <a:extLst>
            <a:ext uri="{FF2B5EF4-FFF2-40B4-BE49-F238E27FC236}">
              <a16:creationId xmlns="" xmlns:a16="http://schemas.microsoft.com/office/drawing/2014/main" id="{00000000-0008-0000-0100-0000B9831000}"/>
            </a:ext>
          </a:extLst>
        </xdr:cNvPr>
        <xdr:cNvSpPr txBox="1">
          <a:spLocks noChangeArrowheads="1"/>
        </xdr:cNvSpPr>
      </xdr:nvSpPr>
      <xdr:spPr bwMode="auto">
        <a:xfrm>
          <a:off x="8191500" y="18192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11</xdr:row>
      <xdr:rowOff>176213</xdr:rowOff>
    </xdr:from>
    <xdr:to>
      <xdr:col>2</xdr:col>
      <xdr:colOff>533400</xdr:colOff>
      <xdr:row>13</xdr:row>
      <xdr:rowOff>9525</xdr:rowOff>
    </xdr:to>
    <xdr:sp macro="" textlink="">
      <xdr:nvSpPr>
        <xdr:cNvPr id="1082298" name="Text Box 30">
          <a:extLst>
            <a:ext uri="{FF2B5EF4-FFF2-40B4-BE49-F238E27FC236}">
              <a16:creationId xmlns="" xmlns:a16="http://schemas.microsoft.com/office/drawing/2014/main" id="{00000000-0008-0000-0100-0000BA831000}"/>
            </a:ext>
          </a:extLst>
        </xdr:cNvPr>
        <xdr:cNvSpPr txBox="1">
          <a:spLocks noChangeArrowheads="1"/>
        </xdr:cNvSpPr>
      </xdr:nvSpPr>
      <xdr:spPr bwMode="auto">
        <a:xfrm>
          <a:off x="2286000" y="25288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12</xdr:row>
      <xdr:rowOff>176213</xdr:rowOff>
    </xdr:from>
    <xdr:to>
      <xdr:col>2</xdr:col>
      <xdr:colOff>533400</xdr:colOff>
      <xdr:row>14</xdr:row>
      <xdr:rowOff>9525</xdr:rowOff>
    </xdr:to>
    <xdr:sp macro="" textlink="">
      <xdr:nvSpPr>
        <xdr:cNvPr id="1082299" name="Text Box 31">
          <a:extLst>
            <a:ext uri="{FF2B5EF4-FFF2-40B4-BE49-F238E27FC236}">
              <a16:creationId xmlns="" xmlns:a16="http://schemas.microsoft.com/office/drawing/2014/main" id="{00000000-0008-0000-0100-0000BB831000}"/>
            </a:ext>
          </a:extLst>
        </xdr:cNvPr>
        <xdr:cNvSpPr txBox="1">
          <a:spLocks noChangeArrowheads="1"/>
        </xdr:cNvSpPr>
      </xdr:nvSpPr>
      <xdr:spPr bwMode="auto">
        <a:xfrm>
          <a:off x="2286000" y="27241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11</xdr:row>
      <xdr:rowOff>176213</xdr:rowOff>
    </xdr:from>
    <xdr:to>
      <xdr:col>4</xdr:col>
      <xdr:colOff>533400</xdr:colOff>
      <xdr:row>13</xdr:row>
      <xdr:rowOff>9525</xdr:rowOff>
    </xdr:to>
    <xdr:sp macro="" textlink="">
      <xdr:nvSpPr>
        <xdr:cNvPr id="1082300" name="Text Box 32">
          <a:extLst>
            <a:ext uri="{FF2B5EF4-FFF2-40B4-BE49-F238E27FC236}">
              <a16:creationId xmlns="" xmlns:a16="http://schemas.microsoft.com/office/drawing/2014/main" id="{00000000-0008-0000-0100-0000BC831000}"/>
            </a:ext>
          </a:extLst>
        </xdr:cNvPr>
        <xdr:cNvSpPr txBox="1">
          <a:spLocks noChangeArrowheads="1"/>
        </xdr:cNvSpPr>
      </xdr:nvSpPr>
      <xdr:spPr bwMode="auto">
        <a:xfrm>
          <a:off x="4648200" y="25288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12</xdr:row>
      <xdr:rowOff>176213</xdr:rowOff>
    </xdr:from>
    <xdr:to>
      <xdr:col>4</xdr:col>
      <xdr:colOff>533400</xdr:colOff>
      <xdr:row>14</xdr:row>
      <xdr:rowOff>9525</xdr:rowOff>
    </xdr:to>
    <xdr:sp macro="" textlink="">
      <xdr:nvSpPr>
        <xdr:cNvPr id="1082301" name="Text Box 33">
          <a:extLst>
            <a:ext uri="{FF2B5EF4-FFF2-40B4-BE49-F238E27FC236}">
              <a16:creationId xmlns="" xmlns:a16="http://schemas.microsoft.com/office/drawing/2014/main" id="{00000000-0008-0000-0100-0000BD831000}"/>
            </a:ext>
          </a:extLst>
        </xdr:cNvPr>
        <xdr:cNvSpPr txBox="1">
          <a:spLocks noChangeArrowheads="1"/>
        </xdr:cNvSpPr>
      </xdr:nvSpPr>
      <xdr:spPr bwMode="auto">
        <a:xfrm>
          <a:off x="4648200" y="27241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11</xdr:row>
      <xdr:rowOff>176213</xdr:rowOff>
    </xdr:from>
    <xdr:to>
      <xdr:col>5</xdr:col>
      <xdr:colOff>533400</xdr:colOff>
      <xdr:row>13</xdr:row>
      <xdr:rowOff>9525</xdr:rowOff>
    </xdr:to>
    <xdr:sp macro="" textlink="">
      <xdr:nvSpPr>
        <xdr:cNvPr id="1082302" name="Text Box 34">
          <a:extLst>
            <a:ext uri="{FF2B5EF4-FFF2-40B4-BE49-F238E27FC236}">
              <a16:creationId xmlns="" xmlns:a16="http://schemas.microsoft.com/office/drawing/2014/main" id="{00000000-0008-0000-0100-0000BE831000}"/>
            </a:ext>
          </a:extLst>
        </xdr:cNvPr>
        <xdr:cNvSpPr txBox="1">
          <a:spLocks noChangeArrowheads="1"/>
        </xdr:cNvSpPr>
      </xdr:nvSpPr>
      <xdr:spPr bwMode="auto">
        <a:xfrm>
          <a:off x="5829300" y="25288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12</xdr:row>
      <xdr:rowOff>176213</xdr:rowOff>
    </xdr:from>
    <xdr:to>
      <xdr:col>5</xdr:col>
      <xdr:colOff>533400</xdr:colOff>
      <xdr:row>14</xdr:row>
      <xdr:rowOff>9525</xdr:rowOff>
    </xdr:to>
    <xdr:sp macro="" textlink="">
      <xdr:nvSpPr>
        <xdr:cNvPr id="1082303" name="Text Box 35">
          <a:extLst>
            <a:ext uri="{FF2B5EF4-FFF2-40B4-BE49-F238E27FC236}">
              <a16:creationId xmlns="" xmlns:a16="http://schemas.microsoft.com/office/drawing/2014/main" id="{00000000-0008-0000-0100-0000BF831000}"/>
            </a:ext>
          </a:extLst>
        </xdr:cNvPr>
        <xdr:cNvSpPr txBox="1">
          <a:spLocks noChangeArrowheads="1"/>
        </xdr:cNvSpPr>
      </xdr:nvSpPr>
      <xdr:spPr bwMode="auto">
        <a:xfrm>
          <a:off x="5829300" y="27241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11</xdr:row>
      <xdr:rowOff>176213</xdr:rowOff>
    </xdr:from>
    <xdr:to>
      <xdr:col>6</xdr:col>
      <xdr:colOff>533400</xdr:colOff>
      <xdr:row>13</xdr:row>
      <xdr:rowOff>9525</xdr:rowOff>
    </xdr:to>
    <xdr:sp macro="" textlink="">
      <xdr:nvSpPr>
        <xdr:cNvPr id="1082304" name="Text Box 36">
          <a:extLst>
            <a:ext uri="{FF2B5EF4-FFF2-40B4-BE49-F238E27FC236}">
              <a16:creationId xmlns="" xmlns:a16="http://schemas.microsoft.com/office/drawing/2014/main" id="{00000000-0008-0000-0100-0000C0831000}"/>
            </a:ext>
          </a:extLst>
        </xdr:cNvPr>
        <xdr:cNvSpPr txBox="1">
          <a:spLocks noChangeArrowheads="1"/>
        </xdr:cNvSpPr>
      </xdr:nvSpPr>
      <xdr:spPr bwMode="auto">
        <a:xfrm>
          <a:off x="7010400" y="25288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12</xdr:row>
      <xdr:rowOff>176213</xdr:rowOff>
    </xdr:from>
    <xdr:to>
      <xdr:col>6</xdr:col>
      <xdr:colOff>533400</xdr:colOff>
      <xdr:row>14</xdr:row>
      <xdr:rowOff>9525</xdr:rowOff>
    </xdr:to>
    <xdr:sp macro="" textlink="">
      <xdr:nvSpPr>
        <xdr:cNvPr id="1082305" name="Text Box 37">
          <a:extLst>
            <a:ext uri="{FF2B5EF4-FFF2-40B4-BE49-F238E27FC236}">
              <a16:creationId xmlns="" xmlns:a16="http://schemas.microsoft.com/office/drawing/2014/main" id="{00000000-0008-0000-0100-0000C1831000}"/>
            </a:ext>
          </a:extLst>
        </xdr:cNvPr>
        <xdr:cNvSpPr txBox="1">
          <a:spLocks noChangeArrowheads="1"/>
        </xdr:cNvSpPr>
      </xdr:nvSpPr>
      <xdr:spPr bwMode="auto">
        <a:xfrm>
          <a:off x="7010400" y="27241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12</xdr:row>
      <xdr:rowOff>176213</xdr:rowOff>
    </xdr:from>
    <xdr:to>
      <xdr:col>7</xdr:col>
      <xdr:colOff>533400</xdr:colOff>
      <xdr:row>14</xdr:row>
      <xdr:rowOff>9525</xdr:rowOff>
    </xdr:to>
    <xdr:sp macro="" textlink="">
      <xdr:nvSpPr>
        <xdr:cNvPr id="1082306" name="Text Box 38">
          <a:extLst>
            <a:ext uri="{FF2B5EF4-FFF2-40B4-BE49-F238E27FC236}">
              <a16:creationId xmlns="" xmlns:a16="http://schemas.microsoft.com/office/drawing/2014/main" id="{00000000-0008-0000-0100-0000C2831000}"/>
            </a:ext>
          </a:extLst>
        </xdr:cNvPr>
        <xdr:cNvSpPr txBox="1">
          <a:spLocks noChangeArrowheads="1"/>
        </xdr:cNvSpPr>
      </xdr:nvSpPr>
      <xdr:spPr bwMode="auto">
        <a:xfrm>
          <a:off x="8191500" y="27241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21</xdr:row>
      <xdr:rowOff>171450</xdr:rowOff>
    </xdr:from>
    <xdr:to>
      <xdr:col>2</xdr:col>
      <xdr:colOff>533400</xdr:colOff>
      <xdr:row>22</xdr:row>
      <xdr:rowOff>195263</xdr:rowOff>
    </xdr:to>
    <xdr:sp macro="" textlink="">
      <xdr:nvSpPr>
        <xdr:cNvPr id="1082307" name="Text Box 39">
          <a:extLst>
            <a:ext uri="{FF2B5EF4-FFF2-40B4-BE49-F238E27FC236}">
              <a16:creationId xmlns="" xmlns:a16="http://schemas.microsoft.com/office/drawing/2014/main" id="{00000000-0008-0000-0100-0000C3831000}"/>
            </a:ext>
          </a:extLst>
        </xdr:cNvPr>
        <xdr:cNvSpPr txBox="1">
          <a:spLocks noChangeArrowheads="1"/>
        </xdr:cNvSpPr>
      </xdr:nvSpPr>
      <xdr:spPr bwMode="auto">
        <a:xfrm>
          <a:off x="2286000" y="4548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25</xdr:row>
      <xdr:rowOff>0</xdr:rowOff>
    </xdr:from>
    <xdr:to>
      <xdr:col>2</xdr:col>
      <xdr:colOff>533400</xdr:colOff>
      <xdr:row>26</xdr:row>
      <xdr:rowOff>28575</xdr:rowOff>
    </xdr:to>
    <xdr:sp macro="" textlink="">
      <xdr:nvSpPr>
        <xdr:cNvPr id="1082308" name="Text Box 40">
          <a:extLst>
            <a:ext uri="{FF2B5EF4-FFF2-40B4-BE49-F238E27FC236}">
              <a16:creationId xmlns="" xmlns:a16="http://schemas.microsoft.com/office/drawing/2014/main" id="{00000000-0008-0000-0100-0000C4831000}"/>
            </a:ext>
          </a:extLst>
        </xdr:cNvPr>
        <xdr:cNvSpPr txBox="1">
          <a:spLocks noChangeArrowheads="1"/>
        </xdr:cNvSpPr>
      </xdr:nvSpPr>
      <xdr:spPr bwMode="auto">
        <a:xfrm>
          <a:off x="2286000" y="50958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28</xdr:row>
      <xdr:rowOff>0</xdr:rowOff>
    </xdr:from>
    <xdr:to>
      <xdr:col>2</xdr:col>
      <xdr:colOff>533400</xdr:colOff>
      <xdr:row>29</xdr:row>
      <xdr:rowOff>28575</xdr:rowOff>
    </xdr:to>
    <xdr:sp macro="" textlink="">
      <xdr:nvSpPr>
        <xdr:cNvPr id="1082309" name="Text Box 41">
          <a:extLst>
            <a:ext uri="{FF2B5EF4-FFF2-40B4-BE49-F238E27FC236}">
              <a16:creationId xmlns="" xmlns:a16="http://schemas.microsoft.com/office/drawing/2014/main" id="{00000000-0008-0000-0100-0000C5831000}"/>
            </a:ext>
          </a:extLst>
        </xdr:cNvPr>
        <xdr:cNvSpPr txBox="1">
          <a:spLocks noChangeArrowheads="1"/>
        </xdr:cNvSpPr>
      </xdr:nvSpPr>
      <xdr:spPr bwMode="auto">
        <a:xfrm>
          <a:off x="2286000" y="5691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35</xdr:row>
      <xdr:rowOff>176213</xdr:rowOff>
    </xdr:from>
    <xdr:to>
      <xdr:col>2</xdr:col>
      <xdr:colOff>533400</xdr:colOff>
      <xdr:row>37</xdr:row>
      <xdr:rowOff>9525</xdr:rowOff>
    </xdr:to>
    <xdr:sp macro="" textlink="">
      <xdr:nvSpPr>
        <xdr:cNvPr id="1082310" name="Text Box 42">
          <a:extLst>
            <a:ext uri="{FF2B5EF4-FFF2-40B4-BE49-F238E27FC236}">
              <a16:creationId xmlns="" xmlns:a16="http://schemas.microsoft.com/office/drawing/2014/main" id="{00000000-0008-0000-0100-0000C6831000}"/>
            </a:ext>
          </a:extLst>
        </xdr:cNvPr>
        <xdr:cNvSpPr txBox="1">
          <a:spLocks noChangeArrowheads="1"/>
        </xdr:cNvSpPr>
      </xdr:nvSpPr>
      <xdr:spPr bwMode="auto">
        <a:xfrm>
          <a:off x="2286000" y="724376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36</xdr:row>
      <xdr:rowOff>176213</xdr:rowOff>
    </xdr:from>
    <xdr:to>
      <xdr:col>2</xdr:col>
      <xdr:colOff>533400</xdr:colOff>
      <xdr:row>38</xdr:row>
      <xdr:rowOff>9525</xdr:rowOff>
    </xdr:to>
    <xdr:sp macro="" textlink="">
      <xdr:nvSpPr>
        <xdr:cNvPr id="1082311" name="Text Box 43">
          <a:extLst>
            <a:ext uri="{FF2B5EF4-FFF2-40B4-BE49-F238E27FC236}">
              <a16:creationId xmlns="" xmlns:a16="http://schemas.microsoft.com/office/drawing/2014/main" id="{00000000-0008-0000-0100-0000C7831000}"/>
            </a:ext>
          </a:extLst>
        </xdr:cNvPr>
        <xdr:cNvSpPr txBox="1">
          <a:spLocks noChangeArrowheads="1"/>
        </xdr:cNvSpPr>
      </xdr:nvSpPr>
      <xdr:spPr bwMode="auto">
        <a:xfrm>
          <a:off x="2286000" y="743902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37</xdr:row>
      <xdr:rowOff>176213</xdr:rowOff>
    </xdr:from>
    <xdr:to>
      <xdr:col>2</xdr:col>
      <xdr:colOff>533400</xdr:colOff>
      <xdr:row>39</xdr:row>
      <xdr:rowOff>9525</xdr:rowOff>
    </xdr:to>
    <xdr:sp macro="" textlink="">
      <xdr:nvSpPr>
        <xdr:cNvPr id="1082312" name="Text Box 44">
          <a:extLst>
            <a:ext uri="{FF2B5EF4-FFF2-40B4-BE49-F238E27FC236}">
              <a16:creationId xmlns="" xmlns:a16="http://schemas.microsoft.com/office/drawing/2014/main" id="{00000000-0008-0000-0100-0000C8831000}"/>
            </a:ext>
          </a:extLst>
        </xdr:cNvPr>
        <xdr:cNvSpPr txBox="1">
          <a:spLocks noChangeArrowheads="1"/>
        </xdr:cNvSpPr>
      </xdr:nvSpPr>
      <xdr:spPr bwMode="auto">
        <a:xfrm>
          <a:off x="2286000" y="76342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38</xdr:row>
      <xdr:rowOff>176213</xdr:rowOff>
    </xdr:from>
    <xdr:to>
      <xdr:col>2</xdr:col>
      <xdr:colOff>533400</xdr:colOff>
      <xdr:row>40</xdr:row>
      <xdr:rowOff>9525</xdr:rowOff>
    </xdr:to>
    <xdr:sp macro="" textlink="">
      <xdr:nvSpPr>
        <xdr:cNvPr id="1082313" name="Text Box 45">
          <a:extLst>
            <a:ext uri="{FF2B5EF4-FFF2-40B4-BE49-F238E27FC236}">
              <a16:creationId xmlns="" xmlns:a16="http://schemas.microsoft.com/office/drawing/2014/main" id="{00000000-0008-0000-0100-0000C9831000}"/>
            </a:ext>
          </a:extLst>
        </xdr:cNvPr>
        <xdr:cNvSpPr txBox="1">
          <a:spLocks noChangeArrowheads="1"/>
        </xdr:cNvSpPr>
      </xdr:nvSpPr>
      <xdr:spPr bwMode="auto">
        <a:xfrm>
          <a:off x="2286000" y="78295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39</xdr:row>
      <xdr:rowOff>176213</xdr:rowOff>
    </xdr:from>
    <xdr:to>
      <xdr:col>2</xdr:col>
      <xdr:colOff>533400</xdr:colOff>
      <xdr:row>41</xdr:row>
      <xdr:rowOff>9525</xdr:rowOff>
    </xdr:to>
    <xdr:sp macro="" textlink="">
      <xdr:nvSpPr>
        <xdr:cNvPr id="1082314" name="Text Box 46">
          <a:extLst>
            <a:ext uri="{FF2B5EF4-FFF2-40B4-BE49-F238E27FC236}">
              <a16:creationId xmlns="" xmlns:a16="http://schemas.microsoft.com/office/drawing/2014/main" id="{00000000-0008-0000-0100-0000CA831000}"/>
            </a:ext>
          </a:extLst>
        </xdr:cNvPr>
        <xdr:cNvSpPr txBox="1">
          <a:spLocks noChangeArrowheads="1"/>
        </xdr:cNvSpPr>
      </xdr:nvSpPr>
      <xdr:spPr bwMode="auto">
        <a:xfrm>
          <a:off x="2286000" y="802481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40</xdr:row>
      <xdr:rowOff>176213</xdr:rowOff>
    </xdr:from>
    <xdr:to>
      <xdr:col>2</xdr:col>
      <xdr:colOff>533400</xdr:colOff>
      <xdr:row>42</xdr:row>
      <xdr:rowOff>9525</xdr:rowOff>
    </xdr:to>
    <xdr:sp macro="" textlink="">
      <xdr:nvSpPr>
        <xdr:cNvPr id="1082315" name="Text Box 47">
          <a:extLst>
            <a:ext uri="{FF2B5EF4-FFF2-40B4-BE49-F238E27FC236}">
              <a16:creationId xmlns="" xmlns:a16="http://schemas.microsoft.com/office/drawing/2014/main" id="{00000000-0008-0000-0100-0000CB831000}"/>
            </a:ext>
          </a:extLst>
        </xdr:cNvPr>
        <xdr:cNvSpPr txBox="1">
          <a:spLocks noChangeArrowheads="1"/>
        </xdr:cNvSpPr>
      </xdr:nvSpPr>
      <xdr:spPr bwMode="auto">
        <a:xfrm>
          <a:off x="2286000" y="82200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41</xdr:row>
      <xdr:rowOff>176213</xdr:rowOff>
    </xdr:from>
    <xdr:to>
      <xdr:col>2</xdr:col>
      <xdr:colOff>533400</xdr:colOff>
      <xdr:row>42</xdr:row>
      <xdr:rowOff>185738</xdr:rowOff>
    </xdr:to>
    <xdr:sp macro="" textlink="">
      <xdr:nvSpPr>
        <xdr:cNvPr id="1082316" name="Text Box 48">
          <a:extLst>
            <a:ext uri="{FF2B5EF4-FFF2-40B4-BE49-F238E27FC236}">
              <a16:creationId xmlns="" xmlns:a16="http://schemas.microsoft.com/office/drawing/2014/main" id="{00000000-0008-0000-0100-0000CC831000}"/>
            </a:ext>
          </a:extLst>
        </xdr:cNvPr>
        <xdr:cNvSpPr txBox="1">
          <a:spLocks noChangeArrowheads="1"/>
        </xdr:cNvSpPr>
      </xdr:nvSpPr>
      <xdr:spPr bwMode="auto">
        <a:xfrm>
          <a:off x="2286000" y="8415338"/>
          <a:ext cx="104775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21</xdr:row>
      <xdr:rowOff>171450</xdr:rowOff>
    </xdr:from>
    <xdr:to>
      <xdr:col>3</xdr:col>
      <xdr:colOff>533400</xdr:colOff>
      <xdr:row>22</xdr:row>
      <xdr:rowOff>195263</xdr:rowOff>
    </xdr:to>
    <xdr:sp macro="" textlink="">
      <xdr:nvSpPr>
        <xdr:cNvPr id="1082317" name="Text Box 49">
          <a:extLst>
            <a:ext uri="{FF2B5EF4-FFF2-40B4-BE49-F238E27FC236}">
              <a16:creationId xmlns="" xmlns:a16="http://schemas.microsoft.com/office/drawing/2014/main" id="{00000000-0008-0000-0100-0000CD831000}"/>
            </a:ext>
          </a:extLst>
        </xdr:cNvPr>
        <xdr:cNvSpPr txBox="1">
          <a:spLocks noChangeArrowheads="1"/>
        </xdr:cNvSpPr>
      </xdr:nvSpPr>
      <xdr:spPr bwMode="auto">
        <a:xfrm>
          <a:off x="3467100" y="4548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25</xdr:row>
      <xdr:rowOff>0</xdr:rowOff>
    </xdr:from>
    <xdr:to>
      <xdr:col>3</xdr:col>
      <xdr:colOff>533400</xdr:colOff>
      <xdr:row>26</xdr:row>
      <xdr:rowOff>28575</xdr:rowOff>
    </xdr:to>
    <xdr:sp macro="" textlink="">
      <xdr:nvSpPr>
        <xdr:cNvPr id="1082318" name="Text Box 50">
          <a:extLst>
            <a:ext uri="{FF2B5EF4-FFF2-40B4-BE49-F238E27FC236}">
              <a16:creationId xmlns="" xmlns:a16="http://schemas.microsoft.com/office/drawing/2014/main" id="{00000000-0008-0000-0100-0000CE831000}"/>
            </a:ext>
          </a:extLst>
        </xdr:cNvPr>
        <xdr:cNvSpPr txBox="1">
          <a:spLocks noChangeArrowheads="1"/>
        </xdr:cNvSpPr>
      </xdr:nvSpPr>
      <xdr:spPr bwMode="auto">
        <a:xfrm>
          <a:off x="3467100" y="50958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28</xdr:row>
      <xdr:rowOff>0</xdr:rowOff>
    </xdr:from>
    <xdr:to>
      <xdr:col>3</xdr:col>
      <xdr:colOff>533400</xdr:colOff>
      <xdr:row>29</xdr:row>
      <xdr:rowOff>28575</xdr:rowOff>
    </xdr:to>
    <xdr:sp macro="" textlink="">
      <xdr:nvSpPr>
        <xdr:cNvPr id="1082319" name="Text Box 51">
          <a:extLst>
            <a:ext uri="{FF2B5EF4-FFF2-40B4-BE49-F238E27FC236}">
              <a16:creationId xmlns="" xmlns:a16="http://schemas.microsoft.com/office/drawing/2014/main" id="{00000000-0008-0000-0100-0000CF831000}"/>
            </a:ext>
          </a:extLst>
        </xdr:cNvPr>
        <xdr:cNvSpPr txBox="1">
          <a:spLocks noChangeArrowheads="1"/>
        </xdr:cNvSpPr>
      </xdr:nvSpPr>
      <xdr:spPr bwMode="auto">
        <a:xfrm>
          <a:off x="3467100" y="5691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35</xdr:row>
      <xdr:rowOff>176213</xdr:rowOff>
    </xdr:from>
    <xdr:to>
      <xdr:col>3</xdr:col>
      <xdr:colOff>533400</xdr:colOff>
      <xdr:row>37</xdr:row>
      <xdr:rowOff>9525</xdr:rowOff>
    </xdr:to>
    <xdr:sp macro="" textlink="">
      <xdr:nvSpPr>
        <xdr:cNvPr id="1082320" name="Text Box 52">
          <a:extLst>
            <a:ext uri="{FF2B5EF4-FFF2-40B4-BE49-F238E27FC236}">
              <a16:creationId xmlns="" xmlns:a16="http://schemas.microsoft.com/office/drawing/2014/main" id="{00000000-0008-0000-0100-0000D0831000}"/>
            </a:ext>
          </a:extLst>
        </xdr:cNvPr>
        <xdr:cNvSpPr txBox="1">
          <a:spLocks noChangeArrowheads="1"/>
        </xdr:cNvSpPr>
      </xdr:nvSpPr>
      <xdr:spPr bwMode="auto">
        <a:xfrm>
          <a:off x="3467100" y="724376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36</xdr:row>
      <xdr:rowOff>176213</xdr:rowOff>
    </xdr:from>
    <xdr:to>
      <xdr:col>3</xdr:col>
      <xdr:colOff>533400</xdr:colOff>
      <xdr:row>38</xdr:row>
      <xdr:rowOff>9525</xdr:rowOff>
    </xdr:to>
    <xdr:sp macro="" textlink="">
      <xdr:nvSpPr>
        <xdr:cNvPr id="1082321" name="Text Box 53">
          <a:extLst>
            <a:ext uri="{FF2B5EF4-FFF2-40B4-BE49-F238E27FC236}">
              <a16:creationId xmlns="" xmlns:a16="http://schemas.microsoft.com/office/drawing/2014/main" id="{00000000-0008-0000-0100-0000D1831000}"/>
            </a:ext>
          </a:extLst>
        </xdr:cNvPr>
        <xdr:cNvSpPr txBox="1">
          <a:spLocks noChangeArrowheads="1"/>
        </xdr:cNvSpPr>
      </xdr:nvSpPr>
      <xdr:spPr bwMode="auto">
        <a:xfrm>
          <a:off x="3467100" y="743902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37</xdr:row>
      <xdr:rowOff>176213</xdr:rowOff>
    </xdr:from>
    <xdr:to>
      <xdr:col>3</xdr:col>
      <xdr:colOff>533400</xdr:colOff>
      <xdr:row>39</xdr:row>
      <xdr:rowOff>9525</xdr:rowOff>
    </xdr:to>
    <xdr:sp macro="" textlink="">
      <xdr:nvSpPr>
        <xdr:cNvPr id="1082322" name="Text Box 54">
          <a:extLst>
            <a:ext uri="{FF2B5EF4-FFF2-40B4-BE49-F238E27FC236}">
              <a16:creationId xmlns="" xmlns:a16="http://schemas.microsoft.com/office/drawing/2014/main" id="{00000000-0008-0000-0100-0000D2831000}"/>
            </a:ext>
          </a:extLst>
        </xdr:cNvPr>
        <xdr:cNvSpPr txBox="1">
          <a:spLocks noChangeArrowheads="1"/>
        </xdr:cNvSpPr>
      </xdr:nvSpPr>
      <xdr:spPr bwMode="auto">
        <a:xfrm>
          <a:off x="3467100" y="76342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38</xdr:row>
      <xdr:rowOff>176213</xdr:rowOff>
    </xdr:from>
    <xdr:to>
      <xdr:col>3</xdr:col>
      <xdr:colOff>533400</xdr:colOff>
      <xdr:row>40</xdr:row>
      <xdr:rowOff>9525</xdr:rowOff>
    </xdr:to>
    <xdr:sp macro="" textlink="">
      <xdr:nvSpPr>
        <xdr:cNvPr id="1082323" name="Text Box 55">
          <a:extLst>
            <a:ext uri="{FF2B5EF4-FFF2-40B4-BE49-F238E27FC236}">
              <a16:creationId xmlns="" xmlns:a16="http://schemas.microsoft.com/office/drawing/2014/main" id="{00000000-0008-0000-0100-0000D3831000}"/>
            </a:ext>
          </a:extLst>
        </xdr:cNvPr>
        <xdr:cNvSpPr txBox="1">
          <a:spLocks noChangeArrowheads="1"/>
        </xdr:cNvSpPr>
      </xdr:nvSpPr>
      <xdr:spPr bwMode="auto">
        <a:xfrm>
          <a:off x="3467100" y="78295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39</xdr:row>
      <xdr:rowOff>176213</xdr:rowOff>
    </xdr:from>
    <xdr:to>
      <xdr:col>3</xdr:col>
      <xdr:colOff>533400</xdr:colOff>
      <xdr:row>41</xdr:row>
      <xdr:rowOff>9525</xdr:rowOff>
    </xdr:to>
    <xdr:sp macro="" textlink="">
      <xdr:nvSpPr>
        <xdr:cNvPr id="1082324" name="Text Box 56">
          <a:extLst>
            <a:ext uri="{FF2B5EF4-FFF2-40B4-BE49-F238E27FC236}">
              <a16:creationId xmlns="" xmlns:a16="http://schemas.microsoft.com/office/drawing/2014/main" id="{00000000-0008-0000-0100-0000D4831000}"/>
            </a:ext>
          </a:extLst>
        </xdr:cNvPr>
        <xdr:cNvSpPr txBox="1">
          <a:spLocks noChangeArrowheads="1"/>
        </xdr:cNvSpPr>
      </xdr:nvSpPr>
      <xdr:spPr bwMode="auto">
        <a:xfrm>
          <a:off x="3467100" y="802481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40</xdr:row>
      <xdr:rowOff>176213</xdr:rowOff>
    </xdr:from>
    <xdr:to>
      <xdr:col>3</xdr:col>
      <xdr:colOff>533400</xdr:colOff>
      <xdr:row>42</xdr:row>
      <xdr:rowOff>9525</xdr:rowOff>
    </xdr:to>
    <xdr:sp macro="" textlink="">
      <xdr:nvSpPr>
        <xdr:cNvPr id="1082325" name="Text Box 57">
          <a:extLst>
            <a:ext uri="{FF2B5EF4-FFF2-40B4-BE49-F238E27FC236}">
              <a16:creationId xmlns="" xmlns:a16="http://schemas.microsoft.com/office/drawing/2014/main" id="{00000000-0008-0000-0100-0000D5831000}"/>
            </a:ext>
          </a:extLst>
        </xdr:cNvPr>
        <xdr:cNvSpPr txBox="1">
          <a:spLocks noChangeArrowheads="1"/>
        </xdr:cNvSpPr>
      </xdr:nvSpPr>
      <xdr:spPr bwMode="auto">
        <a:xfrm>
          <a:off x="3467100" y="82200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41</xdr:row>
      <xdr:rowOff>176213</xdr:rowOff>
    </xdr:from>
    <xdr:to>
      <xdr:col>3</xdr:col>
      <xdr:colOff>533400</xdr:colOff>
      <xdr:row>42</xdr:row>
      <xdr:rowOff>185738</xdr:rowOff>
    </xdr:to>
    <xdr:sp macro="" textlink="">
      <xdr:nvSpPr>
        <xdr:cNvPr id="1082326" name="Text Box 58">
          <a:extLst>
            <a:ext uri="{FF2B5EF4-FFF2-40B4-BE49-F238E27FC236}">
              <a16:creationId xmlns="" xmlns:a16="http://schemas.microsoft.com/office/drawing/2014/main" id="{00000000-0008-0000-0100-0000D6831000}"/>
            </a:ext>
          </a:extLst>
        </xdr:cNvPr>
        <xdr:cNvSpPr txBox="1">
          <a:spLocks noChangeArrowheads="1"/>
        </xdr:cNvSpPr>
      </xdr:nvSpPr>
      <xdr:spPr bwMode="auto">
        <a:xfrm>
          <a:off x="3467100" y="8415338"/>
          <a:ext cx="104775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21</xdr:row>
      <xdr:rowOff>171450</xdr:rowOff>
    </xdr:from>
    <xdr:to>
      <xdr:col>4</xdr:col>
      <xdr:colOff>533400</xdr:colOff>
      <xdr:row>22</xdr:row>
      <xdr:rowOff>195263</xdr:rowOff>
    </xdr:to>
    <xdr:sp macro="" textlink="">
      <xdr:nvSpPr>
        <xdr:cNvPr id="1082327" name="Text Box 59">
          <a:extLst>
            <a:ext uri="{FF2B5EF4-FFF2-40B4-BE49-F238E27FC236}">
              <a16:creationId xmlns="" xmlns:a16="http://schemas.microsoft.com/office/drawing/2014/main" id="{00000000-0008-0000-0100-0000D7831000}"/>
            </a:ext>
          </a:extLst>
        </xdr:cNvPr>
        <xdr:cNvSpPr txBox="1">
          <a:spLocks noChangeArrowheads="1"/>
        </xdr:cNvSpPr>
      </xdr:nvSpPr>
      <xdr:spPr bwMode="auto">
        <a:xfrm>
          <a:off x="4648200" y="4548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25</xdr:row>
      <xdr:rowOff>0</xdr:rowOff>
    </xdr:from>
    <xdr:to>
      <xdr:col>4</xdr:col>
      <xdr:colOff>533400</xdr:colOff>
      <xdr:row>26</xdr:row>
      <xdr:rowOff>28575</xdr:rowOff>
    </xdr:to>
    <xdr:sp macro="" textlink="">
      <xdr:nvSpPr>
        <xdr:cNvPr id="1082328" name="Text Box 60">
          <a:extLst>
            <a:ext uri="{FF2B5EF4-FFF2-40B4-BE49-F238E27FC236}">
              <a16:creationId xmlns="" xmlns:a16="http://schemas.microsoft.com/office/drawing/2014/main" id="{00000000-0008-0000-0100-0000D8831000}"/>
            </a:ext>
          </a:extLst>
        </xdr:cNvPr>
        <xdr:cNvSpPr txBox="1">
          <a:spLocks noChangeArrowheads="1"/>
        </xdr:cNvSpPr>
      </xdr:nvSpPr>
      <xdr:spPr bwMode="auto">
        <a:xfrm>
          <a:off x="4648200" y="50958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28</xdr:row>
      <xdr:rowOff>0</xdr:rowOff>
    </xdr:from>
    <xdr:to>
      <xdr:col>4</xdr:col>
      <xdr:colOff>533400</xdr:colOff>
      <xdr:row>29</xdr:row>
      <xdr:rowOff>28575</xdr:rowOff>
    </xdr:to>
    <xdr:sp macro="" textlink="">
      <xdr:nvSpPr>
        <xdr:cNvPr id="1082329" name="Text Box 61">
          <a:extLst>
            <a:ext uri="{FF2B5EF4-FFF2-40B4-BE49-F238E27FC236}">
              <a16:creationId xmlns="" xmlns:a16="http://schemas.microsoft.com/office/drawing/2014/main" id="{00000000-0008-0000-0100-0000D9831000}"/>
            </a:ext>
          </a:extLst>
        </xdr:cNvPr>
        <xdr:cNvSpPr txBox="1">
          <a:spLocks noChangeArrowheads="1"/>
        </xdr:cNvSpPr>
      </xdr:nvSpPr>
      <xdr:spPr bwMode="auto">
        <a:xfrm>
          <a:off x="4648200" y="5691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35</xdr:row>
      <xdr:rowOff>176213</xdr:rowOff>
    </xdr:from>
    <xdr:to>
      <xdr:col>4</xdr:col>
      <xdr:colOff>533400</xdr:colOff>
      <xdr:row>37</xdr:row>
      <xdr:rowOff>9525</xdr:rowOff>
    </xdr:to>
    <xdr:sp macro="" textlink="">
      <xdr:nvSpPr>
        <xdr:cNvPr id="1082330" name="Text Box 62">
          <a:extLst>
            <a:ext uri="{FF2B5EF4-FFF2-40B4-BE49-F238E27FC236}">
              <a16:creationId xmlns="" xmlns:a16="http://schemas.microsoft.com/office/drawing/2014/main" id="{00000000-0008-0000-0100-0000DA831000}"/>
            </a:ext>
          </a:extLst>
        </xdr:cNvPr>
        <xdr:cNvSpPr txBox="1">
          <a:spLocks noChangeArrowheads="1"/>
        </xdr:cNvSpPr>
      </xdr:nvSpPr>
      <xdr:spPr bwMode="auto">
        <a:xfrm>
          <a:off x="4648200" y="724376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36</xdr:row>
      <xdr:rowOff>176213</xdr:rowOff>
    </xdr:from>
    <xdr:to>
      <xdr:col>4</xdr:col>
      <xdr:colOff>533400</xdr:colOff>
      <xdr:row>38</xdr:row>
      <xdr:rowOff>9525</xdr:rowOff>
    </xdr:to>
    <xdr:sp macro="" textlink="">
      <xdr:nvSpPr>
        <xdr:cNvPr id="1082331" name="Text Box 63">
          <a:extLst>
            <a:ext uri="{FF2B5EF4-FFF2-40B4-BE49-F238E27FC236}">
              <a16:creationId xmlns="" xmlns:a16="http://schemas.microsoft.com/office/drawing/2014/main" id="{00000000-0008-0000-0100-0000DB831000}"/>
            </a:ext>
          </a:extLst>
        </xdr:cNvPr>
        <xdr:cNvSpPr txBox="1">
          <a:spLocks noChangeArrowheads="1"/>
        </xdr:cNvSpPr>
      </xdr:nvSpPr>
      <xdr:spPr bwMode="auto">
        <a:xfrm>
          <a:off x="4648200" y="743902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37</xdr:row>
      <xdr:rowOff>176213</xdr:rowOff>
    </xdr:from>
    <xdr:to>
      <xdr:col>4</xdr:col>
      <xdr:colOff>533400</xdr:colOff>
      <xdr:row>39</xdr:row>
      <xdr:rowOff>9525</xdr:rowOff>
    </xdr:to>
    <xdr:sp macro="" textlink="">
      <xdr:nvSpPr>
        <xdr:cNvPr id="1082332" name="Text Box 64">
          <a:extLst>
            <a:ext uri="{FF2B5EF4-FFF2-40B4-BE49-F238E27FC236}">
              <a16:creationId xmlns="" xmlns:a16="http://schemas.microsoft.com/office/drawing/2014/main" id="{00000000-0008-0000-0100-0000DC831000}"/>
            </a:ext>
          </a:extLst>
        </xdr:cNvPr>
        <xdr:cNvSpPr txBox="1">
          <a:spLocks noChangeArrowheads="1"/>
        </xdr:cNvSpPr>
      </xdr:nvSpPr>
      <xdr:spPr bwMode="auto">
        <a:xfrm>
          <a:off x="4648200" y="76342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38</xdr:row>
      <xdr:rowOff>176213</xdr:rowOff>
    </xdr:from>
    <xdr:to>
      <xdr:col>4</xdr:col>
      <xdr:colOff>533400</xdr:colOff>
      <xdr:row>40</xdr:row>
      <xdr:rowOff>9525</xdr:rowOff>
    </xdr:to>
    <xdr:sp macro="" textlink="">
      <xdr:nvSpPr>
        <xdr:cNvPr id="1082333" name="Text Box 65">
          <a:extLst>
            <a:ext uri="{FF2B5EF4-FFF2-40B4-BE49-F238E27FC236}">
              <a16:creationId xmlns="" xmlns:a16="http://schemas.microsoft.com/office/drawing/2014/main" id="{00000000-0008-0000-0100-0000DD831000}"/>
            </a:ext>
          </a:extLst>
        </xdr:cNvPr>
        <xdr:cNvSpPr txBox="1">
          <a:spLocks noChangeArrowheads="1"/>
        </xdr:cNvSpPr>
      </xdr:nvSpPr>
      <xdr:spPr bwMode="auto">
        <a:xfrm>
          <a:off x="4648200" y="78295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39</xdr:row>
      <xdr:rowOff>176213</xdr:rowOff>
    </xdr:from>
    <xdr:to>
      <xdr:col>4</xdr:col>
      <xdr:colOff>533400</xdr:colOff>
      <xdr:row>41</xdr:row>
      <xdr:rowOff>9525</xdr:rowOff>
    </xdr:to>
    <xdr:sp macro="" textlink="">
      <xdr:nvSpPr>
        <xdr:cNvPr id="1082334" name="Text Box 66">
          <a:extLst>
            <a:ext uri="{FF2B5EF4-FFF2-40B4-BE49-F238E27FC236}">
              <a16:creationId xmlns="" xmlns:a16="http://schemas.microsoft.com/office/drawing/2014/main" id="{00000000-0008-0000-0100-0000DE831000}"/>
            </a:ext>
          </a:extLst>
        </xdr:cNvPr>
        <xdr:cNvSpPr txBox="1">
          <a:spLocks noChangeArrowheads="1"/>
        </xdr:cNvSpPr>
      </xdr:nvSpPr>
      <xdr:spPr bwMode="auto">
        <a:xfrm>
          <a:off x="4648200" y="802481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40</xdr:row>
      <xdr:rowOff>176213</xdr:rowOff>
    </xdr:from>
    <xdr:to>
      <xdr:col>4</xdr:col>
      <xdr:colOff>533400</xdr:colOff>
      <xdr:row>42</xdr:row>
      <xdr:rowOff>9525</xdr:rowOff>
    </xdr:to>
    <xdr:sp macro="" textlink="">
      <xdr:nvSpPr>
        <xdr:cNvPr id="1082335" name="Text Box 67">
          <a:extLst>
            <a:ext uri="{FF2B5EF4-FFF2-40B4-BE49-F238E27FC236}">
              <a16:creationId xmlns="" xmlns:a16="http://schemas.microsoft.com/office/drawing/2014/main" id="{00000000-0008-0000-0100-0000DF831000}"/>
            </a:ext>
          </a:extLst>
        </xdr:cNvPr>
        <xdr:cNvSpPr txBox="1">
          <a:spLocks noChangeArrowheads="1"/>
        </xdr:cNvSpPr>
      </xdr:nvSpPr>
      <xdr:spPr bwMode="auto">
        <a:xfrm>
          <a:off x="4648200" y="82200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41</xdr:row>
      <xdr:rowOff>176213</xdr:rowOff>
    </xdr:from>
    <xdr:to>
      <xdr:col>4</xdr:col>
      <xdr:colOff>533400</xdr:colOff>
      <xdr:row>42</xdr:row>
      <xdr:rowOff>185738</xdr:rowOff>
    </xdr:to>
    <xdr:sp macro="" textlink="">
      <xdr:nvSpPr>
        <xdr:cNvPr id="1082336" name="Text Box 68">
          <a:extLst>
            <a:ext uri="{FF2B5EF4-FFF2-40B4-BE49-F238E27FC236}">
              <a16:creationId xmlns="" xmlns:a16="http://schemas.microsoft.com/office/drawing/2014/main" id="{00000000-0008-0000-0100-0000E0831000}"/>
            </a:ext>
          </a:extLst>
        </xdr:cNvPr>
        <xdr:cNvSpPr txBox="1">
          <a:spLocks noChangeArrowheads="1"/>
        </xdr:cNvSpPr>
      </xdr:nvSpPr>
      <xdr:spPr bwMode="auto">
        <a:xfrm>
          <a:off x="4648200" y="8415338"/>
          <a:ext cx="104775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21</xdr:row>
      <xdr:rowOff>171450</xdr:rowOff>
    </xdr:from>
    <xdr:to>
      <xdr:col>5</xdr:col>
      <xdr:colOff>533400</xdr:colOff>
      <xdr:row>22</xdr:row>
      <xdr:rowOff>195263</xdr:rowOff>
    </xdr:to>
    <xdr:sp macro="" textlink="">
      <xdr:nvSpPr>
        <xdr:cNvPr id="1082337" name="Text Box 69">
          <a:extLst>
            <a:ext uri="{FF2B5EF4-FFF2-40B4-BE49-F238E27FC236}">
              <a16:creationId xmlns="" xmlns:a16="http://schemas.microsoft.com/office/drawing/2014/main" id="{00000000-0008-0000-0100-0000E1831000}"/>
            </a:ext>
          </a:extLst>
        </xdr:cNvPr>
        <xdr:cNvSpPr txBox="1">
          <a:spLocks noChangeArrowheads="1"/>
        </xdr:cNvSpPr>
      </xdr:nvSpPr>
      <xdr:spPr bwMode="auto">
        <a:xfrm>
          <a:off x="5829300" y="4548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25</xdr:row>
      <xdr:rowOff>0</xdr:rowOff>
    </xdr:from>
    <xdr:to>
      <xdr:col>5</xdr:col>
      <xdr:colOff>533400</xdr:colOff>
      <xdr:row>26</xdr:row>
      <xdr:rowOff>28575</xdr:rowOff>
    </xdr:to>
    <xdr:sp macro="" textlink="">
      <xdr:nvSpPr>
        <xdr:cNvPr id="1082338" name="Text Box 70">
          <a:extLst>
            <a:ext uri="{FF2B5EF4-FFF2-40B4-BE49-F238E27FC236}">
              <a16:creationId xmlns="" xmlns:a16="http://schemas.microsoft.com/office/drawing/2014/main" id="{00000000-0008-0000-0100-0000E2831000}"/>
            </a:ext>
          </a:extLst>
        </xdr:cNvPr>
        <xdr:cNvSpPr txBox="1">
          <a:spLocks noChangeArrowheads="1"/>
        </xdr:cNvSpPr>
      </xdr:nvSpPr>
      <xdr:spPr bwMode="auto">
        <a:xfrm>
          <a:off x="5829300" y="50958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28</xdr:row>
      <xdr:rowOff>0</xdr:rowOff>
    </xdr:from>
    <xdr:to>
      <xdr:col>5</xdr:col>
      <xdr:colOff>533400</xdr:colOff>
      <xdr:row>29</xdr:row>
      <xdr:rowOff>28575</xdr:rowOff>
    </xdr:to>
    <xdr:sp macro="" textlink="">
      <xdr:nvSpPr>
        <xdr:cNvPr id="1082339" name="Text Box 71">
          <a:extLst>
            <a:ext uri="{FF2B5EF4-FFF2-40B4-BE49-F238E27FC236}">
              <a16:creationId xmlns="" xmlns:a16="http://schemas.microsoft.com/office/drawing/2014/main" id="{00000000-0008-0000-0100-0000E3831000}"/>
            </a:ext>
          </a:extLst>
        </xdr:cNvPr>
        <xdr:cNvSpPr txBox="1">
          <a:spLocks noChangeArrowheads="1"/>
        </xdr:cNvSpPr>
      </xdr:nvSpPr>
      <xdr:spPr bwMode="auto">
        <a:xfrm>
          <a:off x="5829300" y="5691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35</xdr:row>
      <xdr:rowOff>176213</xdr:rowOff>
    </xdr:from>
    <xdr:to>
      <xdr:col>5</xdr:col>
      <xdr:colOff>533400</xdr:colOff>
      <xdr:row>37</xdr:row>
      <xdr:rowOff>9525</xdr:rowOff>
    </xdr:to>
    <xdr:sp macro="" textlink="">
      <xdr:nvSpPr>
        <xdr:cNvPr id="1082340" name="Text Box 72">
          <a:extLst>
            <a:ext uri="{FF2B5EF4-FFF2-40B4-BE49-F238E27FC236}">
              <a16:creationId xmlns="" xmlns:a16="http://schemas.microsoft.com/office/drawing/2014/main" id="{00000000-0008-0000-0100-0000E4831000}"/>
            </a:ext>
          </a:extLst>
        </xdr:cNvPr>
        <xdr:cNvSpPr txBox="1">
          <a:spLocks noChangeArrowheads="1"/>
        </xdr:cNvSpPr>
      </xdr:nvSpPr>
      <xdr:spPr bwMode="auto">
        <a:xfrm>
          <a:off x="5829300" y="724376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36</xdr:row>
      <xdr:rowOff>176213</xdr:rowOff>
    </xdr:from>
    <xdr:to>
      <xdr:col>5</xdr:col>
      <xdr:colOff>533400</xdr:colOff>
      <xdr:row>38</xdr:row>
      <xdr:rowOff>9525</xdr:rowOff>
    </xdr:to>
    <xdr:sp macro="" textlink="">
      <xdr:nvSpPr>
        <xdr:cNvPr id="1082341" name="Text Box 73">
          <a:extLst>
            <a:ext uri="{FF2B5EF4-FFF2-40B4-BE49-F238E27FC236}">
              <a16:creationId xmlns="" xmlns:a16="http://schemas.microsoft.com/office/drawing/2014/main" id="{00000000-0008-0000-0100-0000E5831000}"/>
            </a:ext>
          </a:extLst>
        </xdr:cNvPr>
        <xdr:cNvSpPr txBox="1">
          <a:spLocks noChangeArrowheads="1"/>
        </xdr:cNvSpPr>
      </xdr:nvSpPr>
      <xdr:spPr bwMode="auto">
        <a:xfrm>
          <a:off x="5829300" y="743902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37</xdr:row>
      <xdr:rowOff>176213</xdr:rowOff>
    </xdr:from>
    <xdr:to>
      <xdr:col>5</xdr:col>
      <xdr:colOff>533400</xdr:colOff>
      <xdr:row>39</xdr:row>
      <xdr:rowOff>9525</xdr:rowOff>
    </xdr:to>
    <xdr:sp macro="" textlink="">
      <xdr:nvSpPr>
        <xdr:cNvPr id="1082342" name="Text Box 74">
          <a:extLst>
            <a:ext uri="{FF2B5EF4-FFF2-40B4-BE49-F238E27FC236}">
              <a16:creationId xmlns="" xmlns:a16="http://schemas.microsoft.com/office/drawing/2014/main" id="{00000000-0008-0000-0100-0000E6831000}"/>
            </a:ext>
          </a:extLst>
        </xdr:cNvPr>
        <xdr:cNvSpPr txBox="1">
          <a:spLocks noChangeArrowheads="1"/>
        </xdr:cNvSpPr>
      </xdr:nvSpPr>
      <xdr:spPr bwMode="auto">
        <a:xfrm>
          <a:off x="5829300" y="76342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38</xdr:row>
      <xdr:rowOff>176213</xdr:rowOff>
    </xdr:from>
    <xdr:to>
      <xdr:col>5</xdr:col>
      <xdr:colOff>533400</xdr:colOff>
      <xdr:row>40</xdr:row>
      <xdr:rowOff>9525</xdr:rowOff>
    </xdr:to>
    <xdr:sp macro="" textlink="">
      <xdr:nvSpPr>
        <xdr:cNvPr id="1082343" name="Text Box 75">
          <a:extLst>
            <a:ext uri="{FF2B5EF4-FFF2-40B4-BE49-F238E27FC236}">
              <a16:creationId xmlns="" xmlns:a16="http://schemas.microsoft.com/office/drawing/2014/main" id="{00000000-0008-0000-0100-0000E7831000}"/>
            </a:ext>
          </a:extLst>
        </xdr:cNvPr>
        <xdr:cNvSpPr txBox="1">
          <a:spLocks noChangeArrowheads="1"/>
        </xdr:cNvSpPr>
      </xdr:nvSpPr>
      <xdr:spPr bwMode="auto">
        <a:xfrm>
          <a:off x="5829300" y="78295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39</xdr:row>
      <xdr:rowOff>176213</xdr:rowOff>
    </xdr:from>
    <xdr:to>
      <xdr:col>5</xdr:col>
      <xdr:colOff>533400</xdr:colOff>
      <xdr:row>41</xdr:row>
      <xdr:rowOff>9525</xdr:rowOff>
    </xdr:to>
    <xdr:sp macro="" textlink="">
      <xdr:nvSpPr>
        <xdr:cNvPr id="1082344" name="Text Box 76">
          <a:extLst>
            <a:ext uri="{FF2B5EF4-FFF2-40B4-BE49-F238E27FC236}">
              <a16:creationId xmlns="" xmlns:a16="http://schemas.microsoft.com/office/drawing/2014/main" id="{00000000-0008-0000-0100-0000E8831000}"/>
            </a:ext>
          </a:extLst>
        </xdr:cNvPr>
        <xdr:cNvSpPr txBox="1">
          <a:spLocks noChangeArrowheads="1"/>
        </xdr:cNvSpPr>
      </xdr:nvSpPr>
      <xdr:spPr bwMode="auto">
        <a:xfrm>
          <a:off x="5829300" y="802481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40</xdr:row>
      <xdr:rowOff>176213</xdr:rowOff>
    </xdr:from>
    <xdr:to>
      <xdr:col>5</xdr:col>
      <xdr:colOff>533400</xdr:colOff>
      <xdr:row>42</xdr:row>
      <xdr:rowOff>9525</xdr:rowOff>
    </xdr:to>
    <xdr:sp macro="" textlink="">
      <xdr:nvSpPr>
        <xdr:cNvPr id="1082345" name="Text Box 77">
          <a:extLst>
            <a:ext uri="{FF2B5EF4-FFF2-40B4-BE49-F238E27FC236}">
              <a16:creationId xmlns="" xmlns:a16="http://schemas.microsoft.com/office/drawing/2014/main" id="{00000000-0008-0000-0100-0000E9831000}"/>
            </a:ext>
          </a:extLst>
        </xdr:cNvPr>
        <xdr:cNvSpPr txBox="1">
          <a:spLocks noChangeArrowheads="1"/>
        </xdr:cNvSpPr>
      </xdr:nvSpPr>
      <xdr:spPr bwMode="auto">
        <a:xfrm>
          <a:off x="5829300" y="82200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41</xdr:row>
      <xdr:rowOff>176213</xdr:rowOff>
    </xdr:from>
    <xdr:to>
      <xdr:col>5</xdr:col>
      <xdr:colOff>533400</xdr:colOff>
      <xdr:row>42</xdr:row>
      <xdr:rowOff>185738</xdr:rowOff>
    </xdr:to>
    <xdr:sp macro="" textlink="">
      <xdr:nvSpPr>
        <xdr:cNvPr id="1082346" name="Text Box 78">
          <a:extLst>
            <a:ext uri="{FF2B5EF4-FFF2-40B4-BE49-F238E27FC236}">
              <a16:creationId xmlns="" xmlns:a16="http://schemas.microsoft.com/office/drawing/2014/main" id="{00000000-0008-0000-0100-0000EA831000}"/>
            </a:ext>
          </a:extLst>
        </xdr:cNvPr>
        <xdr:cNvSpPr txBox="1">
          <a:spLocks noChangeArrowheads="1"/>
        </xdr:cNvSpPr>
      </xdr:nvSpPr>
      <xdr:spPr bwMode="auto">
        <a:xfrm>
          <a:off x="5829300" y="8415338"/>
          <a:ext cx="104775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21</xdr:row>
      <xdr:rowOff>171450</xdr:rowOff>
    </xdr:from>
    <xdr:to>
      <xdr:col>6</xdr:col>
      <xdr:colOff>533400</xdr:colOff>
      <xdr:row>22</xdr:row>
      <xdr:rowOff>195263</xdr:rowOff>
    </xdr:to>
    <xdr:sp macro="" textlink="">
      <xdr:nvSpPr>
        <xdr:cNvPr id="1082347" name="Text Box 79">
          <a:extLst>
            <a:ext uri="{FF2B5EF4-FFF2-40B4-BE49-F238E27FC236}">
              <a16:creationId xmlns="" xmlns:a16="http://schemas.microsoft.com/office/drawing/2014/main" id="{00000000-0008-0000-0100-0000EB831000}"/>
            </a:ext>
          </a:extLst>
        </xdr:cNvPr>
        <xdr:cNvSpPr txBox="1">
          <a:spLocks noChangeArrowheads="1"/>
        </xdr:cNvSpPr>
      </xdr:nvSpPr>
      <xdr:spPr bwMode="auto">
        <a:xfrm>
          <a:off x="7010400" y="4548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25</xdr:row>
      <xdr:rowOff>0</xdr:rowOff>
    </xdr:from>
    <xdr:to>
      <xdr:col>6</xdr:col>
      <xdr:colOff>533400</xdr:colOff>
      <xdr:row>26</xdr:row>
      <xdr:rowOff>28575</xdr:rowOff>
    </xdr:to>
    <xdr:sp macro="" textlink="">
      <xdr:nvSpPr>
        <xdr:cNvPr id="1082348" name="Text Box 80">
          <a:extLst>
            <a:ext uri="{FF2B5EF4-FFF2-40B4-BE49-F238E27FC236}">
              <a16:creationId xmlns="" xmlns:a16="http://schemas.microsoft.com/office/drawing/2014/main" id="{00000000-0008-0000-0100-0000EC831000}"/>
            </a:ext>
          </a:extLst>
        </xdr:cNvPr>
        <xdr:cNvSpPr txBox="1">
          <a:spLocks noChangeArrowheads="1"/>
        </xdr:cNvSpPr>
      </xdr:nvSpPr>
      <xdr:spPr bwMode="auto">
        <a:xfrm>
          <a:off x="7010400" y="50958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28</xdr:row>
      <xdr:rowOff>0</xdr:rowOff>
    </xdr:from>
    <xdr:to>
      <xdr:col>6</xdr:col>
      <xdr:colOff>533400</xdr:colOff>
      <xdr:row>29</xdr:row>
      <xdr:rowOff>28575</xdr:rowOff>
    </xdr:to>
    <xdr:sp macro="" textlink="">
      <xdr:nvSpPr>
        <xdr:cNvPr id="1082349" name="Text Box 81">
          <a:extLst>
            <a:ext uri="{FF2B5EF4-FFF2-40B4-BE49-F238E27FC236}">
              <a16:creationId xmlns="" xmlns:a16="http://schemas.microsoft.com/office/drawing/2014/main" id="{00000000-0008-0000-0100-0000ED831000}"/>
            </a:ext>
          </a:extLst>
        </xdr:cNvPr>
        <xdr:cNvSpPr txBox="1">
          <a:spLocks noChangeArrowheads="1"/>
        </xdr:cNvSpPr>
      </xdr:nvSpPr>
      <xdr:spPr bwMode="auto">
        <a:xfrm>
          <a:off x="7010400" y="5691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35</xdr:row>
      <xdr:rowOff>176213</xdr:rowOff>
    </xdr:from>
    <xdr:to>
      <xdr:col>6</xdr:col>
      <xdr:colOff>533400</xdr:colOff>
      <xdr:row>37</xdr:row>
      <xdr:rowOff>9525</xdr:rowOff>
    </xdr:to>
    <xdr:sp macro="" textlink="">
      <xdr:nvSpPr>
        <xdr:cNvPr id="1082350" name="Text Box 82">
          <a:extLst>
            <a:ext uri="{FF2B5EF4-FFF2-40B4-BE49-F238E27FC236}">
              <a16:creationId xmlns="" xmlns:a16="http://schemas.microsoft.com/office/drawing/2014/main" id="{00000000-0008-0000-0100-0000EE831000}"/>
            </a:ext>
          </a:extLst>
        </xdr:cNvPr>
        <xdr:cNvSpPr txBox="1">
          <a:spLocks noChangeArrowheads="1"/>
        </xdr:cNvSpPr>
      </xdr:nvSpPr>
      <xdr:spPr bwMode="auto">
        <a:xfrm>
          <a:off x="7010400" y="724376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36</xdr:row>
      <xdr:rowOff>176213</xdr:rowOff>
    </xdr:from>
    <xdr:to>
      <xdr:col>6</xdr:col>
      <xdr:colOff>533400</xdr:colOff>
      <xdr:row>38</xdr:row>
      <xdr:rowOff>9525</xdr:rowOff>
    </xdr:to>
    <xdr:sp macro="" textlink="">
      <xdr:nvSpPr>
        <xdr:cNvPr id="1082351" name="Text Box 83">
          <a:extLst>
            <a:ext uri="{FF2B5EF4-FFF2-40B4-BE49-F238E27FC236}">
              <a16:creationId xmlns="" xmlns:a16="http://schemas.microsoft.com/office/drawing/2014/main" id="{00000000-0008-0000-0100-0000EF831000}"/>
            </a:ext>
          </a:extLst>
        </xdr:cNvPr>
        <xdr:cNvSpPr txBox="1">
          <a:spLocks noChangeArrowheads="1"/>
        </xdr:cNvSpPr>
      </xdr:nvSpPr>
      <xdr:spPr bwMode="auto">
        <a:xfrm>
          <a:off x="7010400" y="743902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37</xdr:row>
      <xdr:rowOff>176213</xdr:rowOff>
    </xdr:from>
    <xdr:to>
      <xdr:col>6</xdr:col>
      <xdr:colOff>533400</xdr:colOff>
      <xdr:row>39</xdr:row>
      <xdr:rowOff>9525</xdr:rowOff>
    </xdr:to>
    <xdr:sp macro="" textlink="">
      <xdr:nvSpPr>
        <xdr:cNvPr id="1082352" name="Text Box 84">
          <a:extLst>
            <a:ext uri="{FF2B5EF4-FFF2-40B4-BE49-F238E27FC236}">
              <a16:creationId xmlns="" xmlns:a16="http://schemas.microsoft.com/office/drawing/2014/main" id="{00000000-0008-0000-0100-0000F0831000}"/>
            </a:ext>
          </a:extLst>
        </xdr:cNvPr>
        <xdr:cNvSpPr txBox="1">
          <a:spLocks noChangeArrowheads="1"/>
        </xdr:cNvSpPr>
      </xdr:nvSpPr>
      <xdr:spPr bwMode="auto">
        <a:xfrm>
          <a:off x="7010400" y="76342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38</xdr:row>
      <xdr:rowOff>176213</xdr:rowOff>
    </xdr:from>
    <xdr:to>
      <xdr:col>6</xdr:col>
      <xdr:colOff>533400</xdr:colOff>
      <xdr:row>40</xdr:row>
      <xdr:rowOff>9525</xdr:rowOff>
    </xdr:to>
    <xdr:sp macro="" textlink="">
      <xdr:nvSpPr>
        <xdr:cNvPr id="1082353" name="Text Box 85">
          <a:extLst>
            <a:ext uri="{FF2B5EF4-FFF2-40B4-BE49-F238E27FC236}">
              <a16:creationId xmlns="" xmlns:a16="http://schemas.microsoft.com/office/drawing/2014/main" id="{00000000-0008-0000-0100-0000F1831000}"/>
            </a:ext>
          </a:extLst>
        </xdr:cNvPr>
        <xdr:cNvSpPr txBox="1">
          <a:spLocks noChangeArrowheads="1"/>
        </xdr:cNvSpPr>
      </xdr:nvSpPr>
      <xdr:spPr bwMode="auto">
        <a:xfrm>
          <a:off x="7010400" y="78295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39</xdr:row>
      <xdr:rowOff>176213</xdr:rowOff>
    </xdr:from>
    <xdr:to>
      <xdr:col>6</xdr:col>
      <xdr:colOff>533400</xdr:colOff>
      <xdr:row>41</xdr:row>
      <xdr:rowOff>9525</xdr:rowOff>
    </xdr:to>
    <xdr:sp macro="" textlink="">
      <xdr:nvSpPr>
        <xdr:cNvPr id="1082354" name="Text Box 86">
          <a:extLst>
            <a:ext uri="{FF2B5EF4-FFF2-40B4-BE49-F238E27FC236}">
              <a16:creationId xmlns="" xmlns:a16="http://schemas.microsoft.com/office/drawing/2014/main" id="{00000000-0008-0000-0100-0000F2831000}"/>
            </a:ext>
          </a:extLst>
        </xdr:cNvPr>
        <xdr:cNvSpPr txBox="1">
          <a:spLocks noChangeArrowheads="1"/>
        </xdr:cNvSpPr>
      </xdr:nvSpPr>
      <xdr:spPr bwMode="auto">
        <a:xfrm>
          <a:off x="7010400" y="802481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40</xdr:row>
      <xdr:rowOff>176213</xdr:rowOff>
    </xdr:from>
    <xdr:to>
      <xdr:col>6</xdr:col>
      <xdr:colOff>533400</xdr:colOff>
      <xdr:row>42</xdr:row>
      <xdr:rowOff>9525</xdr:rowOff>
    </xdr:to>
    <xdr:sp macro="" textlink="">
      <xdr:nvSpPr>
        <xdr:cNvPr id="1082355" name="Text Box 87">
          <a:extLst>
            <a:ext uri="{FF2B5EF4-FFF2-40B4-BE49-F238E27FC236}">
              <a16:creationId xmlns="" xmlns:a16="http://schemas.microsoft.com/office/drawing/2014/main" id="{00000000-0008-0000-0100-0000F3831000}"/>
            </a:ext>
          </a:extLst>
        </xdr:cNvPr>
        <xdr:cNvSpPr txBox="1">
          <a:spLocks noChangeArrowheads="1"/>
        </xdr:cNvSpPr>
      </xdr:nvSpPr>
      <xdr:spPr bwMode="auto">
        <a:xfrm>
          <a:off x="7010400" y="82200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41</xdr:row>
      <xdr:rowOff>176213</xdr:rowOff>
    </xdr:from>
    <xdr:to>
      <xdr:col>6</xdr:col>
      <xdr:colOff>533400</xdr:colOff>
      <xdr:row>42</xdr:row>
      <xdr:rowOff>185738</xdr:rowOff>
    </xdr:to>
    <xdr:sp macro="" textlink="">
      <xdr:nvSpPr>
        <xdr:cNvPr id="1082356" name="Text Box 88">
          <a:extLst>
            <a:ext uri="{FF2B5EF4-FFF2-40B4-BE49-F238E27FC236}">
              <a16:creationId xmlns="" xmlns:a16="http://schemas.microsoft.com/office/drawing/2014/main" id="{00000000-0008-0000-0100-0000F4831000}"/>
            </a:ext>
          </a:extLst>
        </xdr:cNvPr>
        <xdr:cNvSpPr txBox="1">
          <a:spLocks noChangeArrowheads="1"/>
        </xdr:cNvSpPr>
      </xdr:nvSpPr>
      <xdr:spPr bwMode="auto">
        <a:xfrm>
          <a:off x="7010400" y="8415338"/>
          <a:ext cx="104775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21</xdr:row>
      <xdr:rowOff>171450</xdr:rowOff>
    </xdr:from>
    <xdr:to>
      <xdr:col>7</xdr:col>
      <xdr:colOff>533400</xdr:colOff>
      <xdr:row>22</xdr:row>
      <xdr:rowOff>195263</xdr:rowOff>
    </xdr:to>
    <xdr:sp macro="" textlink="">
      <xdr:nvSpPr>
        <xdr:cNvPr id="1082357" name="Text Box 89">
          <a:extLst>
            <a:ext uri="{FF2B5EF4-FFF2-40B4-BE49-F238E27FC236}">
              <a16:creationId xmlns="" xmlns:a16="http://schemas.microsoft.com/office/drawing/2014/main" id="{00000000-0008-0000-0100-0000F5831000}"/>
            </a:ext>
          </a:extLst>
        </xdr:cNvPr>
        <xdr:cNvSpPr txBox="1">
          <a:spLocks noChangeArrowheads="1"/>
        </xdr:cNvSpPr>
      </xdr:nvSpPr>
      <xdr:spPr bwMode="auto">
        <a:xfrm>
          <a:off x="8191500" y="4548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25</xdr:row>
      <xdr:rowOff>0</xdr:rowOff>
    </xdr:from>
    <xdr:to>
      <xdr:col>7</xdr:col>
      <xdr:colOff>533400</xdr:colOff>
      <xdr:row>26</xdr:row>
      <xdr:rowOff>28575</xdr:rowOff>
    </xdr:to>
    <xdr:sp macro="" textlink="">
      <xdr:nvSpPr>
        <xdr:cNvPr id="1082358" name="Text Box 90">
          <a:extLst>
            <a:ext uri="{FF2B5EF4-FFF2-40B4-BE49-F238E27FC236}">
              <a16:creationId xmlns="" xmlns:a16="http://schemas.microsoft.com/office/drawing/2014/main" id="{00000000-0008-0000-0100-0000F6831000}"/>
            </a:ext>
          </a:extLst>
        </xdr:cNvPr>
        <xdr:cNvSpPr txBox="1">
          <a:spLocks noChangeArrowheads="1"/>
        </xdr:cNvSpPr>
      </xdr:nvSpPr>
      <xdr:spPr bwMode="auto">
        <a:xfrm>
          <a:off x="8191500" y="50958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28</xdr:row>
      <xdr:rowOff>0</xdr:rowOff>
    </xdr:from>
    <xdr:to>
      <xdr:col>7</xdr:col>
      <xdr:colOff>533400</xdr:colOff>
      <xdr:row>29</xdr:row>
      <xdr:rowOff>28575</xdr:rowOff>
    </xdr:to>
    <xdr:sp macro="" textlink="">
      <xdr:nvSpPr>
        <xdr:cNvPr id="1082359" name="Text Box 91">
          <a:extLst>
            <a:ext uri="{FF2B5EF4-FFF2-40B4-BE49-F238E27FC236}">
              <a16:creationId xmlns="" xmlns:a16="http://schemas.microsoft.com/office/drawing/2014/main" id="{00000000-0008-0000-0100-0000F7831000}"/>
            </a:ext>
          </a:extLst>
        </xdr:cNvPr>
        <xdr:cNvSpPr txBox="1">
          <a:spLocks noChangeArrowheads="1"/>
        </xdr:cNvSpPr>
      </xdr:nvSpPr>
      <xdr:spPr bwMode="auto">
        <a:xfrm>
          <a:off x="8191500" y="56911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35</xdr:row>
      <xdr:rowOff>176213</xdr:rowOff>
    </xdr:from>
    <xdr:to>
      <xdr:col>7</xdr:col>
      <xdr:colOff>533400</xdr:colOff>
      <xdr:row>37</xdr:row>
      <xdr:rowOff>9525</xdr:rowOff>
    </xdr:to>
    <xdr:sp macro="" textlink="">
      <xdr:nvSpPr>
        <xdr:cNvPr id="1082360" name="Text Box 92">
          <a:extLst>
            <a:ext uri="{FF2B5EF4-FFF2-40B4-BE49-F238E27FC236}">
              <a16:creationId xmlns="" xmlns:a16="http://schemas.microsoft.com/office/drawing/2014/main" id="{00000000-0008-0000-0100-0000F8831000}"/>
            </a:ext>
          </a:extLst>
        </xdr:cNvPr>
        <xdr:cNvSpPr txBox="1">
          <a:spLocks noChangeArrowheads="1"/>
        </xdr:cNvSpPr>
      </xdr:nvSpPr>
      <xdr:spPr bwMode="auto">
        <a:xfrm>
          <a:off x="8191500" y="724376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36</xdr:row>
      <xdr:rowOff>176213</xdr:rowOff>
    </xdr:from>
    <xdr:to>
      <xdr:col>7</xdr:col>
      <xdr:colOff>533400</xdr:colOff>
      <xdr:row>38</xdr:row>
      <xdr:rowOff>9525</xdr:rowOff>
    </xdr:to>
    <xdr:sp macro="" textlink="">
      <xdr:nvSpPr>
        <xdr:cNvPr id="1082361" name="Text Box 93">
          <a:extLst>
            <a:ext uri="{FF2B5EF4-FFF2-40B4-BE49-F238E27FC236}">
              <a16:creationId xmlns="" xmlns:a16="http://schemas.microsoft.com/office/drawing/2014/main" id="{00000000-0008-0000-0100-0000F9831000}"/>
            </a:ext>
          </a:extLst>
        </xdr:cNvPr>
        <xdr:cNvSpPr txBox="1">
          <a:spLocks noChangeArrowheads="1"/>
        </xdr:cNvSpPr>
      </xdr:nvSpPr>
      <xdr:spPr bwMode="auto">
        <a:xfrm>
          <a:off x="8191500" y="743902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37</xdr:row>
      <xdr:rowOff>176213</xdr:rowOff>
    </xdr:from>
    <xdr:to>
      <xdr:col>7</xdr:col>
      <xdr:colOff>533400</xdr:colOff>
      <xdr:row>39</xdr:row>
      <xdr:rowOff>9525</xdr:rowOff>
    </xdr:to>
    <xdr:sp macro="" textlink="">
      <xdr:nvSpPr>
        <xdr:cNvPr id="1082362" name="Text Box 94">
          <a:extLst>
            <a:ext uri="{FF2B5EF4-FFF2-40B4-BE49-F238E27FC236}">
              <a16:creationId xmlns="" xmlns:a16="http://schemas.microsoft.com/office/drawing/2014/main" id="{00000000-0008-0000-0100-0000FA831000}"/>
            </a:ext>
          </a:extLst>
        </xdr:cNvPr>
        <xdr:cNvSpPr txBox="1">
          <a:spLocks noChangeArrowheads="1"/>
        </xdr:cNvSpPr>
      </xdr:nvSpPr>
      <xdr:spPr bwMode="auto">
        <a:xfrm>
          <a:off x="8191500" y="76342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38</xdr:row>
      <xdr:rowOff>176213</xdr:rowOff>
    </xdr:from>
    <xdr:to>
      <xdr:col>7</xdr:col>
      <xdr:colOff>533400</xdr:colOff>
      <xdr:row>40</xdr:row>
      <xdr:rowOff>9525</xdr:rowOff>
    </xdr:to>
    <xdr:sp macro="" textlink="">
      <xdr:nvSpPr>
        <xdr:cNvPr id="1082363" name="Text Box 95">
          <a:extLst>
            <a:ext uri="{FF2B5EF4-FFF2-40B4-BE49-F238E27FC236}">
              <a16:creationId xmlns="" xmlns:a16="http://schemas.microsoft.com/office/drawing/2014/main" id="{00000000-0008-0000-0100-0000FB831000}"/>
            </a:ext>
          </a:extLst>
        </xdr:cNvPr>
        <xdr:cNvSpPr txBox="1">
          <a:spLocks noChangeArrowheads="1"/>
        </xdr:cNvSpPr>
      </xdr:nvSpPr>
      <xdr:spPr bwMode="auto">
        <a:xfrm>
          <a:off x="8191500" y="78295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39</xdr:row>
      <xdr:rowOff>176213</xdr:rowOff>
    </xdr:from>
    <xdr:to>
      <xdr:col>7</xdr:col>
      <xdr:colOff>533400</xdr:colOff>
      <xdr:row>41</xdr:row>
      <xdr:rowOff>9525</xdr:rowOff>
    </xdr:to>
    <xdr:sp macro="" textlink="">
      <xdr:nvSpPr>
        <xdr:cNvPr id="1082364" name="Text Box 96">
          <a:extLst>
            <a:ext uri="{FF2B5EF4-FFF2-40B4-BE49-F238E27FC236}">
              <a16:creationId xmlns="" xmlns:a16="http://schemas.microsoft.com/office/drawing/2014/main" id="{00000000-0008-0000-0100-0000FC831000}"/>
            </a:ext>
          </a:extLst>
        </xdr:cNvPr>
        <xdr:cNvSpPr txBox="1">
          <a:spLocks noChangeArrowheads="1"/>
        </xdr:cNvSpPr>
      </xdr:nvSpPr>
      <xdr:spPr bwMode="auto">
        <a:xfrm>
          <a:off x="8191500" y="8024813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40</xdr:row>
      <xdr:rowOff>176213</xdr:rowOff>
    </xdr:from>
    <xdr:to>
      <xdr:col>7</xdr:col>
      <xdr:colOff>533400</xdr:colOff>
      <xdr:row>42</xdr:row>
      <xdr:rowOff>9525</xdr:rowOff>
    </xdr:to>
    <xdr:sp macro="" textlink="">
      <xdr:nvSpPr>
        <xdr:cNvPr id="1082365" name="Text Box 97">
          <a:extLst>
            <a:ext uri="{FF2B5EF4-FFF2-40B4-BE49-F238E27FC236}">
              <a16:creationId xmlns="" xmlns:a16="http://schemas.microsoft.com/office/drawing/2014/main" id="{00000000-0008-0000-0100-0000FD831000}"/>
            </a:ext>
          </a:extLst>
        </xdr:cNvPr>
        <xdr:cNvSpPr txBox="1">
          <a:spLocks noChangeArrowheads="1"/>
        </xdr:cNvSpPr>
      </xdr:nvSpPr>
      <xdr:spPr bwMode="auto">
        <a:xfrm>
          <a:off x="8191500" y="8220075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428625</xdr:colOff>
      <xdr:row>41</xdr:row>
      <xdr:rowOff>176213</xdr:rowOff>
    </xdr:from>
    <xdr:to>
      <xdr:col>7</xdr:col>
      <xdr:colOff>533400</xdr:colOff>
      <xdr:row>42</xdr:row>
      <xdr:rowOff>185738</xdr:rowOff>
    </xdr:to>
    <xdr:sp macro="" textlink="">
      <xdr:nvSpPr>
        <xdr:cNvPr id="1082366" name="Text Box 98">
          <a:extLst>
            <a:ext uri="{FF2B5EF4-FFF2-40B4-BE49-F238E27FC236}">
              <a16:creationId xmlns="" xmlns:a16="http://schemas.microsoft.com/office/drawing/2014/main" id="{00000000-0008-0000-0100-0000FE831000}"/>
            </a:ext>
          </a:extLst>
        </xdr:cNvPr>
        <xdr:cNvSpPr txBox="1">
          <a:spLocks noChangeArrowheads="1"/>
        </xdr:cNvSpPr>
      </xdr:nvSpPr>
      <xdr:spPr bwMode="auto">
        <a:xfrm>
          <a:off x="8191500" y="8415338"/>
          <a:ext cx="104775" cy="20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19</xdr:row>
      <xdr:rowOff>176213</xdr:rowOff>
    </xdr:from>
    <xdr:to>
      <xdr:col>2</xdr:col>
      <xdr:colOff>533400</xdr:colOff>
      <xdr:row>20</xdr:row>
      <xdr:rowOff>200025</xdr:rowOff>
    </xdr:to>
    <xdr:sp macro="" textlink="">
      <xdr:nvSpPr>
        <xdr:cNvPr id="1082367" name="Text Box 99">
          <a:extLst>
            <a:ext uri="{FF2B5EF4-FFF2-40B4-BE49-F238E27FC236}">
              <a16:creationId xmlns="" xmlns:a16="http://schemas.microsoft.com/office/drawing/2014/main" id="{00000000-0008-0000-0100-0000FF831000}"/>
            </a:ext>
          </a:extLst>
        </xdr:cNvPr>
        <xdr:cNvSpPr txBox="1">
          <a:spLocks noChangeArrowheads="1"/>
        </xdr:cNvSpPr>
      </xdr:nvSpPr>
      <xdr:spPr bwMode="auto">
        <a:xfrm>
          <a:off x="2286000" y="4148138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19</xdr:row>
      <xdr:rowOff>176213</xdr:rowOff>
    </xdr:from>
    <xdr:to>
      <xdr:col>3</xdr:col>
      <xdr:colOff>533400</xdr:colOff>
      <xdr:row>20</xdr:row>
      <xdr:rowOff>200025</xdr:rowOff>
    </xdr:to>
    <xdr:sp macro="" textlink="">
      <xdr:nvSpPr>
        <xdr:cNvPr id="1228800" name="Text Box 100">
          <a:extLst>
            <a:ext uri="{FF2B5EF4-FFF2-40B4-BE49-F238E27FC236}">
              <a16:creationId xmlns="" xmlns:a16="http://schemas.microsoft.com/office/drawing/2014/main" id="{00000000-0008-0000-0100-000000C01200}"/>
            </a:ext>
          </a:extLst>
        </xdr:cNvPr>
        <xdr:cNvSpPr txBox="1">
          <a:spLocks noChangeArrowheads="1"/>
        </xdr:cNvSpPr>
      </xdr:nvSpPr>
      <xdr:spPr bwMode="auto">
        <a:xfrm>
          <a:off x="3467100" y="4148138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19</xdr:row>
      <xdr:rowOff>176213</xdr:rowOff>
    </xdr:from>
    <xdr:to>
      <xdr:col>4</xdr:col>
      <xdr:colOff>533400</xdr:colOff>
      <xdr:row>20</xdr:row>
      <xdr:rowOff>200025</xdr:rowOff>
    </xdr:to>
    <xdr:sp macro="" textlink="">
      <xdr:nvSpPr>
        <xdr:cNvPr id="1228801" name="Text Box 101">
          <a:extLst>
            <a:ext uri="{FF2B5EF4-FFF2-40B4-BE49-F238E27FC236}">
              <a16:creationId xmlns="" xmlns:a16="http://schemas.microsoft.com/office/drawing/2014/main" id="{00000000-0008-0000-0100-000001C01200}"/>
            </a:ext>
          </a:extLst>
        </xdr:cNvPr>
        <xdr:cNvSpPr txBox="1">
          <a:spLocks noChangeArrowheads="1"/>
        </xdr:cNvSpPr>
      </xdr:nvSpPr>
      <xdr:spPr bwMode="auto">
        <a:xfrm>
          <a:off x="4648200" y="4148138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19</xdr:row>
      <xdr:rowOff>176213</xdr:rowOff>
    </xdr:from>
    <xdr:to>
      <xdr:col>5</xdr:col>
      <xdr:colOff>533400</xdr:colOff>
      <xdr:row>20</xdr:row>
      <xdr:rowOff>200025</xdr:rowOff>
    </xdr:to>
    <xdr:sp macro="" textlink="">
      <xdr:nvSpPr>
        <xdr:cNvPr id="1228802" name="Text Box 102">
          <a:extLst>
            <a:ext uri="{FF2B5EF4-FFF2-40B4-BE49-F238E27FC236}">
              <a16:creationId xmlns="" xmlns:a16="http://schemas.microsoft.com/office/drawing/2014/main" id="{00000000-0008-0000-0100-000002C01200}"/>
            </a:ext>
          </a:extLst>
        </xdr:cNvPr>
        <xdr:cNvSpPr txBox="1">
          <a:spLocks noChangeArrowheads="1"/>
        </xdr:cNvSpPr>
      </xdr:nvSpPr>
      <xdr:spPr bwMode="auto">
        <a:xfrm>
          <a:off x="5829300" y="4148138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428625</xdr:colOff>
      <xdr:row>19</xdr:row>
      <xdr:rowOff>176213</xdr:rowOff>
    </xdr:from>
    <xdr:to>
      <xdr:col>6</xdr:col>
      <xdr:colOff>533400</xdr:colOff>
      <xdr:row>20</xdr:row>
      <xdr:rowOff>200025</xdr:rowOff>
    </xdr:to>
    <xdr:sp macro="" textlink="">
      <xdr:nvSpPr>
        <xdr:cNvPr id="1228803" name="Text Box 103">
          <a:extLst>
            <a:ext uri="{FF2B5EF4-FFF2-40B4-BE49-F238E27FC236}">
              <a16:creationId xmlns="" xmlns:a16="http://schemas.microsoft.com/office/drawing/2014/main" id="{00000000-0008-0000-0100-000003C01200}"/>
            </a:ext>
          </a:extLst>
        </xdr:cNvPr>
        <xdr:cNvSpPr txBox="1">
          <a:spLocks noChangeArrowheads="1"/>
        </xdr:cNvSpPr>
      </xdr:nvSpPr>
      <xdr:spPr bwMode="auto">
        <a:xfrm>
          <a:off x="7010400" y="4148138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11</xdr:row>
      <xdr:rowOff>176213</xdr:rowOff>
    </xdr:from>
    <xdr:to>
      <xdr:col>3</xdr:col>
      <xdr:colOff>533400</xdr:colOff>
      <xdr:row>13</xdr:row>
      <xdr:rowOff>9525</xdr:rowOff>
    </xdr:to>
    <xdr:sp macro="" textlink="">
      <xdr:nvSpPr>
        <xdr:cNvPr id="1228804" name="Text Box 104">
          <a:extLst>
            <a:ext uri="{FF2B5EF4-FFF2-40B4-BE49-F238E27FC236}">
              <a16:creationId xmlns="" xmlns:a16="http://schemas.microsoft.com/office/drawing/2014/main" id="{00000000-0008-0000-0100-000004C01200}"/>
            </a:ext>
          </a:extLst>
        </xdr:cNvPr>
        <xdr:cNvSpPr txBox="1">
          <a:spLocks noChangeArrowheads="1"/>
        </xdr:cNvSpPr>
      </xdr:nvSpPr>
      <xdr:spPr bwMode="auto">
        <a:xfrm>
          <a:off x="3467100" y="2528888"/>
          <a:ext cx="10477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12</xdr:row>
      <xdr:rowOff>176213</xdr:rowOff>
    </xdr:from>
    <xdr:to>
      <xdr:col>3</xdr:col>
      <xdr:colOff>533400</xdr:colOff>
      <xdr:row>14</xdr:row>
      <xdr:rowOff>9525</xdr:rowOff>
    </xdr:to>
    <xdr:sp macro="" textlink="">
      <xdr:nvSpPr>
        <xdr:cNvPr id="1228805" name="Text Box 105">
          <a:extLst>
            <a:ext uri="{FF2B5EF4-FFF2-40B4-BE49-F238E27FC236}">
              <a16:creationId xmlns="" xmlns:a16="http://schemas.microsoft.com/office/drawing/2014/main" id="{00000000-0008-0000-0100-000005C01200}"/>
            </a:ext>
          </a:extLst>
        </xdr:cNvPr>
        <xdr:cNvSpPr txBox="1">
          <a:spLocks noChangeArrowheads="1"/>
        </xdr:cNvSpPr>
      </xdr:nvSpPr>
      <xdr:spPr bwMode="auto">
        <a:xfrm>
          <a:off x="3467100" y="2724150"/>
          <a:ext cx="104775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11</xdr:row>
      <xdr:rowOff>152400</xdr:rowOff>
    </xdr:from>
    <xdr:to>
      <xdr:col>10</xdr:col>
      <xdr:colOff>238125</xdr:colOff>
      <xdr:row>27</xdr:row>
      <xdr:rowOff>66675</xdr:rowOff>
    </xdr:to>
    <xdr:graphicFrame macro="">
      <xdr:nvGraphicFramePr>
        <xdr:cNvPr id="13635" name="Chart 5">
          <a:extLst>
            <a:ext uri="{FF2B5EF4-FFF2-40B4-BE49-F238E27FC236}">
              <a16:creationId xmlns="" xmlns:a16="http://schemas.microsoft.com/office/drawing/2014/main" id="{00000000-0008-0000-0C00-0000433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6</xdr:row>
      <xdr:rowOff>66675</xdr:rowOff>
    </xdr:from>
    <xdr:to>
      <xdr:col>7</xdr:col>
      <xdr:colOff>323850</xdr:colOff>
      <xdr:row>10</xdr:row>
      <xdr:rowOff>142875</xdr:rowOff>
    </xdr:to>
    <xdr:sp macro="[0]!GotoDataEntryScreen" textlink="">
      <xdr:nvSpPr>
        <xdr:cNvPr id="13318" name="Text Box 6">
          <a:extLst>
            <a:ext uri="{FF2B5EF4-FFF2-40B4-BE49-F238E27FC236}">
              <a16:creationId xmlns="" xmlns:a16="http://schemas.microsoft.com/office/drawing/2014/main" id="{00000000-0008-0000-0C00-000006340000}"/>
            </a:ext>
          </a:extLst>
        </xdr:cNvPr>
        <xdr:cNvSpPr txBox="1">
          <a:spLocks noChangeArrowheads="1"/>
        </xdr:cNvSpPr>
      </xdr:nvSpPr>
      <xdr:spPr bwMode="auto">
        <a:xfrm>
          <a:off x="4819650" y="1066800"/>
          <a:ext cx="1752600" cy="400050"/>
        </a:xfrm>
        <a:prstGeom prst="rect">
          <a:avLst/>
        </a:prstGeom>
        <a:solidFill>
          <a:srgbClr val="A6CAF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A6CAF0">
              <a:gamma/>
              <a:shade val="60000"/>
              <a:invGamma/>
            </a:srgbClr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sz="1100" b="1" i="0" strike="noStrike">
              <a:solidFill>
                <a:srgbClr val="000000"/>
              </a:solidFill>
              <a:latin typeface="Helv"/>
            </a:rPr>
            <a:t>Return to Data Entry Screen</a:t>
          </a:r>
        </a:p>
      </xdr:txBody>
    </xdr:sp>
    <xdr:clientData/>
  </xdr:twoCellAnchor>
  <xdr:twoCellAnchor>
    <xdr:from>
      <xdr:col>6</xdr:col>
      <xdr:colOff>57150</xdr:colOff>
      <xdr:row>28</xdr:row>
      <xdr:rowOff>19050</xdr:rowOff>
    </xdr:from>
    <xdr:to>
      <xdr:col>9</xdr:col>
      <xdr:colOff>57150</xdr:colOff>
      <xdr:row>30</xdr:row>
      <xdr:rowOff>66675</xdr:rowOff>
    </xdr:to>
    <xdr:sp macro="[0]!GotoJarSettingsScreen" textlink="">
      <xdr:nvSpPr>
        <xdr:cNvPr id="13319" name="Text Box 7">
          <a:extLst>
            <a:ext uri="{FF2B5EF4-FFF2-40B4-BE49-F238E27FC236}">
              <a16:creationId xmlns="" xmlns:a16="http://schemas.microsoft.com/office/drawing/2014/main" id="{00000000-0008-0000-0C00-000007340000}"/>
            </a:ext>
          </a:extLst>
        </xdr:cNvPr>
        <xdr:cNvSpPr txBox="1">
          <a:spLocks noChangeArrowheads="1"/>
        </xdr:cNvSpPr>
      </xdr:nvSpPr>
      <xdr:spPr bwMode="auto">
        <a:xfrm>
          <a:off x="4924425" y="4257675"/>
          <a:ext cx="2905125" cy="37147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Helv"/>
            </a:rPr>
            <a:t>Return to Jar Settings HELP Screen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295275</xdr:colOff>
      <xdr:row>46</xdr:row>
      <xdr:rowOff>114300</xdr:rowOff>
    </xdr:from>
    <xdr:to>
      <xdr:col>4</xdr:col>
      <xdr:colOff>161925</xdr:colOff>
      <xdr:row>60</xdr:row>
      <xdr:rowOff>100013</xdr:rowOff>
    </xdr:to>
    <xdr:graphicFrame macro="">
      <xdr:nvGraphicFramePr>
        <xdr:cNvPr id="5687" name="Chart 8">
          <a:extLst>
            <a:ext uri="{FF2B5EF4-FFF2-40B4-BE49-F238E27FC236}">
              <a16:creationId xmlns="" xmlns:a16="http://schemas.microsoft.com/office/drawing/2014/main" id="{00000000-0008-0000-0200-0000371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685800</xdr:colOff>
      <xdr:row>46</xdr:row>
      <xdr:rowOff>104775</xdr:rowOff>
    </xdr:from>
    <xdr:to>
      <xdr:col>7</xdr:col>
      <xdr:colOff>1152525</xdr:colOff>
      <xdr:row>60</xdr:row>
      <xdr:rowOff>176213</xdr:rowOff>
    </xdr:to>
    <xdr:graphicFrame macro="">
      <xdr:nvGraphicFramePr>
        <xdr:cNvPr id="5688" name="Chart 9">
          <a:extLst>
            <a:ext uri="{FF2B5EF4-FFF2-40B4-BE49-F238E27FC236}">
              <a16:creationId xmlns="" xmlns:a16="http://schemas.microsoft.com/office/drawing/2014/main" id="{00000000-0008-0000-0200-0000381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676275</xdr:colOff>
      <xdr:row>61</xdr:row>
      <xdr:rowOff>142875</xdr:rowOff>
    </xdr:from>
    <xdr:to>
      <xdr:col>7</xdr:col>
      <xdr:colOff>1171575</xdr:colOff>
      <xdr:row>75</xdr:row>
      <xdr:rowOff>100013</xdr:rowOff>
    </xdr:to>
    <xdr:graphicFrame macro="">
      <xdr:nvGraphicFramePr>
        <xdr:cNvPr id="5689" name="Chart 11">
          <a:extLst>
            <a:ext uri="{FF2B5EF4-FFF2-40B4-BE49-F238E27FC236}">
              <a16:creationId xmlns="" xmlns:a16="http://schemas.microsoft.com/office/drawing/2014/main" id="{00000000-0008-0000-0200-0000391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285750</xdr:colOff>
      <xdr:row>61</xdr:row>
      <xdr:rowOff>95250</xdr:rowOff>
    </xdr:from>
    <xdr:to>
      <xdr:col>4</xdr:col>
      <xdr:colOff>142875</xdr:colOff>
      <xdr:row>75</xdr:row>
      <xdr:rowOff>128588</xdr:rowOff>
    </xdr:to>
    <xdr:graphicFrame macro="">
      <xdr:nvGraphicFramePr>
        <xdr:cNvPr id="5690" name="Chart 12">
          <a:extLst>
            <a:ext uri="{FF2B5EF4-FFF2-40B4-BE49-F238E27FC236}">
              <a16:creationId xmlns="" xmlns:a16="http://schemas.microsoft.com/office/drawing/2014/main" id="{00000000-0008-0000-0200-00003A1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60960</xdr:colOff>
          <xdr:row>2</xdr:row>
          <xdr:rowOff>76200</xdr:rowOff>
        </xdr:from>
        <xdr:to>
          <xdr:col>5</xdr:col>
          <xdr:colOff>1143000</xdr:colOff>
          <xdr:row>3</xdr:row>
          <xdr:rowOff>137160</xdr:rowOff>
        </xdr:to>
        <xdr:sp macro="" textlink="">
          <xdr:nvSpPr>
            <xdr:cNvPr id="5139" name="Button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FF"/>
                  </a:solidFill>
                  <a:latin typeface="Helv"/>
                </a:rPr>
                <a:t>Retrieve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1135380</xdr:colOff>
          <xdr:row>44</xdr:row>
          <xdr:rowOff>60960</xdr:rowOff>
        </xdr:from>
        <xdr:to>
          <xdr:col>5</xdr:col>
          <xdr:colOff>693420</xdr:colOff>
          <xdr:row>45</xdr:row>
          <xdr:rowOff>160020</xdr:rowOff>
        </xdr:to>
        <xdr:sp macro="" textlink="">
          <xdr:nvSpPr>
            <xdr:cNvPr id="5140" name="Button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3333CC"/>
                  </a:solidFill>
                  <a:latin typeface="Helv"/>
                </a:rPr>
                <a:t>Update Database Button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480060</xdr:colOff>
          <xdr:row>16</xdr:row>
          <xdr:rowOff>137160</xdr:rowOff>
        </xdr:from>
        <xdr:to>
          <xdr:col>7</xdr:col>
          <xdr:colOff>289560</xdr:colOff>
          <xdr:row>18</xdr:row>
          <xdr:rowOff>60960</xdr:rowOff>
        </xdr:to>
        <xdr:sp macro="" textlink="">
          <xdr:nvSpPr>
            <xdr:cNvPr id="5493" name="Button 373" hidden="1">
              <a:extLst>
                <a:ext uri="{63B3BB69-23CF-44E3-9099-C40C66FF867C}">
                  <a14:compatExt spid="_x0000_s5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3333CC"/>
                  </a:solidFill>
                  <a:latin typeface="Helv"/>
                </a:rPr>
                <a:t>Stock Solution HELP Button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30480</xdr:rowOff>
        </xdr:from>
        <xdr:to>
          <xdr:col>4</xdr:col>
          <xdr:colOff>335280</xdr:colOff>
          <xdr:row>15</xdr:row>
          <xdr:rowOff>22860</xdr:rowOff>
        </xdr:to>
        <xdr:sp macro="" textlink="">
          <xdr:nvSpPr>
            <xdr:cNvPr id="5494" name="Button 374" hidden="1">
              <a:extLst>
                <a:ext uri="{63B3BB69-23CF-44E3-9099-C40C66FF867C}">
                  <a14:compatExt spid="_x0000_s5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3333CC"/>
                  </a:solidFill>
                  <a:latin typeface="Helv"/>
                </a:rPr>
                <a:t>Jar Settings HELP Button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678180</xdr:colOff>
          <xdr:row>58</xdr:row>
          <xdr:rowOff>160020</xdr:rowOff>
        </xdr:from>
        <xdr:to>
          <xdr:col>7</xdr:col>
          <xdr:colOff>2324100</xdr:colOff>
          <xdr:row>61</xdr:row>
          <xdr:rowOff>38100</xdr:rowOff>
        </xdr:to>
        <xdr:sp macro="" textlink="">
          <xdr:nvSpPr>
            <xdr:cNvPr id="4226" name="Button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3333CC"/>
                  </a:solidFill>
                  <a:latin typeface="Helv"/>
                </a:rPr>
                <a:t>Return to Data Entry Screen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182880</xdr:colOff>
          <xdr:row>20</xdr:row>
          <xdr:rowOff>76200</xdr:rowOff>
        </xdr:from>
        <xdr:to>
          <xdr:col>7</xdr:col>
          <xdr:colOff>944880</xdr:colOff>
          <xdr:row>22</xdr:row>
          <xdr:rowOff>152400</xdr:rowOff>
        </xdr:to>
        <xdr:sp macro="" textlink="">
          <xdr:nvSpPr>
            <xdr:cNvPr id="4227" name="Button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3333CC"/>
                  </a:solidFill>
                  <a:latin typeface="Helv"/>
                </a:rPr>
                <a:t>Return to Data Entry Screen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35</xdr:row>
      <xdr:rowOff>0</xdr:rowOff>
    </xdr:from>
    <xdr:to>
      <xdr:col>9</xdr:col>
      <xdr:colOff>638175</xdr:colOff>
      <xdr:row>47</xdr:row>
      <xdr:rowOff>147638</xdr:rowOff>
    </xdr:to>
    <xdr:graphicFrame macro="">
      <xdr:nvGraphicFramePr>
        <xdr:cNvPr id="3179" name="Chart 1">
          <a:extLst>
            <a:ext uri="{FF2B5EF4-FFF2-40B4-BE49-F238E27FC236}">
              <a16:creationId xmlns="" xmlns:a16="http://schemas.microsoft.com/office/drawing/2014/main" id="{00000000-0008-0000-0500-00006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1209675</xdr:colOff>
      <xdr:row>41</xdr:row>
      <xdr:rowOff>79375</xdr:rowOff>
    </xdr:from>
    <xdr:to>
      <xdr:col>8</xdr:col>
      <xdr:colOff>498475</xdr:colOff>
      <xdr:row>63</xdr:row>
      <xdr:rowOff>66674</xdr:rowOff>
    </xdr:to>
    <xdr:graphicFrame macro="">
      <xdr:nvGraphicFramePr>
        <xdr:cNvPr id="1461" name="Chart 1">
          <a:extLst>
            <a:ext uri="{FF2B5EF4-FFF2-40B4-BE49-F238E27FC236}">
              <a16:creationId xmlns="" xmlns:a16="http://schemas.microsoft.com/office/drawing/2014/main" id="{00000000-0008-0000-0600-0000B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411480</xdr:colOff>
          <xdr:row>6</xdr:row>
          <xdr:rowOff>106680</xdr:rowOff>
        </xdr:from>
        <xdr:to>
          <xdr:col>9</xdr:col>
          <xdr:colOff>76200</xdr:colOff>
          <xdr:row>8</xdr:row>
          <xdr:rowOff>68580</xdr:rowOff>
        </xdr:to>
        <xdr:sp macro="" textlink="">
          <xdr:nvSpPr>
            <xdr:cNvPr id="1404" name="Button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FF"/>
                  </a:solidFill>
                  <a:latin typeface="Helv"/>
                </a:rPr>
                <a:t>Hydraulic Mix HELP Button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441960</xdr:colOff>
          <xdr:row>10</xdr:row>
          <xdr:rowOff>144780</xdr:rowOff>
        </xdr:from>
        <xdr:to>
          <xdr:col>9</xdr:col>
          <xdr:colOff>99060</xdr:colOff>
          <xdr:row>12</xdr:row>
          <xdr:rowOff>60960</xdr:rowOff>
        </xdr:to>
        <xdr:sp macro="" textlink="">
          <xdr:nvSpPr>
            <xdr:cNvPr id="1405" name="Button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FF"/>
                  </a:solidFill>
                  <a:latin typeface="Helv"/>
                </a:rPr>
                <a:t>Turbine Mix HELP Button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411480</xdr:colOff>
          <xdr:row>4</xdr:row>
          <xdr:rowOff>60960</xdr:rowOff>
        </xdr:from>
        <xdr:to>
          <xdr:col>9</xdr:col>
          <xdr:colOff>45720</xdr:colOff>
          <xdr:row>6</xdr:row>
          <xdr:rowOff>38100</xdr:rowOff>
        </xdr:to>
        <xdr:sp macro="" textlink="">
          <xdr:nvSpPr>
            <xdr:cNvPr id="1406" name="Button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3333CC"/>
                  </a:solidFill>
                  <a:latin typeface="Helv"/>
                </a:rPr>
                <a:t>Return to Data Entry Screen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</xdr:colOff>
          <xdr:row>19</xdr:row>
          <xdr:rowOff>38100</xdr:rowOff>
        </xdr:from>
        <xdr:to>
          <xdr:col>9</xdr:col>
          <xdr:colOff>68580</xdr:colOff>
          <xdr:row>20</xdr:row>
          <xdr:rowOff>160020</xdr:rowOff>
        </xdr:to>
        <xdr:sp macro="" textlink="">
          <xdr:nvSpPr>
            <xdr:cNvPr id="1410" name="Button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FF"/>
                  </a:solidFill>
                  <a:latin typeface="Helv"/>
                </a:rPr>
                <a:t>Paddle Mix HELP Button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</xdr:colOff>
          <xdr:row>21</xdr:row>
          <xdr:rowOff>76200</xdr:rowOff>
        </xdr:from>
        <xdr:to>
          <xdr:col>9</xdr:col>
          <xdr:colOff>99060</xdr:colOff>
          <xdr:row>22</xdr:row>
          <xdr:rowOff>175260</xdr:rowOff>
        </xdr:to>
        <xdr:sp macro="" textlink="">
          <xdr:nvSpPr>
            <xdr:cNvPr id="1411" name="Button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FF"/>
                  </a:solidFill>
                  <a:latin typeface="Helv"/>
                </a:rPr>
                <a:t>Walking Beam Mix HELP Button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419100</xdr:colOff>
          <xdr:row>8</xdr:row>
          <xdr:rowOff>114300</xdr:rowOff>
        </xdr:from>
        <xdr:to>
          <xdr:col>9</xdr:col>
          <xdr:colOff>83820</xdr:colOff>
          <xdr:row>10</xdr:row>
          <xdr:rowOff>83820</xdr:rowOff>
        </xdr:to>
        <xdr:sp macro="" textlink="">
          <xdr:nvSpPr>
            <xdr:cNvPr id="1417" name="Button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FF"/>
                  </a:solidFill>
                  <a:latin typeface="Helv"/>
                </a:rPr>
                <a:t>Nozzle Mix HELP Button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393129</xdr:colOff>
      <xdr:row>24</xdr:row>
      <xdr:rowOff>165248</xdr:rowOff>
    </xdr:from>
    <xdr:to>
      <xdr:col>17</xdr:col>
      <xdr:colOff>96796</xdr:colOff>
      <xdr:row>32</xdr:row>
      <xdr:rowOff>142376</xdr:rowOff>
    </xdr:to>
    <xdr:sp macro="" textlink="">
      <xdr:nvSpPr>
        <xdr:cNvPr id="9" name="Parallelogram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/>
      </xdr:nvSpPr>
      <xdr:spPr bwMode="auto">
        <a:xfrm rot="1650579">
          <a:off x="14699679" y="4742011"/>
          <a:ext cx="465667" cy="1496365"/>
        </a:xfrm>
        <a:prstGeom prst="parallelogram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635001</xdr:colOff>
      <xdr:row>27</xdr:row>
      <xdr:rowOff>21167</xdr:rowOff>
    </xdr:from>
    <xdr:to>
      <xdr:col>17</xdr:col>
      <xdr:colOff>179917</xdr:colOff>
      <xdr:row>27</xdr:row>
      <xdr:rowOff>201083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CxnSpPr/>
      </xdr:nvCxnSpPr>
      <xdr:spPr bwMode="auto">
        <a:xfrm>
          <a:off x="14941551" y="5136092"/>
          <a:ext cx="306916" cy="179916"/>
        </a:xfrm>
        <a:prstGeom prst="line">
          <a:avLst/>
        </a:prstGeom>
        <a:ln>
          <a:solidFill>
            <a:srgbClr val="FF0000"/>
          </a:solidFill>
          <a:headEnd type="triangle"/>
          <a:tailEnd type="triangle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27</xdr:row>
      <xdr:rowOff>52916</xdr:rowOff>
    </xdr:from>
    <xdr:to>
      <xdr:col>16</xdr:col>
      <xdr:colOff>645584</xdr:colOff>
      <xdr:row>30</xdr:row>
      <xdr:rowOff>74082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CxnSpPr/>
      </xdr:nvCxnSpPr>
      <xdr:spPr bwMode="auto">
        <a:xfrm flipH="1">
          <a:off x="14007042" y="4550833"/>
          <a:ext cx="10584" cy="555625"/>
        </a:xfrm>
        <a:prstGeom prst="line">
          <a:avLst/>
        </a:prstGeom>
        <a:ln>
          <a:headEnd type="triangle"/>
          <a:tailEnd type="triangle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243417</xdr:colOff>
      <xdr:row>32</xdr:row>
      <xdr:rowOff>84666</xdr:rowOff>
    </xdr:from>
    <xdr:to>
      <xdr:col>17</xdr:col>
      <xdr:colOff>687917</xdr:colOff>
      <xdr:row>32</xdr:row>
      <xdr:rowOff>105833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CxnSpPr/>
      </xdr:nvCxnSpPr>
      <xdr:spPr bwMode="auto">
        <a:xfrm>
          <a:off x="13787967" y="6180666"/>
          <a:ext cx="1968500" cy="21167"/>
        </a:xfrm>
        <a:prstGeom prst="line">
          <a:avLst/>
        </a:prstGeom>
        <a:ln>
          <a:headEnd type="none"/>
          <a:tailEnd type="none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719667</xdr:colOff>
      <xdr:row>27</xdr:row>
      <xdr:rowOff>179917</xdr:rowOff>
    </xdr:from>
    <xdr:to>
      <xdr:col>17</xdr:col>
      <xdr:colOff>582085</xdr:colOff>
      <xdr:row>30</xdr:row>
      <xdr:rowOff>179918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CxnSpPr/>
      </xdr:nvCxnSpPr>
      <xdr:spPr bwMode="auto">
        <a:xfrm flipH="1" flipV="1">
          <a:off x="15026217" y="5294842"/>
          <a:ext cx="624418" cy="600076"/>
        </a:xfrm>
        <a:prstGeom prst="straightConnector1">
          <a:avLst/>
        </a:prstGeom>
        <a:ln w="12700">
          <a:solidFill>
            <a:schemeClr val="tx1"/>
          </a:solidFill>
          <a:headEnd type="none"/>
          <a:tailEnd type="triangle"/>
        </a:ln>
        <a:extLst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465667</xdr:colOff>
      <xdr:row>31</xdr:row>
      <xdr:rowOff>110066</xdr:rowOff>
    </xdr:from>
    <xdr:to>
      <xdr:col>17</xdr:col>
      <xdr:colOff>501652</xdr:colOff>
      <xdr:row>32</xdr:row>
      <xdr:rowOff>42333</xdr:rowOff>
    </xdr:to>
    <xdr:cxnSp macro="">
      <xdr:nvCxnSpPr>
        <xdr:cNvPr id="14" name="Straight Arrow Connector 13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CxnSpPr/>
      </xdr:nvCxnSpPr>
      <xdr:spPr bwMode="auto">
        <a:xfrm flipH="1">
          <a:off x="14772217" y="6025091"/>
          <a:ext cx="797985" cy="113242"/>
        </a:xfrm>
        <a:prstGeom prst="straightConnector1">
          <a:avLst/>
        </a:prstGeom>
        <a:ln w="12700">
          <a:solidFill>
            <a:schemeClr val="tx1"/>
          </a:solidFill>
          <a:headEnd type="none"/>
          <a:tailEnd type="triangle"/>
        </a:ln>
        <a:extLst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1259417</xdr:colOff>
      <xdr:row>68</xdr:row>
      <xdr:rowOff>0</xdr:rowOff>
    </xdr:from>
    <xdr:to>
      <xdr:col>8</xdr:col>
      <xdr:colOff>548217</xdr:colOff>
      <xdr:row>89</xdr:row>
      <xdr:rowOff>167215</xdr:rowOff>
    </xdr:to>
    <xdr:graphicFrame macro="">
      <xdr:nvGraphicFramePr>
        <xdr:cNvPr id="15" name="Chart 1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0</xdr:row>
      <xdr:rowOff>47625</xdr:rowOff>
    </xdr:from>
    <xdr:to>
      <xdr:col>12</xdr:col>
      <xdr:colOff>228600</xdr:colOff>
      <xdr:row>1</xdr:row>
      <xdr:rowOff>228600</xdr:rowOff>
    </xdr:to>
    <xdr:sp macro="[0]!GotoJarSettingsScreen" textlink="">
      <xdr:nvSpPr>
        <xdr:cNvPr id="10241" name="Text Box 1">
          <a:extLst>
            <a:ext uri="{FF2B5EF4-FFF2-40B4-BE49-F238E27FC236}">
              <a16:creationId xmlns="" xmlns:a16="http://schemas.microsoft.com/office/drawing/2014/main" id="{00000000-0008-0000-0800-000001280000}"/>
            </a:ext>
          </a:extLst>
        </xdr:cNvPr>
        <xdr:cNvSpPr txBox="1">
          <a:spLocks noChangeArrowheads="1"/>
        </xdr:cNvSpPr>
      </xdr:nvSpPr>
      <xdr:spPr bwMode="auto">
        <a:xfrm>
          <a:off x="7743825" y="47625"/>
          <a:ext cx="2905125" cy="42862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Helv"/>
            </a:rPr>
            <a:t>Return to Jar Settings HELP Screen</a:t>
          </a:r>
        </a:p>
      </xdr:txBody>
    </xdr:sp>
    <xdr:clientData/>
  </xdr:twoCellAnchor>
  <xdr:twoCellAnchor>
    <xdr:from>
      <xdr:col>3</xdr:col>
      <xdr:colOff>742950</xdr:colOff>
      <xdr:row>0</xdr:row>
      <xdr:rowOff>47625</xdr:rowOff>
    </xdr:from>
    <xdr:to>
      <xdr:col>8</xdr:col>
      <xdr:colOff>123825</xdr:colOff>
      <xdr:row>1</xdr:row>
      <xdr:rowOff>190500</xdr:rowOff>
    </xdr:to>
    <xdr:sp macro="[0]!GotoDataEntryScreen" textlink="">
      <xdr:nvSpPr>
        <xdr:cNvPr id="10242" name="Text Box 2">
          <a:extLst>
            <a:ext uri="{FF2B5EF4-FFF2-40B4-BE49-F238E27FC236}">
              <a16:creationId xmlns="" xmlns:a16="http://schemas.microsoft.com/office/drawing/2014/main" id="{00000000-0008-0000-0800-000002280000}"/>
            </a:ext>
          </a:extLst>
        </xdr:cNvPr>
        <xdr:cNvSpPr txBox="1">
          <a:spLocks noChangeArrowheads="1"/>
        </xdr:cNvSpPr>
      </xdr:nvSpPr>
      <xdr:spPr bwMode="auto">
        <a:xfrm>
          <a:off x="5067300" y="47625"/>
          <a:ext cx="2428875" cy="390525"/>
        </a:xfrm>
        <a:prstGeom prst="rect">
          <a:avLst/>
        </a:prstGeom>
        <a:solidFill>
          <a:srgbClr val="A6CAF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A6CAF0">
              <a:gamma/>
              <a:shade val="60000"/>
              <a:invGamma/>
            </a:srgbClr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Helv"/>
            </a:rPr>
            <a:t>Return to Data Entry Screen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0</xdr:row>
      <xdr:rowOff>47625</xdr:rowOff>
    </xdr:from>
    <xdr:to>
      <xdr:col>12</xdr:col>
      <xdr:colOff>228600</xdr:colOff>
      <xdr:row>1</xdr:row>
      <xdr:rowOff>228600</xdr:rowOff>
    </xdr:to>
    <xdr:sp macro="[0]!GotoJarSettingsScreen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7743825" y="47625"/>
          <a:ext cx="2905125" cy="428625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Helv"/>
            </a:rPr>
            <a:t>Return to Jar Settings HELP Screen</a:t>
          </a:r>
        </a:p>
      </xdr:txBody>
    </xdr:sp>
    <xdr:clientData/>
  </xdr:twoCellAnchor>
  <xdr:twoCellAnchor>
    <xdr:from>
      <xdr:col>4</xdr:col>
      <xdr:colOff>742950</xdr:colOff>
      <xdr:row>0</xdr:row>
      <xdr:rowOff>47625</xdr:rowOff>
    </xdr:from>
    <xdr:to>
      <xdr:col>8</xdr:col>
      <xdr:colOff>123825</xdr:colOff>
      <xdr:row>1</xdr:row>
      <xdr:rowOff>190500</xdr:rowOff>
    </xdr:to>
    <xdr:sp macro="[0]!GotoDataEntryScreen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5067300" y="47625"/>
          <a:ext cx="2428875" cy="390525"/>
        </a:xfrm>
        <a:prstGeom prst="rect">
          <a:avLst/>
        </a:prstGeom>
        <a:solidFill>
          <a:srgbClr val="A6CAF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A6CAF0">
              <a:gamma/>
              <a:shade val="60000"/>
              <a:invGamma/>
            </a:srgbClr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Helv"/>
            </a:rPr>
            <a:t>Return to Data Entry Screen</a:t>
          </a:r>
        </a:p>
      </xdr:txBody>
    </xdr:sp>
    <xdr:clientData/>
  </xdr:twoCellAnchor>
  <xdr:oneCellAnchor>
    <xdr:from>
      <xdr:col>4</xdr:col>
      <xdr:colOff>336402</xdr:colOff>
      <xdr:row>32</xdr:row>
      <xdr:rowOff>103607</xdr:rowOff>
    </xdr:from>
    <xdr:ext cx="1504950" cy="413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Box 63">
              <a:extLst>
                <a:ext uri="{FF2B5EF4-FFF2-40B4-BE49-F238E27FC236}">
                  <a16:creationId xmlns="" xmlns:a16="http://schemas.microsoft.com/office/drawing/2014/main" id="{00000000-0008-0000-0900-000040000000}"/>
                </a:ext>
              </a:extLst>
            </xdr:cNvPr>
            <xdr:cNvSpPr txBox="1"/>
          </xdr:nvSpPr>
          <xdr:spPr>
            <a:xfrm>
              <a:off x="5441802" y="17639132"/>
              <a:ext cx="1504950" cy="413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𝑡𝑎𝑛</m:t>
                    </m:r>
                    <m:r>
                      <a:rPr lang="en-US" sz="1100" b="0" i="1">
                        <a:latin typeface="Cambria Math"/>
                      </a:rPr>
                      <m:t>30=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𝑑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</m:den>
                    </m:f>
                  </m:oMath>
                </m:oMathPara>
              </a14:m>
              <a:endParaRPr lang="en-NZ" sz="1100"/>
            </a:p>
          </xdr:txBody>
        </xdr:sp>
      </mc:Choice>
      <mc:Fallback xmlns=""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31925DA1-03A2-428E-B6E1-9C44F996D9A1}"/>
                </a:ext>
              </a:extLst>
            </xdr:cNvPr>
            <xdr:cNvSpPr txBox="1"/>
          </xdr:nvSpPr>
          <xdr:spPr>
            <a:xfrm>
              <a:off x="5441802" y="17639132"/>
              <a:ext cx="1504950" cy="413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𝑡𝑎𝑛30=𝑑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𝑥</a:t>
              </a:r>
              <a:endParaRPr lang="en-NZ" sz="1100"/>
            </a:p>
          </xdr:txBody>
        </xdr:sp>
      </mc:Fallback>
    </mc:AlternateContent>
    <xdr:clientData/>
  </xdr:oneCellAnchor>
  <xdr:oneCellAnchor>
    <xdr:from>
      <xdr:col>4</xdr:col>
      <xdr:colOff>617807</xdr:colOff>
      <xdr:row>35</xdr:row>
      <xdr:rowOff>132027</xdr:rowOff>
    </xdr:from>
    <xdr:ext cx="914400" cy="3822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TextBox 64">
              <a:extLst>
                <a:ext uri="{FF2B5EF4-FFF2-40B4-BE49-F238E27FC236}">
                  <a16:creationId xmlns="" xmlns:a16="http://schemas.microsoft.com/office/drawing/2014/main" id="{00000000-0008-0000-0900-000041000000}"/>
                </a:ext>
              </a:extLst>
            </xdr:cNvPr>
            <xdr:cNvSpPr txBox="1"/>
          </xdr:nvSpPr>
          <xdr:spPr>
            <a:xfrm>
              <a:off x="5723207" y="18172377"/>
              <a:ext cx="914400" cy="382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𝑇𝑖𝑚𝑒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𝑣</m:t>
                        </m:r>
                      </m:den>
                    </m:f>
                  </m:oMath>
                </m:oMathPara>
              </a14:m>
              <a:endParaRPr lang="en-US" sz="1100" b="0" i="1">
                <a:latin typeface="Cambria Math"/>
              </a:endParaRPr>
            </a:p>
          </xdr:txBody>
        </xdr:sp>
      </mc:Choice>
      <mc:Fallback xmlns="">
        <xdr:sp macro="" textlink="">
          <xdr:nvSpPr>
            <xdr:cNvPr id="65" name="TextBox 64">
              <a:extLst>
                <a:ext uri="{FF2B5EF4-FFF2-40B4-BE49-F238E27FC236}">
                  <a16:creationId xmlns:a16="http://schemas.microsoft.com/office/drawing/2014/main" id="{B75C488B-CBEC-4A9D-9A46-B2F4B4C1696A}"/>
                </a:ext>
              </a:extLst>
            </xdr:cNvPr>
            <xdr:cNvSpPr txBox="1"/>
          </xdr:nvSpPr>
          <xdr:spPr>
            <a:xfrm>
              <a:off x="5723207" y="18172377"/>
              <a:ext cx="914400" cy="382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𝑇𝑖𝑚𝑒=𝑥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/>
                </a:rPr>
                <a:t>𝑣</a:t>
              </a:r>
              <a:endParaRPr lang="en-US" sz="1100" b="0" i="1">
                <a:latin typeface="Cambria Math"/>
              </a:endParaRPr>
            </a:p>
          </xdr:txBody>
        </xdr:sp>
      </mc:Fallback>
    </mc:AlternateContent>
    <xdr:clientData/>
  </xdr:oneCellAnchor>
  <xdr:twoCellAnchor>
    <xdr:from>
      <xdr:col>10</xdr:col>
      <xdr:colOff>244929</xdr:colOff>
      <xdr:row>30</xdr:row>
      <xdr:rowOff>117</xdr:rowOff>
    </xdr:from>
    <xdr:to>
      <xdr:col>13</xdr:col>
      <xdr:colOff>74135</xdr:colOff>
      <xdr:row>43</xdr:row>
      <xdr:rowOff>155697</xdr:rowOff>
    </xdr:to>
    <xdr:grpSp>
      <xdr:nvGrpSpPr>
        <xdr:cNvPr id="66" name="Group 65">
          <a:extLst>
            <a:ext uri="{FF2B5EF4-FFF2-40B4-BE49-F238E27FC236}">
              <a16:creationId xmlns="" xmlns:a16="http://schemas.microsoft.com/office/drawing/2014/main" id="{00000000-0008-0000-0900-000042000000}"/>
            </a:ext>
          </a:extLst>
        </xdr:cNvPr>
        <xdr:cNvGrpSpPr/>
      </xdr:nvGrpSpPr>
      <xdr:grpSpPr>
        <a:xfrm>
          <a:off x="11293929" y="5052177"/>
          <a:ext cx="2069486" cy="2830200"/>
          <a:chOff x="9220200" y="17436310"/>
          <a:chExt cx="1658006" cy="2368101"/>
        </a:xfrm>
      </xdr:grpSpPr>
      <xdr:grpSp>
        <xdr:nvGrpSpPr>
          <xdr:cNvPr id="67" name="Group 66">
            <a:extLst>
              <a:ext uri="{FF2B5EF4-FFF2-40B4-BE49-F238E27FC236}">
                <a16:creationId xmlns="" xmlns:a16="http://schemas.microsoft.com/office/drawing/2014/main" id="{00000000-0008-0000-0900-000043000000}"/>
              </a:ext>
            </a:extLst>
          </xdr:cNvPr>
          <xdr:cNvGrpSpPr/>
        </xdr:nvGrpSpPr>
        <xdr:grpSpPr>
          <a:xfrm>
            <a:off x="9220200" y="17436310"/>
            <a:ext cx="1658006" cy="2368101"/>
            <a:chOff x="8327571" y="17463525"/>
            <a:chExt cx="1658006" cy="2368101"/>
          </a:xfrm>
        </xdr:grpSpPr>
        <xdr:sp macro="" textlink="">
          <xdr:nvSpPr>
            <xdr:cNvPr id="69" name="TextBox 68">
              <a:extLst>
                <a:ext uri="{FF2B5EF4-FFF2-40B4-BE49-F238E27FC236}">
                  <a16:creationId xmlns="" xmlns:a16="http://schemas.microsoft.com/office/drawing/2014/main" id="{00000000-0008-0000-0900-000045000000}"/>
                </a:ext>
              </a:extLst>
            </xdr:cNvPr>
            <xdr:cNvSpPr txBox="1"/>
          </xdr:nvSpPr>
          <xdr:spPr>
            <a:xfrm>
              <a:off x="8904514" y="18172210"/>
              <a:ext cx="359227" cy="16132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800"/>
                <a:t>60°</a:t>
              </a:r>
            </a:p>
          </xdr:txBody>
        </xdr:sp>
        <xdr:sp macro="" textlink="">
          <xdr:nvSpPr>
            <xdr:cNvPr id="70" name="TextBox 69">
              <a:extLst>
                <a:ext uri="{FF2B5EF4-FFF2-40B4-BE49-F238E27FC236}">
                  <a16:creationId xmlns="" xmlns:a16="http://schemas.microsoft.com/office/drawing/2014/main" id="{00000000-0008-0000-0900-000046000000}"/>
                </a:ext>
              </a:extLst>
            </xdr:cNvPr>
            <xdr:cNvSpPr txBox="1"/>
          </xdr:nvSpPr>
          <xdr:spPr>
            <a:xfrm>
              <a:off x="8972362" y="18016624"/>
              <a:ext cx="367580" cy="16358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800"/>
                <a:t>60°</a:t>
              </a:r>
            </a:p>
          </xdr:txBody>
        </xdr:sp>
        <xdr:sp macro="" textlink="">
          <xdr:nvSpPr>
            <xdr:cNvPr id="71" name="TextBox 70">
              <a:extLst>
                <a:ext uri="{FF2B5EF4-FFF2-40B4-BE49-F238E27FC236}">
                  <a16:creationId xmlns="" xmlns:a16="http://schemas.microsoft.com/office/drawing/2014/main" id="{00000000-0008-0000-0900-000047000000}"/>
                </a:ext>
              </a:extLst>
            </xdr:cNvPr>
            <xdr:cNvSpPr txBox="1"/>
          </xdr:nvSpPr>
          <xdr:spPr>
            <a:xfrm>
              <a:off x="8969829" y="19034710"/>
              <a:ext cx="336169" cy="1733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800"/>
                <a:t>60°</a:t>
              </a:r>
            </a:p>
          </xdr:txBody>
        </xdr:sp>
        <xdr:sp macro="" textlink="">
          <xdr:nvSpPr>
            <xdr:cNvPr id="72" name="TextBox 71">
              <a:extLst>
                <a:ext uri="{FF2B5EF4-FFF2-40B4-BE49-F238E27FC236}">
                  <a16:creationId xmlns="" xmlns:a16="http://schemas.microsoft.com/office/drawing/2014/main" id="{00000000-0008-0000-0900-000048000000}"/>
                </a:ext>
              </a:extLst>
            </xdr:cNvPr>
            <xdr:cNvSpPr txBox="1"/>
          </xdr:nvSpPr>
          <xdr:spPr>
            <a:xfrm>
              <a:off x="9252856" y="18460015"/>
              <a:ext cx="342193" cy="1555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800"/>
                <a:t>30°</a:t>
              </a:r>
            </a:p>
          </xdr:txBody>
        </xdr:sp>
        <xdr:sp macro="" textlink="">
          <xdr:nvSpPr>
            <xdr:cNvPr id="73" name="TextBox 72">
              <a:extLst>
                <a:ext uri="{FF2B5EF4-FFF2-40B4-BE49-F238E27FC236}">
                  <a16:creationId xmlns="" xmlns:a16="http://schemas.microsoft.com/office/drawing/2014/main" id="{00000000-0008-0000-0900-000049000000}"/>
                </a:ext>
              </a:extLst>
            </xdr:cNvPr>
            <xdr:cNvSpPr txBox="1"/>
          </xdr:nvSpPr>
          <xdr:spPr>
            <a:xfrm>
              <a:off x="9231086" y="18603468"/>
              <a:ext cx="363964" cy="144671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800"/>
                <a:t>30°</a:t>
              </a:r>
            </a:p>
          </xdr:txBody>
        </xdr:sp>
        <xdr:sp macro="" textlink="">
          <xdr:nvSpPr>
            <xdr:cNvPr id="74" name="TextBox 73">
              <a:extLst>
                <a:ext uri="{FF2B5EF4-FFF2-40B4-BE49-F238E27FC236}">
                  <a16:creationId xmlns="" xmlns:a16="http://schemas.microsoft.com/office/drawing/2014/main" id="{00000000-0008-0000-0900-00004A000000}"/>
                </a:ext>
              </a:extLst>
            </xdr:cNvPr>
            <xdr:cNvSpPr txBox="1"/>
          </xdr:nvSpPr>
          <xdr:spPr>
            <a:xfrm>
              <a:off x="8327571" y="18275647"/>
              <a:ext cx="649342" cy="2270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1100">
                  <a:solidFill>
                    <a:srgbClr val="0070C0"/>
                  </a:solidFill>
                </a:rPr>
                <a:t>d = 16"</a:t>
              </a:r>
            </a:p>
          </xdr:txBody>
        </xdr:sp>
        <xdr:grpSp>
          <xdr:nvGrpSpPr>
            <xdr:cNvPr id="75" name="Group 74">
              <a:extLst>
                <a:ext uri="{FF2B5EF4-FFF2-40B4-BE49-F238E27FC236}">
                  <a16:creationId xmlns="" xmlns:a16="http://schemas.microsoft.com/office/drawing/2014/main" id="{00000000-0008-0000-0900-00004B000000}"/>
                </a:ext>
              </a:extLst>
            </xdr:cNvPr>
            <xdr:cNvGrpSpPr/>
          </xdr:nvGrpSpPr>
          <xdr:grpSpPr>
            <a:xfrm>
              <a:off x="8470774" y="17463525"/>
              <a:ext cx="1514803" cy="2368101"/>
              <a:chOff x="3491880" y="548560"/>
              <a:chExt cx="3466246" cy="5400720"/>
            </a:xfrm>
          </xdr:grpSpPr>
          <xdr:sp macro="" textlink="">
            <xdr:nvSpPr>
              <xdr:cNvPr id="78" name="Oval 77">
                <a:extLst>
                  <a:ext uri="{FF2B5EF4-FFF2-40B4-BE49-F238E27FC236}">
                    <a16:creationId xmlns="" xmlns:a16="http://schemas.microsoft.com/office/drawing/2014/main" id="{00000000-0008-0000-0900-00004E000000}"/>
                  </a:ext>
                </a:extLst>
              </xdr:cNvPr>
              <xdr:cNvSpPr/>
            </xdr:nvSpPr>
            <xdr:spPr>
              <a:xfrm>
                <a:off x="4139952" y="1556792"/>
                <a:ext cx="1080120" cy="1080000"/>
              </a:xfrm>
              <a:prstGeom prst="ellipse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NZ"/>
              </a:p>
            </xdr:txBody>
          </xdr:sp>
          <xdr:sp macro="" textlink="">
            <xdr:nvSpPr>
              <xdr:cNvPr id="79" name="Oval 78">
                <a:extLst>
                  <a:ext uri="{FF2B5EF4-FFF2-40B4-BE49-F238E27FC236}">
                    <a16:creationId xmlns="" xmlns:a16="http://schemas.microsoft.com/office/drawing/2014/main" id="{00000000-0008-0000-0900-00004F000000}"/>
                  </a:ext>
                </a:extLst>
              </xdr:cNvPr>
              <xdr:cNvSpPr/>
            </xdr:nvSpPr>
            <xdr:spPr>
              <a:xfrm>
                <a:off x="4139952" y="3861048"/>
                <a:ext cx="1080120" cy="1080000"/>
              </a:xfrm>
              <a:prstGeom prst="ellipse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NZ"/>
              </a:p>
            </xdr:txBody>
          </xdr:sp>
          <xdr:cxnSp macro="">
            <xdr:nvCxnSpPr>
              <xdr:cNvPr id="80" name="Straight Connector 79">
                <a:extLst>
                  <a:ext uri="{FF2B5EF4-FFF2-40B4-BE49-F238E27FC236}">
                    <a16:creationId xmlns="" xmlns:a16="http://schemas.microsoft.com/office/drawing/2014/main" id="{00000000-0008-0000-0900-000050000000}"/>
                  </a:ext>
                </a:extLst>
              </xdr:cNvPr>
              <xdr:cNvCxnSpPr/>
            </xdr:nvCxnSpPr>
            <xdr:spPr>
              <a:xfrm>
                <a:off x="4676072" y="692696"/>
                <a:ext cx="0" cy="504056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1" name="Straight Connector 80">
                <a:extLst>
                  <a:ext uri="{FF2B5EF4-FFF2-40B4-BE49-F238E27FC236}">
                    <a16:creationId xmlns="" xmlns:a16="http://schemas.microsoft.com/office/drawing/2014/main" id="{00000000-0008-0000-0900-000051000000}"/>
                  </a:ext>
                </a:extLst>
              </xdr:cNvPr>
              <xdr:cNvCxnSpPr/>
            </xdr:nvCxnSpPr>
            <xdr:spPr>
              <a:xfrm>
                <a:off x="3491880" y="2096792"/>
                <a:ext cx="119405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2" name="Straight Connector 81">
                <a:extLst>
                  <a:ext uri="{FF2B5EF4-FFF2-40B4-BE49-F238E27FC236}">
                    <a16:creationId xmlns="" xmlns:a16="http://schemas.microsoft.com/office/drawing/2014/main" id="{00000000-0008-0000-0900-000052000000}"/>
                  </a:ext>
                </a:extLst>
              </xdr:cNvPr>
              <xdr:cNvCxnSpPr/>
            </xdr:nvCxnSpPr>
            <xdr:spPr>
              <a:xfrm>
                <a:off x="3563888" y="4401048"/>
                <a:ext cx="1125986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3" name="Straight Connector 82">
                <a:extLst>
                  <a:ext uri="{FF2B5EF4-FFF2-40B4-BE49-F238E27FC236}">
                    <a16:creationId xmlns="" xmlns:a16="http://schemas.microsoft.com/office/drawing/2014/main" id="{00000000-0008-0000-0900-000053000000}"/>
                  </a:ext>
                </a:extLst>
              </xdr:cNvPr>
              <xdr:cNvCxnSpPr/>
            </xdr:nvCxnSpPr>
            <xdr:spPr>
              <a:xfrm>
                <a:off x="4680012" y="2096792"/>
                <a:ext cx="1692188" cy="1152128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" name="Straight Connector 83">
                <a:extLst>
                  <a:ext uri="{FF2B5EF4-FFF2-40B4-BE49-F238E27FC236}">
                    <a16:creationId xmlns="" xmlns:a16="http://schemas.microsoft.com/office/drawing/2014/main" id="{00000000-0008-0000-0900-000054000000}"/>
                  </a:ext>
                </a:extLst>
              </xdr:cNvPr>
              <xdr:cNvCxnSpPr/>
            </xdr:nvCxnSpPr>
            <xdr:spPr>
              <a:xfrm flipV="1">
                <a:off x="4676072" y="548560"/>
                <a:ext cx="2268252" cy="154823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5" name="Straight Connector 84">
                <a:extLst>
                  <a:ext uri="{FF2B5EF4-FFF2-40B4-BE49-F238E27FC236}">
                    <a16:creationId xmlns="" xmlns:a16="http://schemas.microsoft.com/office/drawing/2014/main" id="{00000000-0008-0000-0900-000055000000}"/>
                  </a:ext>
                </a:extLst>
              </xdr:cNvPr>
              <xdr:cNvCxnSpPr/>
            </xdr:nvCxnSpPr>
            <xdr:spPr>
              <a:xfrm>
                <a:off x="4689874" y="4401048"/>
                <a:ext cx="2268252" cy="154823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6" name="Straight Connector 85">
                <a:extLst>
                  <a:ext uri="{FF2B5EF4-FFF2-40B4-BE49-F238E27FC236}">
                    <a16:creationId xmlns="" xmlns:a16="http://schemas.microsoft.com/office/drawing/2014/main" id="{00000000-0008-0000-0900-000056000000}"/>
                  </a:ext>
                </a:extLst>
              </xdr:cNvPr>
              <xdr:cNvCxnSpPr/>
            </xdr:nvCxnSpPr>
            <xdr:spPr>
              <a:xfrm flipV="1">
                <a:off x="4685934" y="3248920"/>
                <a:ext cx="1686266" cy="1152128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7" name="Trapezoid 86">
                <a:extLst>
                  <a:ext uri="{FF2B5EF4-FFF2-40B4-BE49-F238E27FC236}">
                    <a16:creationId xmlns="" xmlns:a16="http://schemas.microsoft.com/office/drawing/2014/main" id="{00000000-0008-0000-0900-000057000000}"/>
                  </a:ext>
                </a:extLst>
              </xdr:cNvPr>
              <xdr:cNvSpPr/>
            </xdr:nvSpPr>
            <xdr:spPr>
              <a:xfrm rot="7656012">
                <a:off x="5040053" y="4656538"/>
                <a:ext cx="360040" cy="216024"/>
              </a:xfrm>
              <a:prstGeom prst="trapezoid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NZ"/>
              </a:p>
            </xdr:txBody>
          </xdr:sp>
          <xdr:sp macro="" textlink="">
            <xdr:nvSpPr>
              <xdr:cNvPr id="88" name="Trapezoid 87">
                <a:extLst>
                  <a:ext uri="{FF2B5EF4-FFF2-40B4-BE49-F238E27FC236}">
                    <a16:creationId xmlns="" xmlns:a16="http://schemas.microsoft.com/office/drawing/2014/main" id="{00000000-0008-0000-0900-000058000000}"/>
                  </a:ext>
                </a:extLst>
              </xdr:cNvPr>
              <xdr:cNvSpPr/>
            </xdr:nvSpPr>
            <xdr:spPr>
              <a:xfrm rot="13943988" flipV="1">
                <a:off x="5040053" y="3925503"/>
                <a:ext cx="360040" cy="216024"/>
              </a:xfrm>
              <a:prstGeom prst="trapezoid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NZ"/>
              </a:p>
            </xdr:txBody>
          </xdr:sp>
          <xdr:sp macro="" textlink="">
            <xdr:nvSpPr>
              <xdr:cNvPr id="89" name="Trapezoid 88">
                <a:extLst>
                  <a:ext uri="{FF2B5EF4-FFF2-40B4-BE49-F238E27FC236}">
                    <a16:creationId xmlns="" xmlns:a16="http://schemas.microsoft.com/office/drawing/2014/main" id="{00000000-0008-0000-0900-000059000000}"/>
                  </a:ext>
                </a:extLst>
              </xdr:cNvPr>
              <xdr:cNvSpPr/>
            </xdr:nvSpPr>
            <xdr:spPr>
              <a:xfrm rot="13943988" flipV="1">
                <a:off x="5050411" y="1644089"/>
                <a:ext cx="360040" cy="216024"/>
              </a:xfrm>
              <a:prstGeom prst="trapezoid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NZ"/>
              </a:p>
            </xdr:txBody>
          </xdr:sp>
          <xdr:cxnSp macro="">
            <xdr:nvCxnSpPr>
              <xdr:cNvPr id="90" name="Straight Connector 89">
                <a:extLst>
                  <a:ext uri="{FF2B5EF4-FFF2-40B4-BE49-F238E27FC236}">
                    <a16:creationId xmlns="" xmlns:a16="http://schemas.microsoft.com/office/drawing/2014/main" id="{00000000-0008-0000-0900-00005A000000}"/>
                  </a:ext>
                </a:extLst>
              </xdr:cNvPr>
              <xdr:cNvCxnSpPr/>
            </xdr:nvCxnSpPr>
            <xdr:spPr>
              <a:xfrm flipH="1">
                <a:off x="3563888" y="3248920"/>
                <a:ext cx="2808312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1" name="Straight Arrow Connector 90">
                <a:extLst>
                  <a:ext uri="{FF2B5EF4-FFF2-40B4-BE49-F238E27FC236}">
                    <a16:creationId xmlns="" xmlns:a16="http://schemas.microsoft.com/office/drawing/2014/main" id="{00000000-0008-0000-0900-00005B000000}"/>
                  </a:ext>
                </a:extLst>
              </xdr:cNvPr>
              <xdr:cNvCxnSpPr/>
            </xdr:nvCxnSpPr>
            <xdr:spPr>
              <a:xfrm>
                <a:off x="4499992" y="2096792"/>
                <a:ext cx="0" cy="1116184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2" name="Straight Arrow Connector 91">
                <a:extLst>
                  <a:ext uri="{FF2B5EF4-FFF2-40B4-BE49-F238E27FC236}">
                    <a16:creationId xmlns="" xmlns:a16="http://schemas.microsoft.com/office/drawing/2014/main" id="{00000000-0008-0000-0900-00005C000000}"/>
                  </a:ext>
                </a:extLst>
              </xdr:cNvPr>
              <xdr:cNvCxnSpPr/>
            </xdr:nvCxnSpPr>
            <xdr:spPr>
              <a:xfrm>
                <a:off x="4499992" y="3266892"/>
                <a:ext cx="0" cy="1116184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3" name="Straight Arrow Connector 92">
                <a:extLst>
                  <a:ext uri="{FF2B5EF4-FFF2-40B4-BE49-F238E27FC236}">
                    <a16:creationId xmlns="" xmlns:a16="http://schemas.microsoft.com/office/drawing/2014/main" id="{00000000-0008-0000-0900-00005D000000}"/>
                  </a:ext>
                </a:extLst>
              </xdr:cNvPr>
              <xdr:cNvCxnSpPr/>
            </xdr:nvCxnSpPr>
            <xdr:spPr>
              <a:xfrm flipH="1">
                <a:off x="4689874" y="3248920"/>
                <a:ext cx="1682326" cy="0"/>
              </a:xfrm>
              <a:prstGeom prst="straightConnector1">
                <a:avLst/>
              </a:prstGeom>
              <a:ln>
                <a:solidFill>
                  <a:srgbClr val="FF0000"/>
                </a:solidFill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6" name="TextBox 75">
              <a:extLst>
                <a:ext uri="{FF2B5EF4-FFF2-40B4-BE49-F238E27FC236}">
                  <a16:creationId xmlns="" xmlns:a16="http://schemas.microsoft.com/office/drawing/2014/main" id="{00000000-0008-0000-0900-00004C000000}"/>
                </a:ext>
              </a:extLst>
            </xdr:cNvPr>
            <xdr:cNvSpPr txBox="1"/>
          </xdr:nvSpPr>
          <xdr:spPr>
            <a:xfrm>
              <a:off x="8343900" y="18705728"/>
              <a:ext cx="634326" cy="24292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1100">
                  <a:solidFill>
                    <a:srgbClr val="0070C0"/>
                  </a:solidFill>
                </a:rPr>
                <a:t>d = 16"</a:t>
              </a:r>
            </a:p>
          </xdr:txBody>
        </xdr:sp>
        <xdr:sp macro="" textlink="">
          <xdr:nvSpPr>
            <xdr:cNvPr id="77" name="TextBox 76">
              <a:extLst>
                <a:ext uri="{FF2B5EF4-FFF2-40B4-BE49-F238E27FC236}">
                  <a16:creationId xmlns="" xmlns:a16="http://schemas.microsoft.com/office/drawing/2014/main" id="{00000000-0008-0000-0900-00004D000000}"/>
                </a:ext>
              </a:extLst>
            </xdr:cNvPr>
            <xdr:cNvSpPr txBox="1"/>
          </xdr:nvSpPr>
          <xdr:spPr>
            <a:xfrm>
              <a:off x="8888185" y="18895398"/>
              <a:ext cx="352608" cy="18181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NZ" sz="800"/>
                <a:t>60°</a:t>
              </a:r>
            </a:p>
          </xdr:txBody>
        </xdr:sp>
      </xdr:grpSp>
      <xdr:sp macro="" textlink="">
        <xdr:nvSpPr>
          <xdr:cNvPr id="68" name="TextBox 67">
            <a:extLst>
              <a:ext uri="{FF2B5EF4-FFF2-40B4-BE49-F238E27FC236}">
                <a16:creationId xmlns="" xmlns:a16="http://schemas.microsoft.com/office/drawing/2014/main" id="{00000000-0008-0000-0900-000044000000}"/>
              </a:ext>
            </a:extLst>
          </xdr:cNvPr>
          <xdr:cNvSpPr txBox="1"/>
        </xdr:nvSpPr>
        <xdr:spPr>
          <a:xfrm>
            <a:off x="9991774" y="18428892"/>
            <a:ext cx="252810" cy="2200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NZ" sz="1100">
                <a:solidFill>
                  <a:srgbClr val="FF0000"/>
                </a:solidFill>
              </a:rPr>
              <a:t>x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6</xdr:row>
      <xdr:rowOff>95250</xdr:rowOff>
    </xdr:from>
    <xdr:to>
      <xdr:col>10</xdr:col>
      <xdr:colOff>295275</xdr:colOff>
      <xdr:row>25</xdr:row>
      <xdr:rowOff>9525</xdr:rowOff>
    </xdr:to>
    <xdr:graphicFrame macro="">
      <xdr:nvGraphicFramePr>
        <xdr:cNvPr id="738967" name="Chart 8">
          <a:extLst>
            <a:ext uri="{FF2B5EF4-FFF2-40B4-BE49-F238E27FC236}">
              <a16:creationId xmlns="" xmlns:a16="http://schemas.microsoft.com/office/drawing/2014/main" id="{00000000-0008-0000-0A00-00009746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257175</xdr:colOff>
      <xdr:row>41</xdr:row>
      <xdr:rowOff>38100</xdr:rowOff>
    </xdr:from>
    <xdr:to>
      <xdr:col>2</xdr:col>
      <xdr:colOff>400050</xdr:colOff>
      <xdr:row>51</xdr:row>
      <xdr:rowOff>9525</xdr:rowOff>
    </xdr:to>
    <xdr:pic>
      <xdr:nvPicPr>
        <xdr:cNvPr id="738968" name="Picture 9">
          <a:extLst>
            <a:ext uri="{FF2B5EF4-FFF2-40B4-BE49-F238E27FC236}">
              <a16:creationId xmlns="" xmlns:a16="http://schemas.microsoft.com/office/drawing/2014/main" id="{00000000-0008-0000-0A00-00009846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210425"/>
          <a:ext cx="1276350" cy="1876425"/>
        </a:xfrm>
        <a:prstGeom prst="rect">
          <a:avLst/>
        </a:prstGeom>
        <a:noFill/>
        <a:ln w="254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104775</xdr:colOff>
      <xdr:row>41</xdr:row>
      <xdr:rowOff>47625</xdr:rowOff>
    </xdr:from>
    <xdr:to>
      <xdr:col>7</xdr:col>
      <xdr:colOff>142875</xdr:colOff>
      <xdr:row>51</xdr:row>
      <xdr:rowOff>9525</xdr:rowOff>
    </xdr:to>
    <xdr:pic>
      <xdr:nvPicPr>
        <xdr:cNvPr id="738969" name="Picture 10">
          <a:extLst>
            <a:ext uri="{FF2B5EF4-FFF2-40B4-BE49-F238E27FC236}">
              <a16:creationId xmlns="" xmlns:a16="http://schemas.microsoft.com/office/drawing/2014/main" id="{00000000-0008-0000-0A00-00009946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7219950"/>
          <a:ext cx="1257300" cy="1866900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219075</xdr:colOff>
      <xdr:row>41</xdr:row>
      <xdr:rowOff>38100</xdr:rowOff>
    </xdr:from>
    <xdr:to>
      <xdr:col>3</xdr:col>
      <xdr:colOff>1504950</xdr:colOff>
      <xdr:row>51</xdr:row>
      <xdr:rowOff>0</xdr:rowOff>
    </xdr:to>
    <xdr:pic>
      <xdr:nvPicPr>
        <xdr:cNvPr id="738970" name="Picture 11">
          <a:extLst>
            <a:ext uri="{FF2B5EF4-FFF2-40B4-BE49-F238E27FC236}">
              <a16:creationId xmlns="" xmlns:a16="http://schemas.microsoft.com/office/drawing/2014/main" id="{00000000-0008-0000-0A00-00009A46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8" t="5263"/>
        <a:stretch>
          <a:fillRect/>
        </a:stretch>
      </xdr:blipFill>
      <xdr:spPr bwMode="auto">
        <a:xfrm>
          <a:off x="2209800" y="7210425"/>
          <a:ext cx="1285875" cy="1866900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523875</xdr:colOff>
      <xdr:row>41</xdr:row>
      <xdr:rowOff>28575</xdr:rowOff>
    </xdr:from>
    <xdr:to>
      <xdr:col>11</xdr:col>
      <xdr:colOff>381000</xdr:colOff>
      <xdr:row>51</xdr:row>
      <xdr:rowOff>0</xdr:rowOff>
    </xdr:to>
    <xdr:pic>
      <xdr:nvPicPr>
        <xdr:cNvPr id="738971" name="Picture 12">
          <a:extLst>
            <a:ext uri="{FF2B5EF4-FFF2-40B4-BE49-F238E27FC236}">
              <a16:creationId xmlns="" xmlns:a16="http://schemas.microsoft.com/office/drawing/2014/main" id="{00000000-0008-0000-0A00-00009B46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2" b="-1047"/>
        <a:stretch>
          <a:fillRect/>
        </a:stretch>
      </xdr:blipFill>
      <xdr:spPr bwMode="auto">
        <a:xfrm>
          <a:off x="8239125" y="7200900"/>
          <a:ext cx="1295400" cy="187642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409575</xdr:colOff>
      <xdr:row>41</xdr:row>
      <xdr:rowOff>28575</xdr:rowOff>
    </xdr:from>
    <xdr:to>
      <xdr:col>9</xdr:col>
      <xdr:colOff>152400</xdr:colOff>
      <xdr:row>50</xdr:row>
      <xdr:rowOff>180975</xdr:rowOff>
    </xdr:to>
    <xdr:grpSp>
      <xdr:nvGrpSpPr>
        <xdr:cNvPr id="738972" name="Group 13">
          <a:extLst>
            <a:ext uri="{FF2B5EF4-FFF2-40B4-BE49-F238E27FC236}">
              <a16:creationId xmlns="" xmlns:a16="http://schemas.microsoft.com/office/drawing/2014/main" id="{00000000-0008-0000-0A00-00009C460B00}"/>
            </a:ext>
          </a:extLst>
        </xdr:cNvPr>
        <xdr:cNvGrpSpPr>
          <a:grpSpLocks/>
        </xdr:cNvGrpSpPr>
      </xdr:nvGrpSpPr>
      <xdr:grpSpPr bwMode="auto">
        <a:xfrm>
          <a:off x="6254115" y="7960995"/>
          <a:ext cx="1434465" cy="1866900"/>
          <a:chOff x="628" y="658"/>
          <a:chExt cx="155" cy="196"/>
        </a:xfrm>
      </xdr:grpSpPr>
      <xdr:pic>
        <xdr:nvPicPr>
          <xdr:cNvPr id="738983" name="Picture 14">
            <a:extLst>
              <a:ext uri="{FF2B5EF4-FFF2-40B4-BE49-F238E27FC236}">
                <a16:creationId xmlns="" xmlns:a16="http://schemas.microsoft.com/office/drawing/2014/main" id="{00000000-0008-0000-0A00-0000A7460B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8" y="658"/>
            <a:ext cx="155" cy="196"/>
          </a:xfrm>
          <a:prstGeom prst="rect">
            <a:avLst/>
          </a:prstGeom>
          <a:noFill/>
          <a:ln w="285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279" name="Text Box 15">
            <a:extLst>
              <a:ext uri="{FF2B5EF4-FFF2-40B4-BE49-F238E27FC236}">
                <a16:creationId xmlns="" xmlns:a16="http://schemas.microsoft.com/office/drawing/2014/main" id="{00000000-0008-0000-0A00-00000F2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1" y="671"/>
            <a:ext cx="135" cy="23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1" i="0" strike="noStrike">
                <a:solidFill>
                  <a:srgbClr val="000000"/>
                </a:solidFill>
                <a:latin typeface="Helv"/>
              </a:rPr>
              <a:t>3-Blade Hydrofoil</a:t>
            </a:r>
          </a:p>
        </xdr:txBody>
      </xdr:sp>
    </xdr:grpSp>
    <xdr:clientData/>
  </xdr:twoCellAnchor>
  <xdr:twoCellAnchor>
    <xdr:from>
      <xdr:col>8</xdr:col>
      <xdr:colOff>838200</xdr:colOff>
      <xdr:row>0</xdr:row>
      <xdr:rowOff>85726</xdr:rowOff>
    </xdr:from>
    <xdr:to>
      <xdr:col>14</xdr:col>
      <xdr:colOff>342900</xdr:colOff>
      <xdr:row>1</xdr:row>
      <xdr:rowOff>238126</xdr:rowOff>
    </xdr:to>
    <xdr:sp macro="[0]!GotoJarSettingsScreen" textlink="">
      <xdr:nvSpPr>
        <xdr:cNvPr id="11280" name="Text Box 16">
          <a:extLst>
            <a:ext uri="{FF2B5EF4-FFF2-40B4-BE49-F238E27FC236}">
              <a16:creationId xmlns="" xmlns:a16="http://schemas.microsoft.com/office/drawing/2014/main" id="{00000000-0008-0000-0A00-0000102C0000}"/>
            </a:ext>
          </a:extLst>
        </xdr:cNvPr>
        <xdr:cNvSpPr txBox="1">
          <a:spLocks noChangeArrowheads="1"/>
        </xdr:cNvSpPr>
      </xdr:nvSpPr>
      <xdr:spPr bwMode="auto">
        <a:xfrm>
          <a:off x="7429500" y="85726"/>
          <a:ext cx="3895725" cy="40005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Helv"/>
            </a:rPr>
            <a:t>Return to Jar Settings HELP Screen</a:t>
          </a:r>
        </a:p>
      </xdr:txBody>
    </xdr:sp>
    <xdr:clientData/>
  </xdr:twoCellAnchor>
  <xdr:twoCellAnchor>
    <xdr:from>
      <xdr:col>5</xdr:col>
      <xdr:colOff>590550</xdr:colOff>
      <xdr:row>0</xdr:row>
      <xdr:rowOff>76200</xdr:rowOff>
    </xdr:from>
    <xdr:to>
      <xdr:col>8</xdr:col>
      <xdr:colOff>571500</xdr:colOff>
      <xdr:row>1</xdr:row>
      <xdr:rowOff>238125</xdr:rowOff>
    </xdr:to>
    <xdr:sp macro="[0]!GotoDataEntryScreen" textlink="">
      <xdr:nvSpPr>
        <xdr:cNvPr id="11281" name="Text Box 17">
          <a:extLst>
            <a:ext uri="{FF2B5EF4-FFF2-40B4-BE49-F238E27FC236}">
              <a16:creationId xmlns="" xmlns:a16="http://schemas.microsoft.com/office/drawing/2014/main" id="{00000000-0008-0000-0A00-0000112C0000}"/>
            </a:ext>
          </a:extLst>
        </xdr:cNvPr>
        <xdr:cNvSpPr txBox="1">
          <a:spLocks noChangeArrowheads="1"/>
        </xdr:cNvSpPr>
      </xdr:nvSpPr>
      <xdr:spPr bwMode="auto">
        <a:xfrm>
          <a:off x="5353050" y="76200"/>
          <a:ext cx="1809750" cy="409575"/>
        </a:xfrm>
        <a:prstGeom prst="rect">
          <a:avLst/>
        </a:prstGeom>
        <a:solidFill>
          <a:srgbClr val="A6CAF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A6CAF0">
              <a:gamma/>
              <a:shade val="60000"/>
              <a:invGamma/>
            </a:srgbClr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sz="1100" b="1" i="0" strike="noStrike">
              <a:solidFill>
                <a:srgbClr val="000000"/>
              </a:solidFill>
              <a:latin typeface="Helv"/>
            </a:rPr>
            <a:t>Return to Data Entry Screen</a:t>
          </a:r>
        </a:p>
      </xdr:txBody>
    </xdr:sp>
    <xdr:clientData/>
  </xdr:twoCellAnchor>
  <xdr:twoCellAnchor>
    <xdr:from>
      <xdr:col>1</xdr:col>
      <xdr:colOff>533400</xdr:colOff>
      <xdr:row>49</xdr:row>
      <xdr:rowOff>19050</xdr:rowOff>
    </xdr:from>
    <xdr:to>
      <xdr:col>2</xdr:col>
      <xdr:colOff>66675</xdr:colOff>
      <xdr:row>49</xdr:row>
      <xdr:rowOff>180975</xdr:rowOff>
    </xdr:to>
    <xdr:sp macro="" textlink="">
      <xdr:nvSpPr>
        <xdr:cNvPr id="11283" name="Text Box 19">
          <a:extLst>
            <a:ext uri="{FF2B5EF4-FFF2-40B4-BE49-F238E27FC236}">
              <a16:creationId xmlns="" xmlns:a16="http://schemas.microsoft.com/office/drawing/2014/main" id="{00000000-0008-0000-0A00-0000132C0000}"/>
            </a:ext>
          </a:extLst>
        </xdr:cNvPr>
        <xdr:cNvSpPr txBox="1">
          <a:spLocks noChangeArrowheads="1"/>
        </xdr:cNvSpPr>
      </xdr:nvSpPr>
      <xdr:spPr bwMode="auto">
        <a:xfrm>
          <a:off x="771525" y="8677275"/>
          <a:ext cx="66675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"/>
              <a:cs typeface="Arial"/>
            </a:rPr>
            <a:t>Disk</a:t>
          </a:r>
        </a:p>
      </xdr:txBody>
    </xdr:sp>
    <xdr:clientData/>
  </xdr:twoCellAnchor>
  <xdr:twoCellAnchor editAs="oneCell">
    <xdr:from>
      <xdr:col>1</xdr:col>
      <xdr:colOff>228600</xdr:colOff>
      <xdr:row>54</xdr:row>
      <xdr:rowOff>52388</xdr:rowOff>
    </xdr:from>
    <xdr:to>
      <xdr:col>2</xdr:col>
      <xdr:colOff>523875</xdr:colOff>
      <xdr:row>57</xdr:row>
      <xdr:rowOff>152400</xdr:rowOff>
    </xdr:to>
    <xdr:pic>
      <xdr:nvPicPr>
        <xdr:cNvPr id="738976" name="Picture 452">
          <a:extLst>
            <a:ext uri="{FF2B5EF4-FFF2-40B4-BE49-F238E27FC236}">
              <a16:creationId xmlns="" xmlns:a16="http://schemas.microsoft.com/office/drawing/2014/main" id="{00000000-0008-0000-0A00-0000A046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9682163"/>
          <a:ext cx="1428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54</xdr:row>
      <xdr:rowOff>61913</xdr:rowOff>
    </xdr:from>
    <xdr:to>
      <xdr:col>3</xdr:col>
      <xdr:colOff>1562100</xdr:colOff>
      <xdr:row>57</xdr:row>
      <xdr:rowOff>161925</xdr:rowOff>
    </xdr:to>
    <xdr:pic>
      <xdr:nvPicPr>
        <xdr:cNvPr id="738977" name="Picture 453">
          <a:extLst>
            <a:ext uri="{FF2B5EF4-FFF2-40B4-BE49-F238E27FC236}">
              <a16:creationId xmlns="" xmlns:a16="http://schemas.microsoft.com/office/drawing/2014/main" id="{00000000-0008-0000-0A00-0000A146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9691688"/>
          <a:ext cx="1428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54</xdr:row>
      <xdr:rowOff>61913</xdr:rowOff>
    </xdr:from>
    <xdr:to>
      <xdr:col>7</xdr:col>
      <xdr:colOff>238125</xdr:colOff>
      <xdr:row>58</xdr:row>
      <xdr:rowOff>0</xdr:rowOff>
    </xdr:to>
    <xdr:pic>
      <xdr:nvPicPr>
        <xdr:cNvPr id="738978" name="Picture 454">
          <a:extLst>
            <a:ext uri="{FF2B5EF4-FFF2-40B4-BE49-F238E27FC236}">
              <a16:creationId xmlns="" xmlns:a16="http://schemas.microsoft.com/office/drawing/2014/main" id="{00000000-0008-0000-0A00-0000A246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9691688"/>
          <a:ext cx="1428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51</xdr:row>
      <xdr:rowOff>85725</xdr:rowOff>
    </xdr:from>
    <xdr:to>
      <xdr:col>6</xdr:col>
      <xdr:colOff>200025</xdr:colOff>
      <xdr:row>53</xdr:row>
      <xdr:rowOff>152400</xdr:rowOff>
    </xdr:to>
    <xdr:sp macro="" textlink="">
      <xdr:nvSpPr>
        <xdr:cNvPr id="738979" name="Up-Down Arrow 17">
          <a:extLst>
            <a:ext uri="{FF2B5EF4-FFF2-40B4-BE49-F238E27FC236}">
              <a16:creationId xmlns="" xmlns:a16="http://schemas.microsoft.com/office/drawing/2014/main" id="{00000000-0008-0000-0A00-0000A3460B00}"/>
            </a:ext>
          </a:extLst>
        </xdr:cNvPr>
        <xdr:cNvSpPr>
          <a:spLocks noChangeArrowheads="1"/>
        </xdr:cNvSpPr>
      </xdr:nvSpPr>
      <xdr:spPr bwMode="auto">
        <a:xfrm>
          <a:off x="5419725" y="9163050"/>
          <a:ext cx="152400" cy="447675"/>
        </a:xfrm>
        <a:prstGeom prst="upDownArrow">
          <a:avLst>
            <a:gd name="adj1" fmla="val 50000"/>
            <a:gd name="adj2" fmla="val 48958"/>
          </a:avLst>
        </a:prstGeom>
        <a:solidFill>
          <a:srgbClr val="0070C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66</xdr:row>
      <xdr:rowOff>85725</xdr:rowOff>
    </xdr:from>
    <xdr:to>
      <xdr:col>10</xdr:col>
      <xdr:colOff>571500</xdr:colOff>
      <xdr:row>86</xdr:row>
      <xdr:rowOff>0</xdr:rowOff>
    </xdr:to>
    <xdr:graphicFrame macro="">
      <xdr:nvGraphicFramePr>
        <xdr:cNvPr id="738980" name="Chart 8">
          <a:extLst>
            <a:ext uri="{FF2B5EF4-FFF2-40B4-BE49-F238E27FC236}">
              <a16:creationId xmlns="" xmlns:a16="http://schemas.microsoft.com/office/drawing/2014/main" id="{00000000-0008-0000-0A00-0000A446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771525</xdr:colOff>
      <xdr:row>51</xdr:row>
      <xdr:rowOff>66675</xdr:rowOff>
    </xdr:from>
    <xdr:to>
      <xdr:col>3</xdr:col>
      <xdr:colOff>923925</xdr:colOff>
      <xdr:row>53</xdr:row>
      <xdr:rowOff>133350</xdr:rowOff>
    </xdr:to>
    <xdr:sp macro="" textlink="">
      <xdr:nvSpPr>
        <xdr:cNvPr id="738981" name="Up-Down Arrow 17">
          <a:extLst>
            <a:ext uri="{FF2B5EF4-FFF2-40B4-BE49-F238E27FC236}">
              <a16:creationId xmlns="" xmlns:a16="http://schemas.microsoft.com/office/drawing/2014/main" id="{00000000-0008-0000-0A00-0000A5460B00}"/>
            </a:ext>
          </a:extLst>
        </xdr:cNvPr>
        <xdr:cNvSpPr>
          <a:spLocks noChangeArrowheads="1"/>
        </xdr:cNvSpPr>
      </xdr:nvSpPr>
      <xdr:spPr bwMode="auto">
        <a:xfrm>
          <a:off x="2762250" y="9144000"/>
          <a:ext cx="152400" cy="447675"/>
        </a:xfrm>
        <a:prstGeom prst="upDownArrow">
          <a:avLst>
            <a:gd name="adj1" fmla="val 50000"/>
            <a:gd name="adj2" fmla="val 48958"/>
          </a:avLst>
        </a:prstGeom>
        <a:solidFill>
          <a:srgbClr val="0070C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114300</xdr:colOff>
      <xdr:row>92</xdr:row>
      <xdr:rowOff>76200</xdr:rowOff>
    </xdr:from>
    <xdr:to>
      <xdr:col>11</xdr:col>
      <xdr:colOff>47625</xdr:colOff>
      <xdr:row>110</xdr:row>
      <xdr:rowOff>180975</xdr:rowOff>
    </xdr:to>
    <xdr:graphicFrame macro="">
      <xdr:nvGraphicFramePr>
        <xdr:cNvPr id="738982" name="Chart 8">
          <a:extLst>
            <a:ext uri="{FF2B5EF4-FFF2-40B4-BE49-F238E27FC236}">
              <a16:creationId xmlns="" xmlns:a16="http://schemas.microsoft.com/office/drawing/2014/main" id="{00000000-0008-0000-0A00-0000A646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38100</xdr:rowOff>
    </xdr:from>
    <xdr:to>
      <xdr:col>11</xdr:col>
      <xdr:colOff>352425</xdr:colOff>
      <xdr:row>1</xdr:row>
      <xdr:rowOff>190500</xdr:rowOff>
    </xdr:to>
    <xdr:sp macro="[0]!GotoJarSettingsScreen" textlink="">
      <xdr:nvSpPr>
        <xdr:cNvPr id="12296" name="Text Box 8">
          <a:extLst>
            <a:ext uri="{FF2B5EF4-FFF2-40B4-BE49-F238E27FC236}">
              <a16:creationId xmlns="" xmlns:a16="http://schemas.microsoft.com/office/drawing/2014/main" id="{00000000-0008-0000-0B00-000008300000}"/>
            </a:ext>
          </a:extLst>
        </xdr:cNvPr>
        <xdr:cNvSpPr txBox="1">
          <a:spLocks noChangeArrowheads="1"/>
        </xdr:cNvSpPr>
      </xdr:nvSpPr>
      <xdr:spPr bwMode="auto">
        <a:xfrm>
          <a:off x="6943725" y="38100"/>
          <a:ext cx="2905125" cy="40005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Helv"/>
            </a:rPr>
            <a:t>Return to Jar Settings HELP Screen</a:t>
          </a:r>
        </a:p>
      </xdr:txBody>
    </xdr:sp>
    <xdr:clientData/>
  </xdr:twoCellAnchor>
  <xdr:twoCellAnchor>
    <xdr:from>
      <xdr:col>5</xdr:col>
      <xdr:colOff>400050</xdr:colOff>
      <xdr:row>7</xdr:row>
      <xdr:rowOff>0</xdr:rowOff>
    </xdr:from>
    <xdr:to>
      <xdr:col>9</xdr:col>
      <xdr:colOff>590550</xdr:colOff>
      <xdr:row>24</xdr:row>
      <xdr:rowOff>9525</xdr:rowOff>
    </xdr:to>
    <xdr:graphicFrame macro="">
      <xdr:nvGraphicFramePr>
        <xdr:cNvPr id="12804" name="Chart 9">
          <a:extLst>
            <a:ext uri="{FF2B5EF4-FFF2-40B4-BE49-F238E27FC236}">
              <a16:creationId xmlns="" xmlns:a16="http://schemas.microsoft.com/office/drawing/2014/main" id="{00000000-0008-0000-0B00-0000043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0</xdr:row>
      <xdr:rowOff>47625</xdr:rowOff>
    </xdr:from>
    <xdr:to>
      <xdr:col>7</xdr:col>
      <xdr:colOff>114300</xdr:colOff>
      <xdr:row>1</xdr:row>
      <xdr:rowOff>200025</xdr:rowOff>
    </xdr:to>
    <xdr:sp macro="[0]!GotoDataEntryScreen" textlink="">
      <xdr:nvSpPr>
        <xdr:cNvPr id="12298" name="Text Box 10">
          <a:extLst>
            <a:ext uri="{FF2B5EF4-FFF2-40B4-BE49-F238E27FC236}">
              <a16:creationId xmlns="" xmlns:a16="http://schemas.microsoft.com/office/drawing/2014/main" id="{00000000-0008-0000-0B00-00000A300000}"/>
            </a:ext>
          </a:extLst>
        </xdr:cNvPr>
        <xdr:cNvSpPr txBox="1">
          <a:spLocks noChangeArrowheads="1"/>
        </xdr:cNvSpPr>
      </xdr:nvSpPr>
      <xdr:spPr bwMode="auto">
        <a:xfrm>
          <a:off x="4810125" y="47625"/>
          <a:ext cx="1752600" cy="400050"/>
        </a:xfrm>
        <a:prstGeom prst="rect">
          <a:avLst/>
        </a:prstGeom>
        <a:solidFill>
          <a:srgbClr val="A6CAF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A6CAF0">
              <a:gamma/>
              <a:shade val="60000"/>
              <a:invGamma/>
            </a:srgbClr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sz="1100" b="1" i="0" strike="noStrike">
              <a:solidFill>
                <a:srgbClr val="000000"/>
              </a:solidFill>
              <a:latin typeface="Helv"/>
            </a:rPr>
            <a:t>Return to Data Entry Screen</a:t>
          </a:r>
        </a:p>
      </xdr:txBody>
    </xdr:sp>
    <xdr:clientData/>
  </xdr:twoCellAnchor>
  <xdr:twoCellAnchor editAs="oneCell">
    <xdr:from>
      <xdr:col>5</xdr:col>
      <xdr:colOff>409575</xdr:colOff>
      <xdr:row>25</xdr:row>
      <xdr:rowOff>66675</xdr:rowOff>
    </xdr:from>
    <xdr:to>
      <xdr:col>11</xdr:col>
      <xdr:colOff>161925</xdr:colOff>
      <xdr:row>47</xdr:row>
      <xdr:rowOff>42863</xdr:rowOff>
    </xdr:to>
    <xdr:pic>
      <xdr:nvPicPr>
        <xdr:cNvPr id="12806" name="Picture 4" descr="005.JPG">
          <a:extLst>
            <a:ext uri="{FF2B5EF4-FFF2-40B4-BE49-F238E27FC236}">
              <a16:creationId xmlns="" xmlns:a16="http://schemas.microsoft.com/office/drawing/2014/main" id="{00000000-0008-0000-0B00-0000063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3971925"/>
          <a:ext cx="4876800" cy="3595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56</xdr:row>
      <xdr:rowOff>0</xdr:rowOff>
    </xdr:from>
    <xdr:to>
      <xdr:col>9</xdr:col>
      <xdr:colOff>590550</xdr:colOff>
      <xdr:row>73</xdr:row>
      <xdr:rowOff>19050</xdr:rowOff>
    </xdr:to>
    <xdr:graphicFrame macro="">
      <xdr:nvGraphicFramePr>
        <xdr:cNvPr id="12807" name="Chart 9">
          <a:extLst>
            <a:ext uri="{FF2B5EF4-FFF2-40B4-BE49-F238E27FC236}">
              <a16:creationId xmlns="" xmlns:a16="http://schemas.microsoft.com/office/drawing/2014/main" id="{00000000-0008-0000-0B00-0000073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361950</xdr:colOff>
      <xdr:row>80</xdr:row>
      <xdr:rowOff>0</xdr:rowOff>
    </xdr:from>
    <xdr:to>
      <xdr:col>9</xdr:col>
      <xdr:colOff>590550</xdr:colOff>
      <xdr:row>97</xdr:row>
      <xdr:rowOff>9525</xdr:rowOff>
    </xdr:to>
    <xdr:graphicFrame macro="">
      <xdr:nvGraphicFramePr>
        <xdr:cNvPr id="12808" name="Chart 9">
          <a:extLst>
            <a:ext uri="{FF2B5EF4-FFF2-40B4-BE49-F238E27FC236}">
              <a16:creationId xmlns="" xmlns:a16="http://schemas.microsoft.com/office/drawing/2014/main" id="{00000000-0008-0000-0B00-0000083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7"/>
  <sheetViews>
    <sheetView showGridLines="0" topLeftCell="A43" workbookViewId="0">
      <selection activeCell="B56" sqref="B56"/>
    </sheetView>
  </sheetViews>
  <sheetFormatPr defaultRowHeight="15.6" x14ac:dyDescent="0.35"/>
  <sheetData>
    <row r="1" spans="1:9" ht="18.600000000000001" thickBot="1" x14ac:dyDescent="0.4">
      <c r="A1" s="2" t="s">
        <v>48</v>
      </c>
      <c r="B1" s="3"/>
      <c r="C1" s="3"/>
      <c r="D1" s="3"/>
      <c r="E1" s="3"/>
      <c r="F1" s="3"/>
      <c r="G1" s="3"/>
      <c r="H1" s="3"/>
      <c r="I1" s="3"/>
    </row>
    <row r="2" spans="1:9" ht="16.8" thickBot="1" x14ac:dyDescent="0.4">
      <c r="A2" s="4" t="s">
        <v>39</v>
      </c>
      <c r="B2" s="5"/>
      <c r="C2" s="5"/>
      <c r="D2" s="5"/>
      <c r="E2" s="5"/>
      <c r="F2" s="5"/>
      <c r="G2" s="5"/>
      <c r="H2" s="5"/>
      <c r="I2" s="6"/>
    </row>
    <row r="3" spans="1:9" ht="16.2" x14ac:dyDescent="0.35">
      <c r="A3" s="7" t="s">
        <v>40</v>
      </c>
      <c r="B3" s="8"/>
      <c r="C3" s="8"/>
      <c r="D3" s="8"/>
      <c r="E3" s="8"/>
      <c r="F3" s="8"/>
      <c r="G3" s="8"/>
      <c r="H3" s="8"/>
      <c r="I3" s="1"/>
    </row>
    <row r="4" spans="1:9" ht="16.2" x14ac:dyDescent="0.35">
      <c r="A4" s="9" t="s">
        <v>130</v>
      </c>
      <c r="B4" s="8"/>
      <c r="C4" s="8"/>
      <c r="D4" s="8"/>
      <c r="E4" s="8"/>
      <c r="F4" s="8"/>
      <c r="G4" s="8"/>
      <c r="H4" s="8"/>
      <c r="I4" s="1"/>
    </row>
    <row r="5" spans="1:9" ht="16.2" x14ac:dyDescent="0.35">
      <c r="A5" s="9" t="s">
        <v>129</v>
      </c>
      <c r="B5" s="8"/>
      <c r="C5" s="8"/>
      <c r="D5" s="8"/>
      <c r="E5" s="8"/>
      <c r="F5" s="8"/>
      <c r="G5" s="8"/>
      <c r="H5" s="8"/>
      <c r="I5" s="1"/>
    </row>
    <row r="6" spans="1:9" ht="16.2" x14ac:dyDescent="0.35">
      <c r="A6" s="9" t="s">
        <v>131</v>
      </c>
      <c r="B6" s="8"/>
      <c r="C6" s="8"/>
      <c r="D6" s="8"/>
      <c r="E6" s="8"/>
      <c r="F6" s="8"/>
      <c r="G6" s="8"/>
      <c r="H6" s="8"/>
      <c r="I6" s="1"/>
    </row>
    <row r="7" spans="1:9" ht="16.2" x14ac:dyDescent="0.35">
      <c r="A7" s="9" t="s">
        <v>132</v>
      </c>
      <c r="B7" s="8"/>
      <c r="C7" s="8"/>
      <c r="D7" s="8"/>
      <c r="E7" s="8"/>
      <c r="F7" s="8"/>
      <c r="G7" s="8"/>
      <c r="H7" s="8"/>
      <c r="I7" s="1"/>
    </row>
    <row r="8" spans="1:9" ht="16.2" x14ac:dyDescent="0.35">
      <c r="A8" s="9" t="s">
        <v>133</v>
      </c>
      <c r="B8" s="8"/>
      <c r="C8" s="8"/>
      <c r="D8" s="8"/>
      <c r="E8" s="8"/>
      <c r="F8" s="8"/>
      <c r="G8" s="8"/>
      <c r="H8" s="8"/>
      <c r="I8" s="1"/>
    </row>
    <row r="9" spans="1:9" ht="16.2" x14ac:dyDescent="0.35">
      <c r="A9" s="9" t="s">
        <v>182</v>
      </c>
      <c r="B9" s="8"/>
      <c r="C9" s="8"/>
      <c r="D9" s="8"/>
      <c r="E9" s="8"/>
      <c r="F9" s="8"/>
      <c r="G9" s="8"/>
      <c r="H9" s="8"/>
      <c r="I9" s="1"/>
    </row>
    <row r="10" spans="1:9" ht="16.2" x14ac:dyDescent="0.35">
      <c r="A10" s="9" t="s">
        <v>134</v>
      </c>
      <c r="B10" s="8"/>
      <c r="C10" s="8"/>
      <c r="D10" s="8"/>
      <c r="E10" s="8"/>
      <c r="F10" s="8"/>
      <c r="G10" s="8"/>
      <c r="H10" s="8"/>
      <c r="I10" s="1"/>
    </row>
    <row r="11" spans="1:9" ht="16.2" x14ac:dyDescent="0.35">
      <c r="A11" s="9"/>
      <c r="B11" s="8"/>
      <c r="C11" s="8"/>
      <c r="D11" s="8"/>
      <c r="E11" s="8"/>
      <c r="F11" s="8"/>
      <c r="G11" s="8"/>
      <c r="H11" s="8"/>
      <c r="I11" s="1"/>
    </row>
    <row r="12" spans="1:9" ht="16.8" thickBot="1" x14ac:dyDescent="0.4">
      <c r="A12" s="10"/>
      <c r="B12" s="11"/>
      <c r="C12" s="11"/>
      <c r="D12" s="11"/>
      <c r="E12" s="11"/>
      <c r="F12" s="11"/>
      <c r="G12" s="11"/>
      <c r="H12" s="11"/>
      <c r="I12" s="12"/>
    </row>
    <row r="13" spans="1:9" ht="16.2" x14ac:dyDescent="0.35">
      <c r="A13" s="13"/>
      <c r="B13" s="14" t="str">
        <f>A1</f>
        <v>Jar Test Program</v>
      </c>
      <c r="C13" s="15"/>
      <c r="D13" s="15"/>
      <c r="E13" s="15"/>
      <c r="F13" s="15"/>
      <c r="G13" s="15"/>
      <c r="H13" s="15"/>
      <c r="I13" s="1"/>
    </row>
    <row r="14" spans="1:9" ht="16.2" x14ac:dyDescent="0.35">
      <c r="A14" s="9"/>
      <c r="B14" s="16" t="s">
        <v>41</v>
      </c>
      <c r="C14" s="512" t="s">
        <v>522</v>
      </c>
      <c r="D14" s="16"/>
      <c r="E14" s="16"/>
      <c r="F14" s="16"/>
      <c r="G14" s="16"/>
      <c r="H14" s="16"/>
      <c r="I14" s="1"/>
    </row>
    <row r="15" spans="1:9" ht="16.2" x14ac:dyDescent="0.35">
      <c r="A15" s="9"/>
      <c r="B15" s="16" t="s">
        <v>338</v>
      </c>
      <c r="C15" s="16" t="s">
        <v>128</v>
      </c>
      <c r="D15" s="16"/>
      <c r="E15" s="16"/>
      <c r="F15" s="16"/>
      <c r="G15" s="16"/>
      <c r="H15" s="16"/>
      <c r="I15" s="1"/>
    </row>
    <row r="16" spans="1:9" ht="16.2" x14ac:dyDescent="0.35">
      <c r="A16" s="9"/>
      <c r="B16" s="16" t="s">
        <v>42</v>
      </c>
      <c r="C16" s="16" t="s">
        <v>43</v>
      </c>
      <c r="D16" s="16"/>
      <c r="E16" s="16"/>
      <c r="F16" s="16"/>
      <c r="G16" s="16"/>
      <c r="H16" s="16"/>
      <c r="I16" s="1"/>
    </row>
    <row r="17" spans="1:9" ht="16.2" x14ac:dyDescent="0.35">
      <c r="A17" s="9"/>
      <c r="B17" s="16" t="s">
        <v>44</v>
      </c>
      <c r="C17" s="16" t="s">
        <v>49</v>
      </c>
      <c r="D17" s="16"/>
      <c r="E17" s="16"/>
      <c r="F17" s="16"/>
      <c r="G17" s="16"/>
      <c r="H17" s="16"/>
      <c r="I17" s="1"/>
    </row>
    <row r="18" spans="1:9" ht="16.2" x14ac:dyDescent="0.35">
      <c r="A18" s="9"/>
      <c r="B18" s="16" t="s">
        <v>359</v>
      </c>
      <c r="C18" s="16"/>
      <c r="D18" s="16"/>
      <c r="E18" s="16"/>
      <c r="F18" s="16"/>
      <c r="G18" s="16"/>
      <c r="H18" s="16"/>
      <c r="I18" s="1"/>
    </row>
    <row r="19" spans="1:9" ht="16.2" x14ac:dyDescent="0.35">
      <c r="A19" s="9"/>
      <c r="B19" s="16"/>
      <c r="C19" s="16"/>
      <c r="D19" s="16"/>
      <c r="E19" s="16"/>
      <c r="F19" s="16"/>
      <c r="G19" s="16"/>
      <c r="H19" s="16"/>
      <c r="I19" s="1"/>
    </row>
    <row r="20" spans="1:9" ht="16.2" x14ac:dyDescent="0.35">
      <c r="A20" s="9" t="s">
        <v>45</v>
      </c>
      <c r="B20" s="16"/>
      <c r="C20" s="16" t="s">
        <v>46</v>
      </c>
      <c r="D20" s="16"/>
      <c r="E20" s="16"/>
      <c r="F20" s="16"/>
      <c r="G20" s="16"/>
      <c r="H20" s="16"/>
      <c r="I20" s="1"/>
    </row>
    <row r="21" spans="1:9" ht="16.2" x14ac:dyDescent="0.35">
      <c r="A21" s="17">
        <v>35991</v>
      </c>
      <c r="B21" s="16" t="s">
        <v>56</v>
      </c>
      <c r="C21" s="16"/>
      <c r="D21" s="16"/>
      <c r="E21" s="16"/>
      <c r="F21" s="16"/>
      <c r="G21" s="16"/>
      <c r="H21" s="16"/>
      <c r="I21" s="1"/>
    </row>
    <row r="22" spans="1:9" ht="16.2" x14ac:dyDescent="0.35">
      <c r="A22" s="17">
        <v>36361</v>
      </c>
      <c r="B22" s="16" t="s">
        <v>50</v>
      </c>
      <c r="C22" s="16"/>
      <c r="D22" s="16"/>
      <c r="E22" s="16"/>
      <c r="F22" s="16"/>
      <c r="G22" s="16"/>
      <c r="H22" s="16"/>
      <c r="I22" s="1"/>
    </row>
    <row r="23" spans="1:9" ht="16.2" x14ac:dyDescent="0.35">
      <c r="A23" s="17">
        <v>36368</v>
      </c>
      <c r="B23" s="16" t="s">
        <v>54</v>
      </c>
      <c r="C23" s="16"/>
      <c r="D23" s="16"/>
      <c r="E23" s="16"/>
      <c r="F23" s="16"/>
      <c r="G23" s="16"/>
      <c r="H23" s="16"/>
      <c r="I23" s="1"/>
    </row>
    <row r="24" spans="1:9" ht="16.2" x14ac:dyDescent="0.35">
      <c r="A24" s="17"/>
      <c r="B24" s="16" t="s">
        <v>55</v>
      </c>
      <c r="C24" s="16"/>
      <c r="D24" s="16"/>
      <c r="E24" s="16"/>
      <c r="F24" s="16"/>
      <c r="G24" s="16"/>
      <c r="H24" s="16"/>
      <c r="I24" s="1"/>
    </row>
    <row r="25" spans="1:9" ht="16.2" x14ac:dyDescent="0.35">
      <c r="A25" s="17">
        <v>36374</v>
      </c>
      <c r="B25" s="16" t="s">
        <v>63</v>
      </c>
      <c r="C25" s="16"/>
      <c r="D25" s="16"/>
      <c r="E25" s="16"/>
      <c r="F25" s="16"/>
      <c r="G25" s="16"/>
      <c r="H25" s="16"/>
      <c r="I25" s="1"/>
    </row>
    <row r="26" spans="1:9" ht="16.2" x14ac:dyDescent="0.35">
      <c r="A26" s="17">
        <v>36689</v>
      </c>
      <c r="B26" s="16" t="s">
        <v>127</v>
      </c>
      <c r="C26" s="16"/>
      <c r="D26" s="16"/>
      <c r="E26" s="16"/>
      <c r="F26" s="16"/>
      <c r="G26" s="16"/>
      <c r="H26" s="16"/>
      <c r="I26" s="1"/>
    </row>
    <row r="27" spans="1:9" ht="16.2" x14ac:dyDescent="0.35">
      <c r="A27" s="17">
        <v>36696</v>
      </c>
      <c r="B27" s="16" t="s">
        <v>135</v>
      </c>
      <c r="C27" s="16"/>
      <c r="D27" s="16"/>
      <c r="E27" s="16"/>
      <c r="F27" s="16"/>
      <c r="G27" s="16"/>
      <c r="H27" s="16"/>
      <c r="I27" s="1"/>
    </row>
    <row r="28" spans="1:9" ht="16.2" x14ac:dyDescent="0.35">
      <c r="A28" s="17">
        <v>37036</v>
      </c>
      <c r="B28" s="16" t="s">
        <v>154</v>
      </c>
      <c r="C28" s="16"/>
      <c r="D28" s="16"/>
      <c r="E28" s="16"/>
      <c r="F28" s="16"/>
      <c r="G28" s="16"/>
      <c r="H28" s="16"/>
      <c r="I28" s="1"/>
    </row>
    <row r="29" spans="1:9" ht="16.2" x14ac:dyDescent="0.35">
      <c r="A29" s="17">
        <v>37092</v>
      </c>
      <c r="B29" s="16" t="s">
        <v>181</v>
      </c>
      <c r="C29" s="16"/>
      <c r="D29" s="16"/>
      <c r="E29" s="16"/>
      <c r="F29" s="16"/>
      <c r="G29" s="16"/>
      <c r="H29" s="16"/>
      <c r="I29" s="1"/>
    </row>
    <row r="30" spans="1:9" ht="16.2" x14ac:dyDescent="0.35">
      <c r="A30" s="17">
        <v>37118</v>
      </c>
      <c r="B30" s="16" t="s">
        <v>184</v>
      </c>
      <c r="C30" s="16"/>
      <c r="D30" s="16"/>
      <c r="E30" s="16"/>
      <c r="F30" s="16"/>
      <c r="G30" s="16"/>
      <c r="H30" s="16"/>
      <c r="I30" s="1"/>
    </row>
    <row r="31" spans="1:9" ht="16.2" x14ac:dyDescent="0.35">
      <c r="A31" s="17">
        <v>37153</v>
      </c>
      <c r="B31" s="16" t="s">
        <v>188</v>
      </c>
      <c r="C31" s="16"/>
      <c r="D31" s="16"/>
      <c r="E31" s="16"/>
      <c r="F31" s="16"/>
      <c r="G31" s="16"/>
      <c r="H31" s="16"/>
      <c r="I31" s="1"/>
    </row>
    <row r="32" spans="1:9" ht="16.2" x14ac:dyDescent="0.35">
      <c r="A32" s="17">
        <v>37229</v>
      </c>
      <c r="B32" s="16" t="s">
        <v>189</v>
      </c>
      <c r="C32" s="16"/>
      <c r="D32" s="16"/>
      <c r="E32" s="16"/>
      <c r="F32" s="16"/>
      <c r="G32" s="16"/>
      <c r="H32" s="16"/>
      <c r="I32" s="1"/>
    </row>
    <row r="33" spans="1:9" ht="16.2" x14ac:dyDescent="0.35">
      <c r="A33" s="17">
        <v>37270</v>
      </c>
      <c r="B33" s="512" t="s">
        <v>523</v>
      </c>
      <c r="C33" s="16"/>
      <c r="D33" s="16"/>
      <c r="E33" s="16"/>
      <c r="F33" s="16"/>
      <c r="G33" s="16"/>
      <c r="H33" s="16"/>
      <c r="I33" s="1"/>
    </row>
    <row r="34" spans="1:9" ht="16.2" x14ac:dyDescent="0.35">
      <c r="A34" s="17">
        <v>37698</v>
      </c>
      <c r="B34" s="16" t="s">
        <v>362</v>
      </c>
      <c r="C34" s="16"/>
      <c r="D34" s="16"/>
      <c r="E34" s="16"/>
      <c r="F34" s="16"/>
      <c r="G34" s="16"/>
      <c r="H34" s="16"/>
      <c r="I34" s="1"/>
    </row>
    <row r="35" spans="1:9" ht="16.2" x14ac:dyDescent="0.35">
      <c r="A35" s="17">
        <v>37698</v>
      </c>
      <c r="B35" s="16" t="s">
        <v>361</v>
      </c>
      <c r="C35" s="16"/>
      <c r="D35" s="16"/>
      <c r="E35" s="16"/>
      <c r="F35" s="16"/>
      <c r="G35" s="16"/>
      <c r="H35" s="16"/>
      <c r="I35" s="1"/>
    </row>
    <row r="36" spans="1:9" ht="16.2" x14ac:dyDescent="0.35">
      <c r="A36" s="17">
        <v>37698</v>
      </c>
      <c r="B36" s="16" t="s">
        <v>326</v>
      </c>
      <c r="C36" s="16"/>
      <c r="D36" s="16"/>
      <c r="E36" s="16"/>
      <c r="F36" s="16"/>
      <c r="G36" s="16"/>
      <c r="H36" s="16"/>
      <c r="I36" s="1"/>
    </row>
    <row r="37" spans="1:9" ht="16.2" x14ac:dyDescent="0.35">
      <c r="A37" s="17"/>
      <c r="B37" s="16" t="s">
        <v>325</v>
      </c>
      <c r="C37" s="16"/>
      <c r="D37" s="16"/>
      <c r="E37" s="16"/>
      <c r="F37" s="16"/>
      <c r="G37" s="16"/>
      <c r="H37" s="16"/>
      <c r="I37" s="1"/>
    </row>
    <row r="38" spans="1:9" ht="16.2" x14ac:dyDescent="0.35">
      <c r="A38" s="17">
        <v>37712</v>
      </c>
      <c r="B38" s="16" t="s">
        <v>360</v>
      </c>
      <c r="C38" s="16"/>
      <c r="D38" s="16"/>
      <c r="E38" s="16"/>
      <c r="F38" s="16"/>
      <c r="G38" s="16"/>
      <c r="H38" s="16"/>
      <c r="I38" s="1"/>
    </row>
    <row r="39" spans="1:9" ht="16.2" x14ac:dyDescent="0.35">
      <c r="A39" s="17">
        <v>38225</v>
      </c>
      <c r="B39" s="16" t="s">
        <v>363</v>
      </c>
      <c r="C39" s="16"/>
      <c r="D39" s="16"/>
      <c r="E39" s="16"/>
      <c r="F39" s="16"/>
      <c r="G39" s="16"/>
      <c r="H39" s="16"/>
      <c r="I39" s="1"/>
    </row>
    <row r="40" spans="1:9" ht="16.2" x14ac:dyDescent="0.35">
      <c r="A40" s="17">
        <v>38481</v>
      </c>
      <c r="B40" s="16" t="s">
        <v>382</v>
      </c>
      <c r="C40" s="16"/>
      <c r="D40" s="16"/>
      <c r="E40" s="16"/>
      <c r="F40" s="16"/>
      <c r="G40" s="16"/>
      <c r="H40" s="16"/>
      <c r="I40" s="1"/>
    </row>
    <row r="41" spans="1:9" ht="16.2" x14ac:dyDescent="0.35">
      <c r="A41" s="17">
        <v>39549</v>
      </c>
      <c r="B41" s="16" t="s">
        <v>385</v>
      </c>
      <c r="C41" s="16"/>
      <c r="D41" s="16"/>
      <c r="E41" s="16"/>
      <c r="F41" s="16"/>
      <c r="G41" s="16"/>
      <c r="H41" s="16"/>
      <c r="I41" s="1"/>
    </row>
    <row r="42" spans="1:9" ht="16.2" x14ac:dyDescent="0.35">
      <c r="A42" s="17"/>
      <c r="B42" s="16" t="s">
        <v>405</v>
      </c>
      <c r="C42" s="16"/>
      <c r="D42" s="16"/>
      <c r="E42" s="16"/>
      <c r="F42" s="16"/>
      <c r="G42" s="16"/>
      <c r="H42" s="16"/>
      <c r="I42" s="1"/>
    </row>
    <row r="43" spans="1:9" ht="16.2" x14ac:dyDescent="0.35">
      <c r="A43" s="17">
        <v>39639</v>
      </c>
      <c r="B43" s="16" t="s">
        <v>407</v>
      </c>
      <c r="C43" s="16"/>
      <c r="D43" s="16"/>
      <c r="E43" s="16"/>
      <c r="F43" s="16"/>
      <c r="G43" s="16"/>
      <c r="H43" s="16"/>
      <c r="I43" s="1"/>
    </row>
    <row r="44" spans="1:9" ht="16.2" x14ac:dyDescent="0.35">
      <c r="A44" s="17"/>
      <c r="B44" s="512" t="s">
        <v>413</v>
      </c>
      <c r="C44" s="16"/>
      <c r="D44" s="16"/>
      <c r="E44" s="16"/>
      <c r="F44" s="16"/>
      <c r="G44" s="16"/>
      <c r="H44" s="16"/>
      <c r="I44" s="1"/>
    </row>
    <row r="45" spans="1:9" ht="16.2" x14ac:dyDescent="0.35">
      <c r="A45" s="17">
        <v>40028</v>
      </c>
      <c r="B45" s="512" t="s">
        <v>433</v>
      </c>
      <c r="C45" s="16"/>
      <c r="D45" s="16"/>
      <c r="E45" s="16"/>
      <c r="F45" s="16"/>
      <c r="G45" s="16"/>
      <c r="H45" s="16"/>
      <c r="I45" s="1"/>
    </row>
    <row r="46" spans="1:9" ht="16.2" x14ac:dyDescent="0.35">
      <c r="A46" s="17"/>
      <c r="B46" s="512" t="s">
        <v>448</v>
      </c>
      <c r="C46" s="16"/>
      <c r="D46" s="16"/>
      <c r="E46" s="16"/>
      <c r="F46" s="16"/>
      <c r="G46" s="16"/>
      <c r="H46" s="16"/>
      <c r="I46" s="1"/>
    </row>
    <row r="47" spans="1:9" ht="16.2" x14ac:dyDescent="0.35">
      <c r="A47" s="17">
        <v>40028</v>
      </c>
      <c r="B47" s="512" t="s">
        <v>449</v>
      </c>
      <c r="C47" s="16"/>
      <c r="D47" s="16"/>
      <c r="E47" s="16"/>
      <c r="F47" s="16"/>
      <c r="G47" s="16"/>
      <c r="H47" s="16"/>
      <c r="I47" s="1"/>
    </row>
    <row r="48" spans="1:9" ht="16.2" x14ac:dyDescent="0.35">
      <c r="A48" s="17"/>
      <c r="B48" s="512" t="s">
        <v>450</v>
      </c>
      <c r="C48" s="16"/>
      <c r="D48" s="16"/>
      <c r="E48" s="16"/>
      <c r="F48" s="16"/>
      <c r="G48" s="16"/>
      <c r="H48" s="16"/>
      <c r="I48" s="1"/>
    </row>
    <row r="49" spans="1:9" ht="16.2" x14ac:dyDescent="0.35">
      <c r="A49" s="17">
        <v>40227</v>
      </c>
      <c r="B49" s="512" t="s">
        <v>451</v>
      </c>
      <c r="C49" s="16"/>
      <c r="D49" s="16"/>
      <c r="E49" s="16"/>
      <c r="F49" s="16"/>
      <c r="G49" s="16"/>
      <c r="H49" s="16"/>
      <c r="I49" s="1"/>
    </row>
    <row r="50" spans="1:9" ht="17.25" customHeight="1" x14ac:dyDescent="0.35">
      <c r="A50" s="17"/>
      <c r="B50" s="512" t="s">
        <v>454</v>
      </c>
      <c r="C50" s="16"/>
      <c r="D50" s="16"/>
      <c r="E50" s="16"/>
      <c r="F50" s="16"/>
      <c r="G50" s="16"/>
      <c r="H50" s="16"/>
      <c r="I50" s="1"/>
    </row>
    <row r="51" spans="1:9" ht="17.25" customHeight="1" x14ac:dyDescent="0.35">
      <c r="A51" s="526">
        <v>40359</v>
      </c>
      <c r="B51" s="512" t="s">
        <v>452</v>
      </c>
      <c r="C51" s="512"/>
      <c r="D51" s="512"/>
      <c r="E51" s="512"/>
      <c r="F51" s="512"/>
      <c r="G51" s="512"/>
      <c r="H51" s="512"/>
      <c r="I51" s="1"/>
    </row>
    <row r="52" spans="1:9" ht="16.2" x14ac:dyDescent="0.35">
      <c r="A52" s="526"/>
      <c r="B52" s="512" t="s">
        <v>453</v>
      </c>
      <c r="C52" s="512"/>
      <c r="D52" s="512"/>
      <c r="E52" s="512"/>
      <c r="F52" s="512"/>
      <c r="G52" s="512"/>
      <c r="H52" s="512"/>
      <c r="I52" s="1"/>
    </row>
    <row r="53" spans="1:9" ht="16.2" x14ac:dyDescent="0.35">
      <c r="A53" s="526">
        <v>40451</v>
      </c>
      <c r="B53" s="512" t="s">
        <v>455</v>
      </c>
      <c r="C53" s="512"/>
      <c r="D53" s="512"/>
      <c r="E53" s="512"/>
      <c r="F53" s="512"/>
      <c r="G53" s="512"/>
      <c r="H53" s="512"/>
      <c r="I53" s="1"/>
    </row>
    <row r="54" spans="1:9" ht="16.2" x14ac:dyDescent="0.35">
      <c r="A54" s="526">
        <v>43020</v>
      </c>
      <c r="B54" s="512" t="s">
        <v>521</v>
      </c>
      <c r="C54" s="512"/>
      <c r="D54" s="512"/>
      <c r="E54" s="512"/>
      <c r="F54" s="512"/>
      <c r="G54" s="512"/>
      <c r="H54" s="512"/>
      <c r="I54" s="1"/>
    </row>
    <row r="55" spans="1:9" ht="16.2" x14ac:dyDescent="0.35">
      <c r="A55" s="526"/>
      <c r="B55" s="512" t="s">
        <v>524</v>
      </c>
      <c r="C55" s="512"/>
      <c r="D55" s="512"/>
      <c r="E55" s="512"/>
      <c r="F55" s="512"/>
      <c r="G55" s="512"/>
      <c r="H55" s="512"/>
      <c r="I55" s="1"/>
    </row>
    <row r="56" spans="1:9" ht="16.2" x14ac:dyDescent="0.35">
      <c r="A56" s="526"/>
      <c r="B56" s="512" t="s">
        <v>543</v>
      </c>
      <c r="C56" s="512"/>
      <c r="D56" s="512"/>
      <c r="E56" s="512"/>
      <c r="F56" s="512"/>
      <c r="G56" s="512"/>
      <c r="H56" s="512"/>
      <c r="I56" s="1"/>
    </row>
    <row r="57" spans="1:9" ht="16.8" thickBot="1" x14ac:dyDescent="0.4">
      <c r="A57" s="18" t="s">
        <v>47</v>
      </c>
      <c r="B57" s="19"/>
      <c r="C57" s="19"/>
      <c r="D57" s="19"/>
      <c r="E57" s="19"/>
      <c r="F57" s="19"/>
      <c r="G57" s="19"/>
      <c r="H57" s="19"/>
      <c r="I57" s="1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B1:O44"/>
  <sheetViews>
    <sheetView topLeftCell="A4" zoomScaleNormal="100" workbookViewId="0">
      <selection activeCell="D17" sqref="D17"/>
    </sheetView>
  </sheetViews>
  <sheetFormatPr defaultColWidth="8.8984375" defaultRowHeight="13.8" x14ac:dyDescent="0.25"/>
  <cols>
    <col min="1" max="1" width="3.09765625" style="194" customWidth="1"/>
    <col min="2" max="2" width="26.5" style="194" customWidth="1"/>
    <col min="3" max="4" width="24.3984375" style="194" customWidth="1"/>
    <col min="5" max="16384" width="8.8984375" style="194"/>
  </cols>
  <sheetData>
    <row r="1" spans="2:7" ht="20.100000000000001" customHeight="1" x14ac:dyDescent="0.25">
      <c r="B1" s="193" t="s">
        <v>446</v>
      </c>
    </row>
    <row r="2" spans="2:7" ht="20.100000000000001" customHeight="1" x14ac:dyDescent="0.25"/>
    <row r="3" spans="2:7" ht="15" customHeight="1" x14ac:dyDescent="0.25">
      <c r="B3" s="195" t="s">
        <v>142</v>
      </c>
      <c r="C3" s="195" t="s">
        <v>141</v>
      </c>
      <c r="D3" s="195"/>
      <c r="E3" s="195" t="s">
        <v>140</v>
      </c>
    </row>
    <row r="4" spans="2:7" ht="15" customHeight="1" x14ac:dyDescent="0.25">
      <c r="B4" s="196" t="s">
        <v>427</v>
      </c>
      <c r="C4" s="513"/>
      <c r="D4" s="513"/>
      <c r="E4" s="195"/>
      <c r="G4" s="204"/>
    </row>
    <row r="5" spans="2:7" ht="15" customHeight="1" x14ac:dyDescent="0.25">
      <c r="B5" s="196" t="s">
        <v>482</v>
      </c>
      <c r="C5" s="198"/>
      <c r="D5" s="198"/>
      <c r="E5" s="196"/>
      <c r="F5" s="527">
        <v>0.85</v>
      </c>
      <c r="G5" s="194" t="s">
        <v>500</v>
      </c>
    </row>
    <row r="6" spans="2:7" ht="15" customHeight="1" x14ac:dyDescent="0.25">
      <c r="B6" s="196" t="s">
        <v>438</v>
      </c>
      <c r="C6" s="518"/>
      <c r="D6" s="518"/>
      <c r="E6" s="196" t="s">
        <v>160</v>
      </c>
      <c r="F6" s="527">
        <f>3/8</f>
        <v>0.375</v>
      </c>
      <c r="G6" s="194" t="s">
        <v>456</v>
      </c>
    </row>
    <row r="7" spans="2:7" ht="15" customHeight="1" x14ac:dyDescent="0.25">
      <c r="B7" s="196" t="s">
        <v>439</v>
      </c>
      <c r="C7" s="199"/>
      <c r="D7" s="199"/>
      <c r="E7" s="196" t="s">
        <v>440</v>
      </c>
      <c r="F7" s="527">
        <f>F6/12</f>
        <v>3.125E-2</v>
      </c>
      <c r="G7" s="194" t="s">
        <v>457</v>
      </c>
    </row>
    <row r="8" spans="2:7" ht="15" customHeight="1" x14ac:dyDescent="0.25">
      <c r="B8" s="196" t="s">
        <v>475</v>
      </c>
      <c r="C8" s="199"/>
      <c r="D8" s="199"/>
      <c r="E8" s="196" t="s">
        <v>160</v>
      </c>
      <c r="F8" s="527">
        <f>PI()*(F7/2)^2</f>
        <v>7.6699039394282058E-4</v>
      </c>
      <c r="G8" s="194" t="s">
        <v>459</v>
      </c>
    </row>
    <row r="9" spans="2:7" ht="15" customHeight="1" x14ac:dyDescent="0.25">
      <c r="B9" s="196" t="s">
        <v>441</v>
      </c>
      <c r="C9" s="520" t="e">
        <f>C7/60/7.48/C6</f>
        <v>#DIV/0!</v>
      </c>
      <c r="D9" s="520" t="e">
        <f>D7/60/7.48/D6</f>
        <v>#DIV/0!</v>
      </c>
      <c r="E9" s="196" t="s">
        <v>442</v>
      </c>
      <c r="F9" s="527">
        <f>F8*72</f>
        <v>5.5223308363883082E-2</v>
      </c>
      <c r="G9" s="194" t="s">
        <v>458</v>
      </c>
    </row>
    <row r="10" spans="2:7" ht="15" hidden="1" customHeight="1" x14ac:dyDescent="0.25">
      <c r="B10" s="196" t="s">
        <v>483</v>
      </c>
      <c r="C10" s="519" t="e">
        <f>C5*C6*C9^3*C13/(2*32.2*550)</f>
        <v>#DIV/0!</v>
      </c>
      <c r="D10" s="519" t="e">
        <f>D5*D6*D9^3*D13/(2*32.2*550)</f>
        <v>#DIV/0!</v>
      </c>
      <c r="E10" s="196" t="s">
        <v>443</v>
      </c>
      <c r="F10" s="204"/>
    </row>
    <row r="11" spans="2:7" ht="15" customHeight="1" x14ac:dyDescent="0.25">
      <c r="B11" s="196" t="s">
        <v>445</v>
      </c>
      <c r="C11" s="199"/>
      <c r="D11" s="199"/>
      <c r="E11" s="196" t="s">
        <v>26</v>
      </c>
      <c r="F11" s="194" t="s">
        <v>480</v>
      </c>
    </row>
    <row r="12" spans="2:7" ht="15" customHeight="1" x14ac:dyDescent="0.25">
      <c r="B12" s="196" t="s">
        <v>444</v>
      </c>
      <c r="C12" s="521">
        <f>C8*C11</f>
        <v>0</v>
      </c>
      <c r="D12" s="521">
        <f>D8*D11</f>
        <v>0</v>
      </c>
      <c r="E12" s="196" t="s">
        <v>32</v>
      </c>
      <c r="F12" s="204"/>
    </row>
    <row r="13" spans="2:7" ht="15" hidden="1" customHeight="1" x14ac:dyDescent="0.25">
      <c r="B13" s="196" t="s">
        <v>157</v>
      </c>
      <c r="C13" s="522">
        <v>62.4</v>
      </c>
      <c r="D13" s="522">
        <v>62.4</v>
      </c>
      <c r="E13" s="196" t="s">
        <v>156</v>
      </c>
    </row>
    <row r="14" spans="2:7" ht="15" hidden="1" customHeight="1" x14ac:dyDescent="0.25">
      <c r="B14" s="196" t="s">
        <v>481</v>
      </c>
      <c r="C14" s="523">
        <f>DataEntry!E6</f>
        <v>0</v>
      </c>
      <c r="D14" s="523">
        <f>DataEntry!E6</f>
        <v>0</v>
      </c>
      <c r="E14" s="196" t="s">
        <v>89</v>
      </c>
    </row>
    <row r="15" spans="2:7" ht="15" hidden="1" customHeight="1" x14ac:dyDescent="0.25">
      <c r="B15" s="196" t="s">
        <v>139</v>
      </c>
      <c r="C15" s="524">
        <f>1.3391*10^-8*C14^2-1.0818*10^-6*C14+3.7125*10^-5</f>
        <v>3.7125000000000001E-5</v>
      </c>
      <c r="D15" s="524">
        <f>1.3391*10^-8*D14^2-1.0818*10^-6*D14+3.7125*10^-5</f>
        <v>3.7125000000000001E-5</v>
      </c>
      <c r="E15" s="196" t="s">
        <v>163</v>
      </c>
    </row>
    <row r="16" spans="2:7" ht="15" customHeight="1" x14ac:dyDescent="0.25">
      <c r="B16" s="202" t="s">
        <v>484</v>
      </c>
      <c r="C16" s="525">
        <f>IF(C6="",,(C10*550/C15/C12)^0.5)</f>
        <v>0</v>
      </c>
      <c r="D16" s="525">
        <f>IF(D6="",,(D10*550/D15/D12)^0.5)</f>
        <v>0</v>
      </c>
      <c r="E16" s="202" t="s">
        <v>257</v>
      </c>
      <c r="F16" s="204"/>
    </row>
    <row r="17" spans="2:15" ht="15" customHeight="1" x14ac:dyDescent="0.25">
      <c r="B17" s="196" t="s">
        <v>477</v>
      </c>
      <c r="C17" s="199"/>
      <c r="D17" s="199"/>
      <c r="E17" s="202" t="s">
        <v>91</v>
      </c>
    </row>
    <row r="18" spans="2:15" ht="15" customHeight="1" x14ac:dyDescent="0.25">
      <c r="B18" s="202" t="s">
        <v>485</v>
      </c>
      <c r="C18" s="504" t="e">
        <f>C12*7.48/(C17*10^6/1440/60)</f>
        <v>#DIV/0!</v>
      </c>
      <c r="D18" s="504" t="e">
        <f>D12*7.48/(D17*10^6/1440/60)</f>
        <v>#DIV/0!</v>
      </c>
      <c r="E18" s="202" t="s">
        <v>478</v>
      </c>
    </row>
    <row r="19" spans="2:15" ht="15" customHeight="1" x14ac:dyDescent="0.25">
      <c r="B19" s="202" t="s">
        <v>479</v>
      </c>
      <c r="C19" s="537" t="e">
        <f>C16*C18</f>
        <v>#DIV/0!</v>
      </c>
      <c r="D19" s="537" t="e">
        <f>D16*D18</f>
        <v>#DIV/0!</v>
      </c>
      <c r="E19" s="202"/>
    </row>
    <row r="20" spans="2:15" ht="15" customHeight="1" x14ac:dyDescent="0.25">
      <c r="C20" s="536"/>
      <c r="D20" s="536"/>
      <c r="E20" s="536"/>
    </row>
    <row r="21" spans="2:15" ht="15" customHeight="1" x14ac:dyDescent="0.25">
      <c r="B21" s="204" t="s">
        <v>263</v>
      </c>
    </row>
    <row r="22" spans="2:15" ht="15" customHeight="1" x14ac:dyDescent="0.25">
      <c r="B22" s="204" t="s">
        <v>216</v>
      </c>
    </row>
    <row r="23" spans="2:15" ht="15" customHeight="1" x14ac:dyDescent="0.25">
      <c r="B23" s="204" t="s">
        <v>215</v>
      </c>
    </row>
    <row r="24" spans="2:15" ht="15" customHeight="1" x14ac:dyDescent="0.25"/>
    <row r="28" spans="2:15" ht="14.4" thickBot="1" x14ac:dyDescent="0.3">
      <c r="E28" s="194" t="s">
        <v>474</v>
      </c>
    </row>
    <row r="29" spans="2:15" ht="16.2" customHeight="1" x14ac:dyDescent="0.25">
      <c r="E29" s="793" t="s">
        <v>468</v>
      </c>
      <c r="F29" s="794"/>
      <c r="G29" s="794"/>
      <c r="H29" s="794"/>
      <c r="I29" s="794"/>
      <c r="J29" s="794"/>
      <c r="K29" s="794"/>
      <c r="L29" s="794"/>
      <c r="M29" s="794"/>
      <c r="N29" s="794"/>
      <c r="O29" s="795"/>
    </row>
    <row r="30" spans="2:15" ht="16.2" customHeight="1" x14ac:dyDescent="0.35">
      <c r="E30" s="796" t="s">
        <v>469</v>
      </c>
      <c r="F30" s="797"/>
      <c r="G30" s="797"/>
      <c r="H30" s="797"/>
      <c r="I30" s="797"/>
      <c r="J30" s="797"/>
      <c r="K30" s="528"/>
      <c r="L30" s="528"/>
      <c r="M30" s="529"/>
      <c r="N30" s="529"/>
      <c r="O30" s="530"/>
    </row>
    <row r="31" spans="2:15" ht="16.2" customHeight="1" x14ac:dyDescent="0.35">
      <c r="E31" s="796"/>
      <c r="F31" s="797"/>
      <c r="G31" s="797"/>
      <c r="H31" s="797"/>
      <c r="I31" s="797"/>
      <c r="J31" s="797"/>
      <c r="K31" s="531"/>
      <c r="L31" s="531"/>
      <c r="M31" s="529"/>
      <c r="N31" s="529"/>
      <c r="O31" s="530"/>
    </row>
    <row r="32" spans="2:15" ht="16.2" customHeight="1" thickBot="1" x14ac:dyDescent="0.4">
      <c r="E32" s="796"/>
      <c r="F32" s="797"/>
      <c r="G32" s="797"/>
      <c r="H32" s="797"/>
      <c r="I32" s="797"/>
      <c r="J32" s="797"/>
      <c r="K32" s="534" t="s">
        <v>471</v>
      </c>
      <c r="L32" s="531"/>
      <c r="M32" s="529"/>
      <c r="N32" s="529"/>
      <c r="O32" s="530"/>
    </row>
    <row r="33" spans="5:15" ht="16.2" customHeight="1" x14ac:dyDescent="0.35">
      <c r="E33" s="796"/>
      <c r="F33" s="797"/>
      <c r="G33" s="797"/>
      <c r="H33" s="797"/>
      <c r="I33" s="797"/>
      <c r="J33" s="797"/>
      <c r="K33" s="531"/>
      <c r="L33" s="531"/>
      <c r="M33" s="529"/>
      <c r="N33" s="529"/>
      <c r="O33" s="530"/>
    </row>
    <row r="34" spans="5:15" ht="16.2" customHeight="1" x14ac:dyDescent="0.35">
      <c r="E34" s="796"/>
      <c r="F34" s="797"/>
      <c r="G34" s="797"/>
      <c r="H34" s="797"/>
      <c r="I34" s="797"/>
      <c r="J34" s="797"/>
      <c r="K34" s="531"/>
      <c r="L34" s="531"/>
      <c r="M34" s="529"/>
      <c r="N34" s="529"/>
      <c r="O34" s="530"/>
    </row>
    <row r="35" spans="5:15" ht="16.2" customHeight="1" x14ac:dyDescent="0.35">
      <c r="E35" s="796"/>
      <c r="F35" s="797"/>
      <c r="G35" s="797"/>
      <c r="H35" s="797"/>
      <c r="I35" s="797"/>
      <c r="J35" s="797"/>
      <c r="K35" s="531"/>
      <c r="L35" s="531"/>
      <c r="M35" s="529"/>
      <c r="N35" s="529"/>
      <c r="O35" s="530"/>
    </row>
    <row r="36" spans="5:15" ht="16.2" customHeight="1" x14ac:dyDescent="0.35">
      <c r="E36" s="796"/>
      <c r="F36" s="797"/>
      <c r="G36" s="797"/>
      <c r="H36" s="797"/>
      <c r="I36" s="797"/>
      <c r="J36" s="797"/>
      <c r="K36" s="531"/>
      <c r="L36" s="531"/>
      <c r="M36" s="529"/>
      <c r="N36" s="529"/>
      <c r="O36" s="530"/>
    </row>
    <row r="37" spans="5:15" ht="16.2" customHeight="1" x14ac:dyDescent="0.35">
      <c r="E37" s="796"/>
      <c r="F37" s="797"/>
      <c r="G37" s="797"/>
      <c r="H37" s="797"/>
      <c r="I37" s="797"/>
      <c r="J37" s="797"/>
      <c r="K37" s="531"/>
      <c r="L37" s="531"/>
      <c r="M37" s="529"/>
      <c r="N37" s="529"/>
      <c r="O37" s="530"/>
    </row>
    <row r="38" spans="5:15" ht="16.2" customHeight="1" x14ac:dyDescent="0.35">
      <c r="E38" s="796"/>
      <c r="F38" s="797"/>
      <c r="G38" s="797"/>
      <c r="H38" s="797"/>
      <c r="I38" s="797"/>
      <c r="J38" s="797"/>
      <c r="K38" s="531"/>
      <c r="L38" s="531"/>
      <c r="M38" s="529"/>
      <c r="N38" s="529"/>
      <c r="O38" s="530"/>
    </row>
    <row r="39" spans="5:15" ht="16.2" customHeight="1" x14ac:dyDescent="0.35">
      <c r="E39" s="796"/>
      <c r="F39" s="797"/>
      <c r="G39" s="797"/>
      <c r="H39" s="797"/>
      <c r="I39" s="797"/>
      <c r="J39" s="797"/>
      <c r="K39" s="531"/>
      <c r="L39" s="531"/>
      <c r="M39" s="529"/>
      <c r="N39" s="529"/>
      <c r="O39" s="530"/>
    </row>
    <row r="40" spans="5:15" ht="16.2" customHeight="1" x14ac:dyDescent="0.35">
      <c r="E40" s="796"/>
      <c r="F40" s="797"/>
      <c r="G40" s="797"/>
      <c r="H40" s="797"/>
      <c r="I40" s="797"/>
      <c r="J40" s="797"/>
      <c r="K40" s="531"/>
      <c r="L40" s="531"/>
      <c r="M40" s="529"/>
      <c r="N40" s="529"/>
      <c r="O40" s="530"/>
    </row>
    <row r="41" spans="5:15" ht="16.2" customHeight="1" x14ac:dyDescent="0.35">
      <c r="E41" s="796"/>
      <c r="F41" s="797"/>
      <c r="G41" s="797"/>
      <c r="H41" s="797"/>
      <c r="I41" s="797"/>
      <c r="J41" s="797"/>
      <c r="K41" s="531"/>
      <c r="L41" s="531"/>
      <c r="M41" s="529"/>
      <c r="N41" s="529"/>
      <c r="O41" s="530"/>
    </row>
    <row r="42" spans="5:15" ht="16.2" customHeight="1" x14ac:dyDescent="0.35">
      <c r="E42" s="796"/>
      <c r="F42" s="797"/>
      <c r="G42" s="797"/>
      <c r="H42" s="797"/>
      <c r="I42" s="797"/>
      <c r="J42" s="797"/>
      <c r="K42" s="531"/>
      <c r="L42" s="531"/>
      <c r="M42" s="529"/>
      <c r="N42" s="529"/>
      <c r="O42" s="530"/>
    </row>
    <row r="43" spans="5:15" ht="16.2" customHeight="1" x14ac:dyDescent="0.35">
      <c r="E43" s="796"/>
      <c r="F43" s="797"/>
      <c r="G43" s="797"/>
      <c r="H43" s="797"/>
      <c r="I43" s="797"/>
      <c r="J43" s="797"/>
      <c r="K43" s="531"/>
      <c r="L43" s="531"/>
      <c r="M43" s="529"/>
      <c r="N43" s="529"/>
      <c r="O43" s="530"/>
    </row>
    <row r="44" spans="5:15" ht="16.2" customHeight="1" thickBot="1" x14ac:dyDescent="0.4">
      <c r="E44" s="798"/>
      <c r="F44" s="799"/>
      <c r="G44" s="799"/>
      <c r="H44" s="799"/>
      <c r="I44" s="799"/>
      <c r="J44" s="799"/>
      <c r="K44" s="534" t="s">
        <v>472</v>
      </c>
      <c r="L44" s="532"/>
      <c r="M44" s="535">
        <v>2.3090000000000002</v>
      </c>
      <c r="N44" s="534" t="s">
        <v>473</v>
      </c>
      <c r="O44" s="533"/>
    </row>
  </sheetData>
  <mergeCells count="2">
    <mergeCell ref="E29:O29"/>
    <mergeCell ref="E30:J44"/>
  </mergeCells>
  <pageMargins left="0.75" right="0.75" top="1" bottom="1" header="0.5" footer="0.5"/>
  <pageSetup scale="88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111"/>
  <sheetViews>
    <sheetView showGridLines="0" zoomScaleNormal="100" workbookViewId="0">
      <selection activeCell="D19" sqref="D19"/>
    </sheetView>
  </sheetViews>
  <sheetFormatPr defaultColWidth="7.09765625" defaultRowHeight="13.8" x14ac:dyDescent="0.25"/>
  <cols>
    <col min="1" max="1" width="2.796875" style="207" customWidth="1"/>
    <col min="2" max="2" width="13.19921875" style="207" customWidth="1"/>
    <col min="3" max="3" width="7.19921875" style="208" customWidth="1"/>
    <col min="4" max="4" width="20.796875" style="208" customWidth="1"/>
    <col min="5" max="5" width="11.5" style="208" customWidth="1"/>
    <col min="6" max="8" width="7.09765625" style="208" customWidth="1"/>
    <col min="9" max="9" width="13.09765625" style="208" customWidth="1"/>
    <col min="10" max="10" width="9.59765625" style="208" bestFit="1" customWidth="1"/>
    <col min="11" max="16384" width="7.09765625" style="208"/>
  </cols>
  <sheetData>
    <row r="1" spans="2:10" ht="20.100000000000001" customHeight="1" x14ac:dyDescent="0.25">
      <c r="B1" s="193" t="s">
        <v>217</v>
      </c>
    </row>
    <row r="2" spans="2:10" ht="20.100000000000001" customHeight="1" x14ac:dyDescent="0.25"/>
    <row r="3" spans="2:10" ht="15" customHeight="1" x14ac:dyDescent="0.25">
      <c r="B3" s="803" t="s">
        <v>142</v>
      </c>
      <c r="C3" s="803"/>
      <c r="D3" s="195" t="s">
        <v>141</v>
      </c>
      <c r="E3" s="195" t="s">
        <v>140</v>
      </c>
      <c r="F3" s="472" t="s">
        <v>227</v>
      </c>
    </row>
    <row r="4" spans="2:10" ht="15" customHeight="1" x14ac:dyDescent="0.25">
      <c r="B4" s="800" t="s">
        <v>427</v>
      </c>
      <c r="C4" s="800"/>
      <c r="D4" s="514"/>
      <c r="E4" s="515"/>
      <c r="F4" s="221" t="s">
        <v>429</v>
      </c>
    </row>
    <row r="5" spans="2:10" ht="15" customHeight="1" x14ac:dyDescent="0.25">
      <c r="B5" s="800" t="s">
        <v>137</v>
      </c>
      <c r="C5" s="800"/>
      <c r="D5" s="198"/>
      <c r="E5" s="210" t="s">
        <v>26</v>
      </c>
      <c r="F5" s="473" t="s">
        <v>258</v>
      </c>
    </row>
    <row r="6" spans="2:10" ht="15" customHeight="1" x14ac:dyDescent="0.25">
      <c r="B6" s="800" t="s">
        <v>144</v>
      </c>
      <c r="C6" s="800"/>
      <c r="D6" s="199"/>
      <c r="E6" s="210" t="s">
        <v>149</v>
      </c>
      <c r="J6" s="211"/>
    </row>
    <row r="7" spans="2:10" ht="15" customHeight="1" x14ac:dyDescent="0.25">
      <c r="B7" s="800" t="s">
        <v>138</v>
      </c>
      <c r="C7" s="800"/>
      <c r="D7" s="197"/>
      <c r="E7" s="210" t="s">
        <v>32</v>
      </c>
      <c r="F7" s="473"/>
      <c r="J7" s="211"/>
    </row>
    <row r="8" spans="2:10" ht="15" customHeight="1" x14ac:dyDescent="0.25">
      <c r="B8" s="210" t="s">
        <v>157</v>
      </c>
      <c r="C8" s="212"/>
      <c r="D8" s="200">
        <v>62.4</v>
      </c>
      <c r="E8" s="210" t="s">
        <v>156</v>
      </c>
      <c r="F8" s="209"/>
      <c r="J8" s="213"/>
    </row>
    <row r="9" spans="2:10" ht="15" customHeight="1" x14ac:dyDescent="0.25">
      <c r="B9" s="214" t="s">
        <v>158</v>
      </c>
      <c r="C9" s="215"/>
      <c r="D9" s="474">
        <v>32.200000000000003</v>
      </c>
      <c r="E9" s="216" t="s">
        <v>159</v>
      </c>
      <c r="F9" s="209"/>
      <c r="J9" s="213"/>
    </row>
    <row r="10" spans="2:10" ht="15" customHeight="1" x14ac:dyDescent="0.25">
      <c r="B10" s="800" t="s">
        <v>165</v>
      </c>
      <c r="C10" s="800"/>
      <c r="D10" s="201">
        <f>DataEntry!E6</f>
        <v>0</v>
      </c>
      <c r="E10" s="210" t="s">
        <v>89</v>
      </c>
    </row>
    <row r="11" spans="2:10" ht="15" customHeight="1" x14ac:dyDescent="0.25">
      <c r="B11" s="210" t="s">
        <v>139</v>
      </c>
      <c r="C11" s="217"/>
      <c r="D11" s="178">
        <f>1.3391*10^-8*D10^2-1.0818*10^-6*D10+3.7125*10^-5</f>
        <v>3.7125000000000001E-5</v>
      </c>
      <c r="E11" s="210" t="s">
        <v>163</v>
      </c>
    </row>
    <row r="12" spans="2:10" ht="15" customHeight="1" x14ac:dyDescent="0.25">
      <c r="C12" s="215"/>
      <c r="D12" s="179"/>
      <c r="E12" s="215"/>
    </row>
    <row r="13" spans="2:10" ht="15" customHeight="1" x14ac:dyDescent="0.25">
      <c r="B13" s="801" t="s">
        <v>218</v>
      </c>
      <c r="C13" s="802"/>
      <c r="D13" s="218" t="s">
        <v>219</v>
      </c>
      <c r="E13" s="218" t="str">
        <f>"G @ "&amp;D10&amp;" C"</f>
        <v>G @ 0 C</v>
      </c>
    </row>
    <row r="14" spans="2:10" ht="15" customHeight="1" x14ac:dyDescent="0.25">
      <c r="B14" s="236" t="s">
        <v>220</v>
      </c>
      <c r="C14" s="242">
        <v>0</v>
      </c>
      <c r="D14" s="243">
        <v>0</v>
      </c>
      <c r="E14" s="475" t="str">
        <f>IF($D$7="","",(($D$6*($D$8/$D$9)*$D$5^5*(D14/60)^3)/($D$11*$D$7))^0.5)</f>
        <v/>
      </c>
    </row>
    <row r="15" spans="2:10" ht="15" customHeight="1" x14ac:dyDescent="0.25">
      <c r="B15" s="219"/>
      <c r="C15" s="245">
        <f>IF($C24=0,"",(($C$24-$C$14)/10+C14))</f>
        <v>0.1</v>
      </c>
      <c r="D15" s="246" t="str">
        <f>IF($D24=0,"",(($D$24-$D$14)/10+D14))</f>
        <v/>
      </c>
      <c r="E15" s="475" t="str">
        <f t="shared" ref="E15:E25" si="0">IF($D$7="","",(($D$6*($D$8/$D$9)*$D$5^5*(D15/60)^3)/($D$11*$D$7))^0.5)</f>
        <v/>
      </c>
    </row>
    <row r="16" spans="2:10" ht="15" customHeight="1" x14ac:dyDescent="0.25">
      <c r="B16" s="219"/>
      <c r="C16" s="245">
        <f>IF($C24=0,"",(($C$24-$C$14)/10+C15))</f>
        <v>0.2</v>
      </c>
      <c r="D16" s="246" t="str">
        <f>IF($D24=0,"",(($D$24-$D$14)/10+D15))</f>
        <v/>
      </c>
      <c r="E16" s="475" t="str">
        <f t="shared" si="0"/>
        <v/>
      </c>
    </row>
    <row r="17" spans="2:11" ht="15" customHeight="1" x14ac:dyDescent="0.25">
      <c r="B17" s="219"/>
      <c r="C17" s="245">
        <f>IF($C24=0,"",(($C$24-$C$14)/10+C16))</f>
        <v>0.30000000000000004</v>
      </c>
      <c r="D17" s="246" t="str">
        <f>IF($D24=0,"",(($D$24-$D$14)/10+D16))</f>
        <v/>
      </c>
      <c r="E17" s="475" t="str">
        <f t="shared" si="0"/>
        <v/>
      </c>
    </row>
    <row r="18" spans="2:11" ht="15" customHeight="1" x14ac:dyDescent="0.25">
      <c r="B18" s="219"/>
      <c r="C18" s="245">
        <f>IF($C24=0,"",(($C$24-$C$14)/10+C17))</f>
        <v>0.4</v>
      </c>
      <c r="D18" s="246" t="str">
        <f>IF($D24=0,"",(($D$24-$D$14)/10+D17))</f>
        <v/>
      </c>
      <c r="E18" s="475" t="str">
        <f t="shared" si="0"/>
        <v/>
      </c>
    </row>
    <row r="19" spans="2:11" ht="15" customHeight="1" x14ac:dyDescent="0.25">
      <c r="B19" s="219"/>
      <c r="C19" s="245">
        <f>IF($C24=0,"",(($C$24-$C$14)/10+C18))</f>
        <v>0.5</v>
      </c>
      <c r="D19" s="246" t="str">
        <f>IF($D24=0,"",(($D$24-$D$14)/10+D18))</f>
        <v/>
      </c>
      <c r="E19" s="475" t="str">
        <f t="shared" si="0"/>
        <v/>
      </c>
    </row>
    <row r="20" spans="2:11" ht="15" customHeight="1" x14ac:dyDescent="0.25">
      <c r="B20" s="219"/>
      <c r="C20" s="245">
        <f>IF($C24=0,"",(($C$24-$C$14)/10+C19))</f>
        <v>0.6</v>
      </c>
      <c r="D20" s="246" t="str">
        <f>IF($D24=0,"",(($D$24-$D$14)/10+D19))</f>
        <v/>
      </c>
      <c r="E20" s="475" t="str">
        <f t="shared" si="0"/>
        <v/>
      </c>
    </row>
    <row r="21" spans="2:11" ht="15" customHeight="1" x14ac:dyDescent="0.25">
      <c r="B21" s="219"/>
      <c r="C21" s="245">
        <f>IF($C24=0,"",(($C$24-$C$14)/10+C20))</f>
        <v>0.7</v>
      </c>
      <c r="D21" s="246" t="str">
        <f>IF($D24=0,"",(($D$24-$D$14)/10+D20))</f>
        <v/>
      </c>
      <c r="E21" s="475" t="str">
        <f t="shared" si="0"/>
        <v/>
      </c>
    </row>
    <row r="22" spans="2:11" ht="15" customHeight="1" x14ac:dyDescent="0.25">
      <c r="B22" s="219"/>
      <c r="C22" s="245">
        <f>IF($C24=0,"",(($C$24-$C$14)/10+C21))</f>
        <v>0.79999999999999993</v>
      </c>
      <c r="D22" s="246" t="str">
        <f>IF($D24=0,"",(($D$24-$D$14)/10+D21))</f>
        <v/>
      </c>
      <c r="E22" s="475" t="str">
        <f t="shared" si="0"/>
        <v/>
      </c>
    </row>
    <row r="23" spans="2:11" ht="15" customHeight="1" x14ac:dyDescent="0.25">
      <c r="B23" s="219"/>
      <c r="C23" s="245">
        <f>IF($C24=0,"",(($C$24-$C$14)/10+C22))</f>
        <v>0.89999999999999991</v>
      </c>
      <c r="D23" s="246" t="str">
        <f>IF($D24=0,"",(($D$24-$D$14)/10+D22))</f>
        <v/>
      </c>
      <c r="E23" s="475" t="str">
        <f t="shared" si="0"/>
        <v/>
      </c>
    </row>
    <row r="24" spans="2:11" ht="15" customHeight="1" x14ac:dyDescent="0.25">
      <c r="B24" s="236" t="s">
        <v>221</v>
      </c>
      <c r="C24" s="242">
        <v>1</v>
      </c>
      <c r="D24" s="243"/>
      <c r="E24" s="475" t="str">
        <f t="shared" si="0"/>
        <v/>
      </c>
    </row>
    <row r="25" spans="2:11" ht="15" customHeight="1" x14ac:dyDescent="0.25">
      <c r="B25" s="236" t="s">
        <v>222</v>
      </c>
      <c r="C25" s="242"/>
      <c r="D25" s="244" t="str">
        <f>IF(OR(C25="",D24=""),"",IF(C25=C14,D14,(D24-D14)/((C24-C14)/(C25-C14))+D14))</f>
        <v/>
      </c>
      <c r="E25" s="475" t="str">
        <f t="shared" si="0"/>
        <v/>
      </c>
    </row>
    <row r="26" spans="2:11" ht="15" customHeight="1" x14ac:dyDescent="0.25">
      <c r="D26" s="207"/>
      <c r="E26" s="220"/>
    </row>
    <row r="27" spans="2:11" ht="15" customHeight="1" x14ac:dyDescent="0.25">
      <c r="G27" s="221" t="s">
        <v>223</v>
      </c>
    </row>
    <row r="28" spans="2:11" ht="15" customHeight="1" x14ac:dyDescent="0.25">
      <c r="B28" s="461" t="s">
        <v>336</v>
      </c>
      <c r="G28" s="221" t="s">
        <v>224</v>
      </c>
    </row>
    <row r="29" spans="2:11" ht="15" customHeight="1" x14ac:dyDescent="0.25">
      <c r="B29" s="462" t="s">
        <v>337</v>
      </c>
      <c r="G29" s="221" t="s">
        <v>430</v>
      </c>
    </row>
    <row r="30" spans="2:11" ht="15" customHeight="1" x14ac:dyDescent="0.25">
      <c r="B30" s="462"/>
      <c r="G30" s="221" t="s">
        <v>269</v>
      </c>
      <c r="K30" s="249"/>
    </row>
    <row r="31" spans="2:11" ht="15" customHeight="1" x14ac:dyDescent="0.25">
      <c r="B31" s="208" t="s">
        <v>147</v>
      </c>
      <c r="G31" s="221" t="s">
        <v>270</v>
      </c>
    </row>
    <row r="32" spans="2:11" ht="15" customHeight="1" x14ac:dyDescent="0.35">
      <c r="B32" s="463" t="s">
        <v>148</v>
      </c>
      <c r="C32" s="464"/>
      <c r="D32" s="465"/>
      <c r="E32" s="466" t="s">
        <v>27</v>
      </c>
      <c r="G32" s="473" t="s">
        <v>434</v>
      </c>
      <c r="H32" s="222"/>
      <c r="I32" s="222"/>
    </row>
    <row r="33" spans="2:9" ht="15" customHeight="1" x14ac:dyDescent="0.35">
      <c r="B33" s="463" t="s">
        <v>329</v>
      </c>
      <c r="C33" s="464"/>
      <c r="D33" s="465"/>
      <c r="E33" s="467" t="s">
        <v>327</v>
      </c>
      <c r="G33" s="222"/>
      <c r="H33" s="222"/>
      <c r="I33" s="222"/>
    </row>
    <row r="34" spans="2:9" ht="15" customHeight="1" x14ac:dyDescent="0.35">
      <c r="B34" s="468" t="s">
        <v>330</v>
      </c>
      <c r="C34" s="469"/>
      <c r="D34" s="465"/>
      <c r="E34" s="467" t="s">
        <v>328</v>
      </c>
      <c r="G34" s="222"/>
      <c r="H34" s="222"/>
      <c r="I34" s="222"/>
    </row>
    <row r="35" spans="2:9" ht="15" customHeight="1" x14ac:dyDescent="0.35">
      <c r="B35" s="470" t="s">
        <v>331</v>
      </c>
      <c r="C35" s="471"/>
      <c r="D35" s="465"/>
      <c r="E35" s="467">
        <v>2.5</v>
      </c>
      <c r="G35" s="222"/>
      <c r="H35" s="222"/>
      <c r="I35" s="222"/>
    </row>
    <row r="36" spans="2:9" ht="15" customHeight="1" x14ac:dyDescent="0.35">
      <c r="B36" s="470" t="s">
        <v>332</v>
      </c>
      <c r="C36" s="471"/>
      <c r="D36" s="465"/>
      <c r="E36" s="467" t="s">
        <v>333</v>
      </c>
      <c r="G36" s="222"/>
      <c r="H36" s="222"/>
      <c r="I36" s="222"/>
    </row>
    <row r="37" spans="2:9" ht="15" customHeight="1" x14ac:dyDescent="0.35">
      <c r="B37" s="470" t="s">
        <v>145</v>
      </c>
      <c r="C37" s="471"/>
      <c r="D37" s="465"/>
      <c r="E37" s="467">
        <v>0.4</v>
      </c>
      <c r="G37" s="222"/>
      <c r="H37" s="222"/>
      <c r="I37" s="222"/>
    </row>
    <row r="38" spans="2:9" ht="15" customHeight="1" x14ac:dyDescent="0.35">
      <c r="B38" s="470" t="s">
        <v>146</v>
      </c>
      <c r="C38" s="471"/>
      <c r="D38" s="465"/>
      <c r="E38" s="467">
        <v>0.3</v>
      </c>
      <c r="F38" s="221"/>
      <c r="G38" s="222"/>
      <c r="H38" s="222"/>
      <c r="I38" s="222"/>
    </row>
    <row r="39" spans="2:9" ht="15" customHeight="1" x14ac:dyDescent="0.25">
      <c r="B39" s="470" t="s">
        <v>335</v>
      </c>
      <c r="C39" s="471"/>
      <c r="D39" s="465"/>
      <c r="E39" s="467" t="s">
        <v>334</v>
      </c>
    </row>
    <row r="40" spans="2:9" ht="15" customHeight="1" x14ac:dyDescent="0.25">
      <c r="B40" s="208"/>
    </row>
    <row r="41" spans="2:9" ht="15" customHeight="1" x14ac:dyDescent="0.25">
      <c r="C41" s="223"/>
      <c r="D41" s="224"/>
      <c r="E41" s="215"/>
    </row>
    <row r="42" spans="2:9" ht="15" customHeight="1" x14ac:dyDescent="0.25">
      <c r="E42" s="215"/>
    </row>
    <row r="43" spans="2:9" ht="15" customHeight="1" x14ac:dyDescent="0.25"/>
    <row r="44" spans="2:9" ht="15" customHeight="1" x14ac:dyDescent="0.25"/>
    <row r="45" spans="2:9" ht="15" customHeight="1" x14ac:dyDescent="0.25"/>
    <row r="46" spans="2:9" ht="15" customHeight="1" x14ac:dyDescent="0.25"/>
    <row r="47" spans="2:9" ht="15" customHeight="1" x14ac:dyDescent="0.25"/>
    <row r="48" spans="2:9" ht="15" customHeight="1" x14ac:dyDescent="0.25"/>
    <row r="49" spans="2:6" ht="15" customHeight="1" x14ac:dyDescent="0.25"/>
    <row r="50" spans="2:6" ht="15" customHeight="1" x14ac:dyDescent="0.25"/>
    <row r="51" spans="2:6" ht="15" customHeight="1" x14ac:dyDescent="0.25"/>
    <row r="52" spans="2:6" ht="15" customHeight="1" x14ac:dyDescent="0.25"/>
    <row r="53" spans="2:6" ht="15" customHeight="1" x14ac:dyDescent="0.25">
      <c r="B53" s="460"/>
    </row>
    <row r="55" spans="2:6" x14ac:dyDescent="0.25">
      <c r="B55" s="460"/>
    </row>
    <row r="59" spans="2:6" x14ac:dyDescent="0.25">
      <c r="B59" s="511" t="s">
        <v>412</v>
      </c>
    </row>
    <row r="64" spans="2:6" ht="15" customHeight="1" x14ac:dyDescent="0.25">
      <c r="B64" s="803" t="s">
        <v>142</v>
      </c>
      <c r="C64" s="803"/>
      <c r="D64" s="195" t="s">
        <v>141</v>
      </c>
      <c r="E64" s="195" t="s">
        <v>140</v>
      </c>
      <c r="F64" s="472"/>
    </row>
    <row r="65" spans="2:10" ht="15" customHeight="1" x14ac:dyDescent="0.25">
      <c r="B65" s="804" t="s">
        <v>427</v>
      </c>
      <c r="C65" s="800"/>
      <c r="D65" s="514"/>
      <c r="E65" s="515"/>
      <c r="F65" s="472"/>
    </row>
    <row r="66" spans="2:10" ht="15" customHeight="1" x14ac:dyDescent="0.25">
      <c r="B66" s="800" t="s">
        <v>137</v>
      </c>
      <c r="C66" s="800"/>
      <c r="D66" s="198"/>
      <c r="E66" s="210" t="s">
        <v>26</v>
      </c>
      <c r="F66" s="221"/>
    </row>
    <row r="67" spans="2:10" ht="15" customHeight="1" x14ac:dyDescent="0.25">
      <c r="B67" s="800" t="s">
        <v>144</v>
      </c>
      <c r="C67" s="800"/>
      <c r="D67" s="199"/>
      <c r="E67" s="210" t="s">
        <v>149</v>
      </c>
      <c r="F67" s="473"/>
      <c r="J67" s="211"/>
    </row>
    <row r="68" spans="2:10" ht="15" customHeight="1" x14ac:dyDescent="0.25">
      <c r="B68" s="800" t="s">
        <v>138</v>
      </c>
      <c r="C68" s="800"/>
      <c r="D68" s="197"/>
      <c r="E68" s="210" t="s">
        <v>32</v>
      </c>
      <c r="F68" s="473"/>
      <c r="J68" s="211"/>
    </row>
    <row r="69" spans="2:10" ht="15" customHeight="1" x14ac:dyDescent="0.25">
      <c r="B69" s="210" t="s">
        <v>157</v>
      </c>
      <c r="C69" s="212"/>
      <c r="D69" s="200">
        <v>62.4</v>
      </c>
      <c r="E69" s="210" t="s">
        <v>156</v>
      </c>
      <c r="F69" s="209"/>
      <c r="J69" s="213"/>
    </row>
    <row r="70" spans="2:10" ht="15" customHeight="1" x14ac:dyDescent="0.25">
      <c r="B70" s="214" t="s">
        <v>158</v>
      </c>
      <c r="C70" s="215"/>
      <c r="D70" s="474">
        <v>32.200000000000003</v>
      </c>
      <c r="E70" s="216" t="s">
        <v>159</v>
      </c>
      <c r="F70" s="209"/>
      <c r="J70" s="213"/>
    </row>
    <row r="71" spans="2:10" ht="15" hidden="1" customHeight="1" x14ac:dyDescent="0.25">
      <c r="B71" s="800" t="s">
        <v>165</v>
      </c>
      <c r="C71" s="800"/>
      <c r="D71" s="201">
        <f>DataEntry!E6</f>
        <v>0</v>
      </c>
      <c r="E71" s="210" t="s">
        <v>89</v>
      </c>
    </row>
    <row r="72" spans="2:10" ht="15" hidden="1" customHeight="1" x14ac:dyDescent="0.25">
      <c r="B72" s="210" t="s">
        <v>139</v>
      </c>
      <c r="C72" s="217"/>
      <c r="D72" s="178">
        <f>1.3391*10^-8*D71^2-1.0818*10^-6*D71+3.7125*10^-5</f>
        <v>3.7125000000000001E-5</v>
      </c>
      <c r="E72" s="210" t="s">
        <v>163</v>
      </c>
    </row>
    <row r="73" spans="2:10" ht="15" customHeight="1" x14ac:dyDescent="0.25">
      <c r="C73" s="215"/>
      <c r="D73" s="179"/>
      <c r="E73" s="215"/>
    </row>
    <row r="74" spans="2:10" ht="15" customHeight="1" x14ac:dyDescent="0.25">
      <c r="B74" s="801" t="s">
        <v>218</v>
      </c>
      <c r="C74" s="802"/>
      <c r="D74" s="218" t="s">
        <v>219</v>
      </c>
      <c r="E74" s="218" t="str">
        <f>"G @ "&amp;D71&amp;" C"</f>
        <v>G @ 0 C</v>
      </c>
    </row>
    <row r="75" spans="2:10" ht="15" customHeight="1" x14ac:dyDescent="0.25">
      <c r="B75" s="236" t="s">
        <v>220</v>
      </c>
      <c r="C75" s="242">
        <v>0</v>
      </c>
      <c r="D75" s="243">
        <v>0</v>
      </c>
      <c r="E75" s="475" t="str">
        <f>IF($D$68="","",(($D$67*($D$69/$D$70)*$D$66^5*(D75/60)^3)/($D$72*$D$68))^0.5)</f>
        <v/>
      </c>
    </row>
    <row r="76" spans="2:10" ht="15" customHeight="1" x14ac:dyDescent="0.25">
      <c r="B76" s="219"/>
      <c r="C76" s="245">
        <f>IF($C85=0,"",(($C$24-$C$14)/10+C75))</f>
        <v>0.1</v>
      </c>
      <c r="D76" s="246" t="str">
        <f>IF($D$85=0,"",(($D$85-$D$75)/10+D75))</f>
        <v/>
      </c>
      <c r="E76" s="475" t="str">
        <f t="shared" ref="E76:E86" si="1">IF($D$68="","",(($D$67*($D$69/$D$70)*$D$66^5*(D76/60)^3)/($D$72*$D$68))^0.5)</f>
        <v/>
      </c>
    </row>
    <row r="77" spans="2:10" ht="15" customHeight="1" x14ac:dyDescent="0.25">
      <c r="B77" s="219"/>
      <c r="C77" s="245">
        <f>IF($C85=0,"",(($C$24-$C$14)/10+C76))</f>
        <v>0.2</v>
      </c>
      <c r="D77" s="246" t="str">
        <f t="shared" ref="D77:D84" si="2">IF($D$85=0,"",(($D$85-$D$75)/10+D76))</f>
        <v/>
      </c>
      <c r="E77" s="475" t="str">
        <f t="shared" si="1"/>
        <v/>
      </c>
    </row>
    <row r="78" spans="2:10" ht="15" customHeight="1" x14ac:dyDescent="0.25">
      <c r="B78" s="219"/>
      <c r="C78" s="245">
        <f>IF($C85=0,"",(($C$24-$C$14)/10+C77))</f>
        <v>0.30000000000000004</v>
      </c>
      <c r="D78" s="246" t="str">
        <f t="shared" si="2"/>
        <v/>
      </c>
      <c r="E78" s="475" t="str">
        <f t="shared" si="1"/>
        <v/>
      </c>
    </row>
    <row r="79" spans="2:10" ht="15" customHeight="1" x14ac:dyDescent="0.25">
      <c r="B79" s="219"/>
      <c r="C79" s="245">
        <f>IF($C85=0,"",(($C$24-$C$14)/10+C78))</f>
        <v>0.4</v>
      </c>
      <c r="D79" s="246" t="str">
        <f t="shared" si="2"/>
        <v/>
      </c>
      <c r="E79" s="475" t="str">
        <f t="shared" si="1"/>
        <v/>
      </c>
    </row>
    <row r="80" spans="2:10" ht="15" customHeight="1" x14ac:dyDescent="0.25">
      <c r="B80" s="219"/>
      <c r="C80" s="245">
        <f>IF($C85=0,"",(($C$24-$C$14)/10+C79))</f>
        <v>0.5</v>
      </c>
      <c r="D80" s="246" t="str">
        <f t="shared" si="2"/>
        <v/>
      </c>
      <c r="E80" s="475" t="str">
        <f t="shared" si="1"/>
        <v/>
      </c>
    </row>
    <row r="81" spans="2:10" ht="15" customHeight="1" x14ac:dyDescent="0.25">
      <c r="B81" s="219"/>
      <c r="C81" s="245">
        <f>IF($C85=0,"",(($C$24-$C$14)/10+C80))</f>
        <v>0.6</v>
      </c>
      <c r="D81" s="246" t="str">
        <f t="shared" si="2"/>
        <v/>
      </c>
      <c r="E81" s="475" t="str">
        <f t="shared" si="1"/>
        <v/>
      </c>
    </row>
    <row r="82" spans="2:10" ht="15" customHeight="1" x14ac:dyDescent="0.25">
      <c r="B82" s="219"/>
      <c r="C82" s="245">
        <f>IF($C85=0,"",(($C$24-$C$14)/10+C81))</f>
        <v>0.7</v>
      </c>
      <c r="D82" s="246" t="str">
        <f t="shared" si="2"/>
        <v/>
      </c>
      <c r="E82" s="475" t="str">
        <f t="shared" si="1"/>
        <v/>
      </c>
    </row>
    <row r="83" spans="2:10" ht="15" customHeight="1" x14ac:dyDescent="0.25">
      <c r="B83" s="219"/>
      <c r="C83" s="245">
        <f>IF($C85=0,"",(($C$24-$C$14)/10+C82))</f>
        <v>0.79999999999999993</v>
      </c>
      <c r="D83" s="246" t="str">
        <f t="shared" si="2"/>
        <v/>
      </c>
      <c r="E83" s="475" t="str">
        <f t="shared" si="1"/>
        <v/>
      </c>
    </row>
    <row r="84" spans="2:10" ht="15" customHeight="1" x14ac:dyDescent="0.25">
      <c r="B84" s="219"/>
      <c r="C84" s="245">
        <f>IF($C85=0,"",(($C$24-$C$14)/10+C83))</f>
        <v>0.89999999999999991</v>
      </c>
      <c r="D84" s="246" t="str">
        <f t="shared" si="2"/>
        <v/>
      </c>
      <c r="E84" s="475" t="str">
        <f t="shared" si="1"/>
        <v/>
      </c>
    </row>
    <row r="85" spans="2:10" ht="15" customHeight="1" x14ac:dyDescent="0.25">
      <c r="B85" s="236" t="s">
        <v>221</v>
      </c>
      <c r="C85" s="242">
        <v>1</v>
      </c>
      <c r="D85" s="243"/>
      <c r="E85" s="475" t="str">
        <f t="shared" si="1"/>
        <v/>
      </c>
    </row>
    <row r="86" spans="2:10" ht="15" customHeight="1" x14ac:dyDescent="0.25">
      <c r="B86" s="236" t="s">
        <v>222</v>
      </c>
      <c r="C86" s="242"/>
      <c r="D86" s="244" t="str">
        <f>IF(OR(C86="",D85=""),"",IF(C86=C75,D75,(D85-D75)/((C85-C75)/(C86-C75))+D75))</f>
        <v/>
      </c>
      <c r="E86" s="475" t="str">
        <f t="shared" si="1"/>
        <v/>
      </c>
    </row>
    <row r="87" spans="2:10" ht="15" customHeight="1" x14ac:dyDescent="0.25">
      <c r="B87" s="516"/>
      <c r="C87" s="516"/>
      <c r="D87" s="516"/>
      <c r="E87" s="517"/>
    </row>
    <row r="88" spans="2:10" ht="15" customHeight="1" x14ac:dyDescent="0.25">
      <c r="D88" s="207"/>
      <c r="E88" s="220"/>
    </row>
    <row r="89" spans="2:10" ht="15" customHeight="1" x14ac:dyDescent="0.25">
      <c r="B89" s="803" t="s">
        <v>142</v>
      </c>
      <c r="C89" s="803"/>
      <c r="D89" s="195" t="s">
        <v>141</v>
      </c>
      <c r="E89" s="195" t="s">
        <v>140</v>
      </c>
      <c r="F89" s="472"/>
    </row>
    <row r="90" spans="2:10" ht="15" customHeight="1" x14ac:dyDescent="0.25">
      <c r="B90" s="804" t="s">
        <v>427</v>
      </c>
      <c r="C90" s="800"/>
      <c r="D90" s="514"/>
      <c r="E90" s="515"/>
      <c r="F90" s="472"/>
    </row>
    <row r="91" spans="2:10" ht="15" customHeight="1" x14ac:dyDescent="0.25">
      <c r="B91" s="800" t="s">
        <v>137</v>
      </c>
      <c r="C91" s="800"/>
      <c r="D91" s="198"/>
      <c r="E91" s="210" t="s">
        <v>26</v>
      </c>
      <c r="F91" s="221"/>
    </row>
    <row r="92" spans="2:10" ht="15" customHeight="1" x14ac:dyDescent="0.25">
      <c r="B92" s="800" t="s">
        <v>144</v>
      </c>
      <c r="C92" s="800"/>
      <c r="D92" s="199"/>
      <c r="E92" s="210" t="s">
        <v>149</v>
      </c>
      <c r="F92" s="473"/>
      <c r="J92" s="211"/>
    </row>
    <row r="93" spans="2:10" ht="15" customHeight="1" x14ac:dyDescent="0.25">
      <c r="B93" s="800" t="s">
        <v>138</v>
      </c>
      <c r="C93" s="800"/>
      <c r="D93" s="197"/>
      <c r="E93" s="210" t="s">
        <v>32</v>
      </c>
      <c r="F93" s="539">
        <v>19745</v>
      </c>
      <c r="J93" s="211"/>
    </row>
    <row r="94" spans="2:10" ht="15" customHeight="1" x14ac:dyDescent="0.25">
      <c r="B94" s="210" t="s">
        <v>157</v>
      </c>
      <c r="C94" s="212"/>
      <c r="D94" s="200">
        <v>62.4</v>
      </c>
      <c r="E94" s="210" t="s">
        <v>156</v>
      </c>
      <c r="F94" s="209"/>
      <c r="J94" s="213"/>
    </row>
    <row r="95" spans="2:10" ht="15" customHeight="1" x14ac:dyDescent="0.25">
      <c r="B95" s="214" t="s">
        <v>158</v>
      </c>
      <c r="C95" s="215"/>
      <c r="D95" s="474">
        <v>32.200000000000003</v>
      </c>
      <c r="E95" s="216" t="s">
        <v>159</v>
      </c>
      <c r="F95" s="209"/>
      <c r="J95" s="213"/>
    </row>
    <row r="96" spans="2:10" ht="15" hidden="1" customHeight="1" x14ac:dyDescent="0.25">
      <c r="B96" s="800" t="s">
        <v>165</v>
      </c>
      <c r="C96" s="800"/>
      <c r="D96" s="201">
        <f>DataEntry!E6</f>
        <v>0</v>
      </c>
      <c r="E96" s="210" t="s">
        <v>89</v>
      </c>
    </row>
    <row r="97" spans="2:5" ht="15" hidden="1" customHeight="1" x14ac:dyDescent="0.25">
      <c r="B97" s="210" t="s">
        <v>139</v>
      </c>
      <c r="C97" s="217"/>
      <c r="D97" s="178">
        <f>1.3391*10^-8*D96^2-1.0818*10^-6*D96+3.7125*10^-5</f>
        <v>3.7125000000000001E-5</v>
      </c>
      <c r="E97" s="210" t="s">
        <v>163</v>
      </c>
    </row>
    <row r="98" spans="2:5" ht="15" customHeight="1" x14ac:dyDescent="0.25">
      <c r="C98" s="215"/>
      <c r="D98" s="179"/>
      <c r="E98" s="215"/>
    </row>
    <row r="99" spans="2:5" ht="15" customHeight="1" x14ac:dyDescent="0.25">
      <c r="B99" s="801" t="s">
        <v>218</v>
      </c>
      <c r="C99" s="802"/>
      <c r="D99" s="218" t="s">
        <v>219</v>
      </c>
      <c r="E99" s="218" t="str">
        <f>"G @ "&amp;D96&amp;" C"</f>
        <v>G @ 0 C</v>
      </c>
    </row>
    <row r="100" spans="2:5" ht="15" customHeight="1" x14ac:dyDescent="0.25">
      <c r="B100" s="236" t="s">
        <v>220</v>
      </c>
      <c r="C100" s="242">
        <v>0</v>
      </c>
      <c r="D100" s="243">
        <v>0</v>
      </c>
      <c r="E100" s="475" t="str">
        <f>IF($D$93="","",(($D$92*($D$94/$D$95)*$D$91^5*(D100/60)^3)/($D$97*$D$93))^0.5)</f>
        <v/>
      </c>
    </row>
    <row r="101" spans="2:5" ht="15" customHeight="1" x14ac:dyDescent="0.25">
      <c r="B101" s="219"/>
      <c r="C101" s="245">
        <f>IF($C110=0,"",(($C$24-$C$14)/10+C100))</f>
        <v>0.1</v>
      </c>
      <c r="D101" s="246" t="str">
        <f>IF($D$110=0,"",(($D$110-$D$100)/10+D100))</f>
        <v/>
      </c>
      <c r="E101" s="475" t="str">
        <f t="shared" ref="E101:E111" si="3">IF($D$93="","",(($D$92*($D$94/$D$95)*$D$91^5*(D101/60)^3)/($D$97*$D$93))^0.5)</f>
        <v/>
      </c>
    </row>
    <row r="102" spans="2:5" ht="15" customHeight="1" x14ac:dyDescent="0.25">
      <c r="B102" s="219"/>
      <c r="C102" s="245">
        <f>IF($C110=0,"",(($C$24-$C$14)/10+C101))</f>
        <v>0.2</v>
      </c>
      <c r="D102" s="246" t="str">
        <f t="shared" ref="D102:D109" si="4">IF($D$110=0,"",(($D$110-$D$100)/10+D101))</f>
        <v/>
      </c>
      <c r="E102" s="475" t="str">
        <f t="shared" si="3"/>
        <v/>
      </c>
    </row>
    <row r="103" spans="2:5" ht="15" customHeight="1" x14ac:dyDescent="0.25">
      <c r="B103" s="219"/>
      <c r="C103" s="245">
        <f>IF($C110=0,"",(($C$24-$C$14)/10+C102))</f>
        <v>0.30000000000000004</v>
      </c>
      <c r="D103" s="246" t="str">
        <f t="shared" si="4"/>
        <v/>
      </c>
      <c r="E103" s="475" t="str">
        <f t="shared" si="3"/>
        <v/>
      </c>
    </row>
    <row r="104" spans="2:5" ht="15" customHeight="1" x14ac:dyDescent="0.25">
      <c r="B104" s="219"/>
      <c r="C104" s="245">
        <f>IF($C110=0,"",(($C$24-$C$14)/10+C103))</f>
        <v>0.4</v>
      </c>
      <c r="D104" s="246" t="str">
        <f t="shared" si="4"/>
        <v/>
      </c>
      <c r="E104" s="475" t="str">
        <f t="shared" si="3"/>
        <v/>
      </c>
    </row>
    <row r="105" spans="2:5" ht="15" customHeight="1" x14ac:dyDescent="0.25">
      <c r="B105" s="219"/>
      <c r="C105" s="245">
        <f>IF($C110=0,"",(($C$24-$C$14)/10+C104))</f>
        <v>0.5</v>
      </c>
      <c r="D105" s="246" t="str">
        <f t="shared" si="4"/>
        <v/>
      </c>
      <c r="E105" s="475" t="str">
        <f t="shared" si="3"/>
        <v/>
      </c>
    </row>
    <row r="106" spans="2:5" ht="15" customHeight="1" x14ac:dyDescent="0.25">
      <c r="B106" s="219"/>
      <c r="C106" s="245">
        <f>IF($C110=0,"",(($C$24-$C$14)/10+C105))</f>
        <v>0.6</v>
      </c>
      <c r="D106" s="246" t="str">
        <f t="shared" si="4"/>
        <v/>
      </c>
      <c r="E106" s="475" t="str">
        <f t="shared" si="3"/>
        <v/>
      </c>
    </row>
    <row r="107" spans="2:5" ht="15" customHeight="1" x14ac:dyDescent="0.25">
      <c r="B107" s="219"/>
      <c r="C107" s="245">
        <f>IF($C110=0,"",(($C$24-$C$14)/10+C106))</f>
        <v>0.7</v>
      </c>
      <c r="D107" s="246" t="str">
        <f t="shared" si="4"/>
        <v/>
      </c>
      <c r="E107" s="475" t="str">
        <f t="shared" si="3"/>
        <v/>
      </c>
    </row>
    <row r="108" spans="2:5" ht="15" customHeight="1" x14ac:dyDescent="0.25">
      <c r="B108" s="219"/>
      <c r="C108" s="245">
        <f>IF($C110=0,"",(($C$24-$C$14)/10+C107))</f>
        <v>0.79999999999999993</v>
      </c>
      <c r="D108" s="246" t="str">
        <f t="shared" si="4"/>
        <v/>
      </c>
      <c r="E108" s="475" t="str">
        <f t="shared" si="3"/>
        <v/>
      </c>
    </row>
    <row r="109" spans="2:5" ht="15" customHeight="1" x14ac:dyDescent="0.25">
      <c r="B109" s="219"/>
      <c r="C109" s="245">
        <f>IF($C110=0,"",(($C$24-$C$14)/10+C108))</f>
        <v>0.89999999999999991</v>
      </c>
      <c r="D109" s="246" t="str">
        <f t="shared" si="4"/>
        <v/>
      </c>
      <c r="E109" s="475" t="str">
        <f t="shared" si="3"/>
        <v/>
      </c>
    </row>
    <row r="110" spans="2:5" ht="15" customHeight="1" x14ac:dyDescent="0.25">
      <c r="B110" s="236" t="s">
        <v>221</v>
      </c>
      <c r="C110" s="242">
        <v>1</v>
      </c>
      <c r="D110" s="243"/>
      <c r="E110" s="475" t="str">
        <f t="shared" si="3"/>
        <v/>
      </c>
    </row>
    <row r="111" spans="2:5" ht="15" customHeight="1" x14ac:dyDescent="0.25">
      <c r="B111" s="236" t="s">
        <v>222</v>
      </c>
      <c r="C111" s="242"/>
      <c r="D111" s="244" t="str">
        <f>IF(OR(C111="",D110=""),"",IF(C111=C100,D100,(D110-D100)/((C110-C100)/(C111-C100))+D100))</f>
        <v/>
      </c>
      <c r="E111" s="475" t="str">
        <f t="shared" si="3"/>
        <v/>
      </c>
    </row>
  </sheetData>
  <mergeCells count="21">
    <mergeCell ref="B74:C74"/>
    <mergeCell ref="B65:C65"/>
    <mergeCell ref="B99:C99"/>
    <mergeCell ref="B89:C89"/>
    <mergeCell ref="B90:C90"/>
    <mergeCell ref="B91:C91"/>
    <mergeCell ref="B92:C92"/>
    <mergeCell ref="B93:C93"/>
    <mergeCell ref="B96:C96"/>
    <mergeCell ref="B64:C64"/>
    <mergeCell ref="B66:C66"/>
    <mergeCell ref="B67:C67"/>
    <mergeCell ref="B68:C68"/>
    <mergeCell ref="B71:C71"/>
    <mergeCell ref="B10:C10"/>
    <mergeCell ref="B13:C13"/>
    <mergeCell ref="B3:C3"/>
    <mergeCell ref="B5:C5"/>
    <mergeCell ref="B6:C6"/>
    <mergeCell ref="B7:C7"/>
    <mergeCell ref="B4:C4"/>
  </mergeCells>
  <phoneticPr fontId="0" type="noConversion"/>
  <pageMargins left="0.75" right="0.75" top="1" bottom="1" header="0.5" footer="0.5"/>
  <pageSetup scale="68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1:G97"/>
  <sheetViews>
    <sheetView showGridLines="0" topLeftCell="A81" zoomScaleNormal="100" workbookViewId="0">
      <selection activeCell="D14" sqref="D14"/>
    </sheetView>
  </sheetViews>
  <sheetFormatPr defaultColWidth="8.8984375" defaultRowHeight="13.8" x14ac:dyDescent="0.25"/>
  <cols>
    <col min="1" max="1" width="2.5" style="194" customWidth="1"/>
    <col min="2" max="2" width="5.8984375" style="194" customWidth="1"/>
    <col min="3" max="3" width="20.19921875" style="194" customWidth="1"/>
    <col min="4" max="4" width="20.796875" style="194" customWidth="1"/>
    <col min="5" max="5" width="10.796875" style="194" customWidth="1"/>
    <col min="6" max="6" width="8.09765625" style="194" customWidth="1"/>
    <col min="7" max="7" width="16.09765625" style="194" customWidth="1"/>
    <col min="8" max="16384" width="8.8984375" style="194"/>
  </cols>
  <sheetData>
    <row r="1" spans="2:7" ht="20.100000000000001" customHeight="1" x14ac:dyDescent="0.25">
      <c r="B1" s="193" t="s">
        <v>259</v>
      </c>
    </row>
    <row r="2" spans="2:7" ht="20.100000000000001" customHeight="1" x14ac:dyDescent="0.25"/>
    <row r="3" spans="2:7" ht="12.75" customHeight="1" x14ac:dyDescent="0.25">
      <c r="C3" s="225" t="s">
        <v>142</v>
      </c>
      <c r="D3" s="225" t="s">
        <v>141</v>
      </c>
      <c r="E3" s="225" t="s">
        <v>140</v>
      </c>
      <c r="F3" s="472" t="s">
        <v>223</v>
      </c>
    </row>
    <row r="4" spans="2:7" ht="12.75" customHeight="1" x14ac:dyDescent="0.25">
      <c r="C4" s="202" t="s">
        <v>427</v>
      </c>
      <c r="D4" s="514"/>
      <c r="E4" s="515"/>
      <c r="F4" s="221" t="s">
        <v>431</v>
      </c>
    </row>
    <row r="5" spans="2:7" ht="12.75" customHeight="1" x14ac:dyDescent="0.25">
      <c r="C5" s="202" t="s">
        <v>161</v>
      </c>
      <c r="D5" s="81"/>
      <c r="E5" s="202"/>
      <c r="F5" s="473" t="s">
        <v>258</v>
      </c>
    </row>
    <row r="6" spans="2:7" ht="12.75" customHeight="1" x14ac:dyDescent="0.25">
      <c r="C6" s="202" t="s">
        <v>162</v>
      </c>
      <c r="D6" s="81"/>
      <c r="E6" s="202" t="s">
        <v>160</v>
      </c>
    </row>
    <row r="7" spans="2:7" ht="12.75" customHeight="1" x14ac:dyDescent="0.25">
      <c r="C7" s="202" t="s">
        <v>166</v>
      </c>
      <c r="D7" s="81"/>
      <c r="E7" s="202" t="s">
        <v>26</v>
      </c>
    </row>
    <row r="8" spans="2:7" ht="12.75" customHeight="1" x14ac:dyDescent="0.25">
      <c r="C8" s="202" t="s">
        <v>164</v>
      </c>
      <c r="D8" s="230"/>
      <c r="E8" s="202" t="s">
        <v>32</v>
      </c>
    </row>
    <row r="9" spans="2:7" ht="12.75" hidden="1" customHeight="1" x14ac:dyDescent="0.25">
      <c r="C9" s="202" t="s">
        <v>165</v>
      </c>
      <c r="D9" s="431">
        <f>DataEntry!E6</f>
        <v>0</v>
      </c>
      <c r="E9" s="202" t="s">
        <v>89</v>
      </c>
    </row>
    <row r="10" spans="2:7" ht="12.75" hidden="1" customHeight="1" x14ac:dyDescent="0.25">
      <c r="C10" s="202" t="s">
        <v>33</v>
      </c>
      <c r="D10" s="178">
        <f>1.3391*10^-8*D9^2-1.0818*10^-6*D9+3.7125*10^-5</f>
        <v>3.7125000000000001E-5</v>
      </c>
      <c r="E10" s="202" t="s">
        <v>260</v>
      </c>
    </row>
    <row r="11" spans="2:7" ht="12.75" customHeight="1" x14ac:dyDescent="0.25"/>
    <row r="12" spans="2:7" ht="12.75" customHeight="1" x14ac:dyDescent="0.25">
      <c r="B12" s="239" t="s">
        <v>218</v>
      </c>
      <c r="C12" s="240"/>
      <c r="D12" s="226" t="s">
        <v>143</v>
      </c>
      <c r="E12" s="218" t="str">
        <f>"G @ "&amp;D9&amp;" C"</f>
        <v>G @ 0 C</v>
      </c>
    </row>
    <row r="13" spans="2:7" ht="12.75" customHeight="1" x14ac:dyDescent="0.25">
      <c r="B13" s="235" t="s">
        <v>220</v>
      </c>
      <c r="C13" s="231">
        <v>0</v>
      </c>
      <c r="D13" s="232">
        <v>0</v>
      </c>
      <c r="E13" s="248" t="str">
        <f>IF($D8="","",(($D5*$D6*(0.75*PI()*$D7*D13/60)^3)/($D10*$D8))^0.5)</f>
        <v/>
      </c>
      <c r="G13" s="227"/>
    </row>
    <row r="14" spans="2:7" ht="12.75" customHeight="1" x14ac:dyDescent="0.25">
      <c r="B14" s="238"/>
      <c r="C14" s="228">
        <f t="shared" ref="C14:C22" si="0">IF($C$23="","",(($C$23-$C$13)/10+C13))</f>
        <v>0.1</v>
      </c>
      <c r="D14" s="233" t="str">
        <f t="shared" ref="D14:D22" si="1">IF($D$23="","",(($D$23-$D$13)/10+D13))</f>
        <v/>
      </c>
      <c r="E14" s="248" t="str">
        <f t="shared" ref="E14:E24" si="2">IF($D$8="","",(($D$5*$D$6*(0.75*PI()*$D$7*D14/60)^3)/($D$10*$D$8))^0.5)</f>
        <v/>
      </c>
      <c r="G14" s="227"/>
    </row>
    <row r="15" spans="2:7" ht="12.75" customHeight="1" x14ac:dyDescent="0.25">
      <c r="B15" s="238"/>
      <c r="C15" s="228">
        <f t="shared" si="0"/>
        <v>0.2</v>
      </c>
      <c r="D15" s="233" t="str">
        <f t="shared" si="1"/>
        <v/>
      </c>
      <c r="E15" s="248" t="str">
        <f t="shared" si="2"/>
        <v/>
      </c>
      <c r="G15" s="227"/>
    </row>
    <row r="16" spans="2:7" ht="12.75" customHeight="1" x14ac:dyDescent="0.25">
      <c r="B16" s="238"/>
      <c r="C16" s="228">
        <f t="shared" si="0"/>
        <v>0.30000000000000004</v>
      </c>
      <c r="D16" s="233" t="str">
        <f t="shared" si="1"/>
        <v/>
      </c>
      <c r="E16" s="248" t="str">
        <f t="shared" si="2"/>
        <v/>
      </c>
      <c r="G16" s="227"/>
    </row>
    <row r="17" spans="2:7" ht="12.75" customHeight="1" x14ac:dyDescent="0.25">
      <c r="B17" s="238"/>
      <c r="C17" s="228">
        <f t="shared" si="0"/>
        <v>0.4</v>
      </c>
      <c r="D17" s="233" t="str">
        <f t="shared" si="1"/>
        <v/>
      </c>
      <c r="E17" s="248" t="str">
        <f t="shared" si="2"/>
        <v/>
      </c>
      <c r="G17" s="227"/>
    </row>
    <row r="18" spans="2:7" ht="12.75" customHeight="1" x14ac:dyDescent="0.25">
      <c r="B18" s="238"/>
      <c r="C18" s="228">
        <f t="shared" si="0"/>
        <v>0.5</v>
      </c>
      <c r="D18" s="233" t="str">
        <f t="shared" si="1"/>
        <v/>
      </c>
      <c r="E18" s="248" t="str">
        <f t="shared" si="2"/>
        <v/>
      </c>
      <c r="G18" s="227"/>
    </row>
    <row r="19" spans="2:7" ht="12.75" customHeight="1" x14ac:dyDescent="0.25">
      <c r="B19" s="238"/>
      <c r="C19" s="228">
        <f t="shared" si="0"/>
        <v>0.6</v>
      </c>
      <c r="D19" s="233" t="str">
        <f t="shared" si="1"/>
        <v/>
      </c>
      <c r="E19" s="248" t="str">
        <f t="shared" si="2"/>
        <v/>
      </c>
      <c r="G19" s="227"/>
    </row>
    <row r="20" spans="2:7" ht="12.75" customHeight="1" x14ac:dyDescent="0.25">
      <c r="B20" s="238"/>
      <c r="C20" s="228">
        <f t="shared" si="0"/>
        <v>0.7</v>
      </c>
      <c r="D20" s="233" t="str">
        <f t="shared" si="1"/>
        <v/>
      </c>
      <c r="E20" s="248" t="str">
        <f t="shared" si="2"/>
        <v/>
      </c>
      <c r="G20" s="227"/>
    </row>
    <row r="21" spans="2:7" ht="12.75" customHeight="1" x14ac:dyDescent="0.25">
      <c r="B21" s="238"/>
      <c r="C21" s="228">
        <f t="shared" si="0"/>
        <v>0.79999999999999993</v>
      </c>
      <c r="D21" s="233" t="str">
        <f t="shared" si="1"/>
        <v/>
      </c>
      <c r="E21" s="248" t="str">
        <f t="shared" si="2"/>
        <v/>
      </c>
      <c r="G21" s="227"/>
    </row>
    <row r="22" spans="2:7" ht="12.75" customHeight="1" x14ac:dyDescent="0.25">
      <c r="B22" s="238"/>
      <c r="C22" s="228">
        <f t="shared" si="0"/>
        <v>0.89999999999999991</v>
      </c>
      <c r="D22" s="233" t="str">
        <f t="shared" si="1"/>
        <v/>
      </c>
      <c r="E22" s="248" t="str">
        <f t="shared" si="2"/>
        <v/>
      </c>
      <c r="G22" s="227"/>
    </row>
    <row r="23" spans="2:7" ht="12.75" customHeight="1" x14ac:dyDescent="0.25">
      <c r="B23" s="235" t="s">
        <v>221</v>
      </c>
      <c r="C23" s="231">
        <v>1</v>
      </c>
      <c r="D23" s="232"/>
      <c r="E23" s="248" t="str">
        <f t="shared" si="2"/>
        <v/>
      </c>
      <c r="G23" s="227"/>
    </row>
    <row r="24" spans="2:7" ht="12.75" customHeight="1" x14ac:dyDescent="0.25">
      <c r="B24" s="235" t="s">
        <v>222</v>
      </c>
      <c r="C24" s="234"/>
      <c r="D24" s="432" t="str">
        <f>IF(OR(C24="",D23=""),"",IF(C24=C13,D13,(D23-D13)/((C23-C13)/(C24-C13))+D13))</f>
        <v/>
      </c>
      <c r="E24" s="248" t="str">
        <f t="shared" si="2"/>
        <v/>
      </c>
      <c r="G24" s="227"/>
    </row>
    <row r="25" spans="2:7" ht="12.75" customHeight="1" x14ac:dyDescent="0.25"/>
    <row r="26" spans="2:7" ht="12.75" customHeight="1" x14ac:dyDescent="0.25">
      <c r="E26" s="229" t="s">
        <v>155</v>
      </c>
    </row>
    <row r="27" spans="2:7" ht="12.75" customHeight="1" x14ac:dyDescent="0.25"/>
    <row r="28" spans="2:7" ht="12.75" customHeight="1" x14ac:dyDescent="0.25">
      <c r="B28" s="221" t="s">
        <v>223</v>
      </c>
    </row>
    <row r="29" spans="2:7" ht="12.75" customHeight="1" x14ac:dyDescent="0.25">
      <c r="B29" s="221" t="s">
        <v>261</v>
      </c>
    </row>
    <row r="30" spans="2:7" ht="12.75" customHeight="1" x14ac:dyDescent="0.25">
      <c r="B30" s="221" t="s">
        <v>225</v>
      </c>
    </row>
    <row r="31" spans="2:7" ht="12.75" customHeight="1" x14ac:dyDescent="0.25">
      <c r="B31" s="221" t="s">
        <v>267</v>
      </c>
    </row>
    <row r="32" spans="2:7" ht="12.75" customHeight="1" x14ac:dyDescent="0.25">
      <c r="B32" s="221" t="s">
        <v>262</v>
      </c>
    </row>
    <row r="33" spans="2:2" ht="12.75" customHeight="1" x14ac:dyDescent="0.25">
      <c r="B33" s="221" t="s">
        <v>226</v>
      </c>
    </row>
    <row r="34" spans="2:2" ht="12.75" customHeight="1" x14ac:dyDescent="0.25">
      <c r="B34" s="473" t="s">
        <v>435</v>
      </c>
    </row>
    <row r="35" spans="2:2" ht="12.75" customHeight="1" x14ac:dyDescent="0.25"/>
    <row r="36" spans="2:2" ht="12.75" customHeight="1" x14ac:dyDescent="0.25"/>
    <row r="37" spans="2:2" ht="12.75" customHeight="1" x14ac:dyDescent="0.25"/>
    <row r="38" spans="2:2" ht="12.75" customHeight="1" x14ac:dyDescent="0.25"/>
    <row r="39" spans="2:2" ht="12.75" customHeight="1" x14ac:dyDescent="0.25"/>
    <row r="40" spans="2:2" ht="12.75" customHeight="1" x14ac:dyDescent="0.25"/>
    <row r="41" spans="2:2" ht="12.75" customHeight="1" x14ac:dyDescent="0.25"/>
    <row r="49" spans="2:7" x14ac:dyDescent="0.25">
      <c r="G49" s="205" t="s">
        <v>432</v>
      </c>
    </row>
    <row r="52" spans="2:7" ht="12.75" customHeight="1" x14ac:dyDescent="0.25">
      <c r="C52" s="225" t="s">
        <v>142</v>
      </c>
      <c r="D52" s="225" t="s">
        <v>141</v>
      </c>
      <c r="E52" s="225" t="s">
        <v>140</v>
      </c>
      <c r="F52" s="472"/>
    </row>
    <row r="53" spans="2:7" ht="12.75" customHeight="1" x14ac:dyDescent="0.25">
      <c r="C53" s="202" t="s">
        <v>427</v>
      </c>
      <c r="D53" s="514"/>
      <c r="E53" s="515"/>
      <c r="F53" s="221"/>
    </row>
    <row r="54" spans="2:7" ht="12.75" customHeight="1" x14ac:dyDescent="0.25">
      <c r="C54" s="202" t="s">
        <v>161</v>
      </c>
      <c r="D54" s="81"/>
      <c r="E54" s="202"/>
      <c r="F54" s="473"/>
    </row>
    <row r="55" spans="2:7" ht="12.75" customHeight="1" x14ac:dyDescent="0.25">
      <c r="C55" s="202" t="s">
        <v>162</v>
      </c>
      <c r="D55" s="81"/>
      <c r="E55" s="202" t="s">
        <v>160</v>
      </c>
    </row>
    <row r="56" spans="2:7" ht="12.75" customHeight="1" x14ac:dyDescent="0.25">
      <c r="C56" s="202" t="s">
        <v>166</v>
      </c>
      <c r="D56" s="81"/>
      <c r="E56" s="202" t="s">
        <v>26</v>
      </c>
    </row>
    <row r="57" spans="2:7" ht="12.75" customHeight="1" x14ac:dyDescent="0.25">
      <c r="C57" s="202" t="s">
        <v>164</v>
      </c>
      <c r="D57" s="230"/>
      <c r="E57" s="202" t="s">
        <v>32</v>
      </c>
    </row>
    <row r="58" spans="2:7" ht="12.75" hidden="1" customHeight="1" x14ac:dyDescent="0.25">
      <c r="C58" s="202" t="s">
        <v>165</v>
      </c>
      <c r="D58" s="431">
        <f>DataEntry!E55</f>
        <v>0</v>
      </c>
      <c r="E58" s="202" t="s">
        <v>89</v>
      </c>
    </row>
    <row r="59" spans="2:7" ht="12.75" hidden="1" customHeight="1" x14ac:dyDescent="0.25">
      <c r="C59" s="202" t="s">
        <v>33</v>
      </c>
      <c r="D59" s="178">
        <f>1.3391*10^-8*D58^2-1.0818*10^-6*D58+3.7125*10^-5</f>
        <v>3.7125000000000001E-5</v>
      </c>
      <c r="E59" s="202" t="s">
        <v>260</v>
      </c>
    </row>
    <row r="60" spans="2:7" ht="12.75" customHeight="1" x14ac:dyDescent="0.25"/>
    <row r="61" spans="2:7" ht="12.75" customHeight="1" x14ac:dyDescent="0.25">
      <c r="B61" s="239" t="s">
        <v>218</v>
      </c>
      <c r="C61" s="240"/>
      <c r="D61" s="226" t="s">
        <v>143</v>
      </c>
      <c r="E61" s="218" t="str">
        <f>"G @ "&amp;D58&amp;" C"</f>
        <v>G @ 0 C</v>
      </c>
    </row>
    <row r="62" spans="2:7" ht="12.75" customHeight="1" x14ac:dyDescent="0.25">
      <c r="B62" s="235" t="s">
        <v>220</v>
      </c>
      <c r="C62" s="231">
        <v>0</v>
      </c>
      <c r="D62" s="232">
        <v>0</v>
      </c>
      <c r="E62" s="248" t="str">
        <f>IF($D57="","",(($D54*$D55*(0.75*PI()*$D56*D62/60)^3)/($D59*$D57))^0.5)</f>
        <v/>
      </c>
      <c r="G62" s="227"/>
    </row>
    <row r="63" spans="2:7" ht="12.75" customHeight="1" x14ac:dyDescent="0.25">
      <c r="B63" s="238"/>
      <c r="C63" s="228">
        <f t="shared" ref="C63:C71" si="3">IF($C$23="","",(($C$23-$C$13)/10+C62))</f>
        <v>0.1</v>
      </c>
      <c r="D63" s="233" t="str">
        <f>IF($D$72="","",(($D$72-$D$62)/10+D62))</f>
        <v/>
      </c>
      <c r="E63" s="248" t="str">
        <f t="shared" ref="E63:E73" si="4">IF($D$57="","",(($D$54*$D$55*(0.75*PI()*$D$56*D63/60)^3)/($D$59*$D$57))^0.5)</f>
        <v/>
      </c>
      <c r="G63" s="227"/>
    </row>
    <row r="64" spans="2:7" ht="12.75" customHeight="1" x14ac:dyDescent="0.25">
      <c r="B64" s="238"/>
      <c r="C64" s="228">
        <f t="shared" si="3"/>
        <v>0.2</v>
      </c>
      <c r="D64" s="233" t="str">
        <f t="shared" ref="D64:D71" si="5">IF($D$72="","",(($D$72-$D$62)/10+D63))</f>
        <v/>
      </c>
      <c r="E64" s="248" t="str">
        <f t="shared" si="4"/>
        <v/>
      </c>
      <c r="G64" s="227"/>
    </row>
    <row r="65" spans="2:7" ht="12.75" customHeight="1" x14ac:dyDescent="0.25">
      <c r="B65" s="238"/>
      <c r="C65" s="228">
        <f t="shared" si="3"/>
        <v>0.30000000000000004</v>
      </c>
      <c r="D65" s="233" t="str">
        <f t="shared" si="5"/>
        <v/>
      </c>
      <c r="E65" s="248" t="str">
        <f t="shared" si="4"/>
        <v/>
      </c>
      <c r="G65" s="227"/>
    </row>
    <row r="66" spans="2:7" ht="12.75" customHeight="1" x14ac:dyDescent="0.25">
      <c r="B66" s="238"/>
      <c r="C66" s="228">
        <f t="shared" si="3"/>
        <v>0.4</v>
      </c>
      <c r="D66" s="233" t="str">
        <f t="shared" si="5"/>
        <v/>
      </c>
      <c r="E66" s="248" t="str">
        <f t="shared" si="4"/>
        <v/>
      </c>
      <c r="G66" s="227"/>
    </row>
    <row r="67" spans="2:7" ht="12.75" customHeight="1" x14ac:dyDescent="0.25">
      <c r="B67" s="238"/>
      <c r="C67" s="228">
        <f t="shared" si="3"/>
        <v>0.5</v>
      </c>
      <c r="D67" s="233" t="str">
        <f t="shared" si="5"/>
        <v/>
      </c>
      <c r="E67" s="248" t="str">
        <f t="shared" si="4"/>
        <v/>
      </c>
      <c r="G67" s="227"/>
    </row>
    <row r="68" spans="2:7" ht="12.75" customHeight="1" x14ac:dyDescent="0.25">
      <c r="B68" s="238"/>
      <c r="C68" s="228">
        <f t="shared" si="3"/>
        <v>0.6</v>
      </c>
      <c r="D68" s="233" t="str">
        <f t="shared" si="5"/>
        <v/>
      </c>
      <c r="E68" s="248" t="str">
        <f t="shared" si="4"/>
        <v/>
      </c>
      <c r="G68" s="227"/>
    </row>
    <row r="69" spans="2:7" ht="12.75" customHeight="1" x14ac:dyDescent="0.25">
      <c r="B69" s="238"/>
      <c r="C69" s="228">
        <f t="shared" si="3"/>
        <v>0.7</v>
      </c>
      <c r="D69" s="233" t="str">
        <f t="shared" si="5"/>
        <v/>
      </c>
      <c r="E69" s="248" t="str">
        <f t="shared" si="4"/>
        <v/>
      </c>
      <c r="G69" s="227"/>
    </row>
    <row r="70" spans="2:7" ht="12.75" customHeight="1" x14ac:dyDescent="0.25">
      <c r="B70" s="238"/>
      <c r="C70" s="228">
        <f t="shared" si="3"/>
        <v>0.79999999999999993</v>
      </c>
      <c r="D70" s="233" t="str">
        <f t="shared" si="5"/>
        <v/>
      </c>
      <c r="E70" s="248" t="str">
        <f t="shared" si="4"/>
        <v/>
      </c>
      <c r="G70" s="227"/>
    </row>
    <row r="71" spans="2:7" ht="12.75" customHeight="1" x14ac:dyDescent="0.25">
      <c r="B71" s="238"/>
      <c r="C71" s="228">
        <f t="shared" si="3"/>
        <v>0.89999999999999991</v>
      </c>
      <c r="D71" s="233" t="str">
        <f t="shared" si="5"/>
        <v/>
      </c>
      <c r="E71" s="248" t="str">
        <f t="shared" si="4"/>
        <v/>
      </c>
      <c r="G71" s="227"/>
    </row>
    <row r="72" spans="2:7" ht="12.75" customHeight="1" x14ac:dyDescent="0.25">
      <c r="B72" s="235" t="s">
        <v>221</v>
      </c>
      <c r="C72" s="231">
        <v>1</v>
      </c>
      <c r="D72" s="232"/>
      <c r="E72" s="248" t="str">
        <f t="shared" si="4"/>
        <v/>
      </c>
      <c r="G72" s="227"/>
    </row>
    <row r="73" spans="2:7" ht="12.75" customHeight="1" x14ac:dyDescent="0.25">
      <c r="B73" s="235" t="s">
        <v>222</v>
      </c>
      <c r="C73" s="234"/>
      <c r="D73" s="432" t="str">
        <f>IF(OR(C73="",D72=""),"",IF(C73=C62,D62,(D72-D62)/((C72-C62)/(C73-C62))+D62))</f>
        <v/>
      </c>
      <c r="E73" s="248" t="str">
        <f t="shared" si="4"/>
        <v/>
      </c>
      <c r="G73" s="227"/>
    </row>
    <row r="76" spans="2:7" ht="12.75" customHeight="1" x14ac:dyDescent="0.25">
      <c r="C76" s="225" t="s">
        <v>142</v>
      </c>
      <c r="D76" s="225" t="s">
        <v>141</v>
      </c>
      <c r="E76" s="225" t="s">
        <v>140</v>
      </c>
      <c r="F76" s="472"/>
    </row>
    <row r="77" spans="2:7" ht="12.75" customHeight="1" x14ac:dyDescent="0.25">
      <c r="C77" s="202" t="s">
        <v>427</v>
      </c>
      <c r="D77" s="514"/>
      <c r="E77" s="515"/>
      <c r="F77" s="221"/>
    </row>
    <row r="78" spans="2:7" ht="12.75" customHeight="1" x14ac:dyDescent="0.25">
      <c r="C78" s="202" t="s">
        <v>161</v>
      </c>
      <c r="D78" s="81"/>
      <c r="E78" s="202"/>
      <c r="F78" s="473"/>
    </row>
    <row r="79" spans="2:7" ht="12.75" customHeight="1" x14ac:dyDescent="0.25">
      <c r="C79" s="202" t="s">
        <v>162</v>
      </c>
      <c r="D79" s="81"/>
      <c r="E79" s="202" t="s">
        <v>160</v>
      </c>
    </row>
    <row r="80" spans="2:7" ht="12.75" customHeight="1" x14ac:dyDescent="0.25">
      <c r="C80" s="202" t="s">
        <v>166</v>
      </c>
      <c r="D80" s="81"/>
      <c r="E80" s="202" t="s">
        <v>26</v>
      </c>
    </row>
    <row r="81" spans="2:7" ht="12.75" customHeight="1" x14ac:dyDescent="0.25">
      <c r="C81" s="202" t="s">
        <v>164</v>
      </c>
      <c r="D81" s="230"/>
      <c r="E81" s="202" t="s">
        <v>32</v>
      </c>
    </row>
    <row r="82" spans="2:7" ht="12.75" hidden="1" customHeight="1" x14ac:dyDescent="0.25">
      <c r="C82" s="202" t="s">
        <v>165</v>
      </c>
      <c r="D82" s="431">
        <f>DataEntry!E79</f>
        <v>0</v>
      </c>
      <c r="E82" s="202" t="s">
        <v>89</v>
      </c>
    </row>
    <row r="83" spans="2:7" ht="12.75" hidden="1" customHeight="1" x14ac:dyDescent="0.25">
      <c r="C83" s="202" t="s">
        <v>33</v>
      </c>
      <c r="D83" s="178">
        <f>1.3391*10^-8*D82^2-1.0818*10^-6*D82+3.7125*10^-5</f>
        <v>3.7125000000000001E-5</v>
      </c>
      <c r="E83" s="202" t="s">
        <v>260</v>
      </c>
    </row>
    <row r="84" spans="2:7" ht="12.75" customHeight="1" x14ac:dyDescent="0.25"/>
    <row r="85" spans="2:7" ht="12.75" customHeight="1" x14ac:dyDescent="0.25">
      <c r="B85" s="239" t="s">
        <v>218</v>
      </c>
      <c r="C85" s="240"/>
      <c r="D85" s="226" t="s">
        <v>143</v>
      </c>
      <c r="E85" s="218" t="str">
        <f>"G @ "&amp;D82&amp;" C"</f>
        <v>G @ 0 C</v>
      </c>
    </row>
    <row r="86" spans="2:7" ht="12.75" customHeight="1" x14ac:dyDescent="0.25">
      <c r="B86" s="235" t="s">
        <v>220</v>
      </c>
      <c r="C86" s="231">
        <v>0</v>
      </c>
      <c r="D86" s="232">
        <v>0</v>
      </c>
      <c r="E86" s="248" t="str">
        <f>IF($D$81="","",(($D$78*$D$79*(0.75*PI()*$D$80*D86/60)^3)/($D$83*$D$81))^0.5)</f>
        <v/>
      </c>
      <c r="G86" s="227"/>
    </row>
    <row r="87" spans="2:7" ht="12.75" customHeight="1" x14ac:dyDescent="0.25">
      <c r="B87" s="238"/>
      <c r="C87" s="228">
        <f t="shared" ref="C87:C95" si="6">IF($C$23="","",(($C$23-$C$13)/10+C86))</f>
        <v>0.1</v>
      </c>
      <c r="D87" s="233" t="str">
        <f>IF($D$96="","",(($D$96-$D$86)/10+D86))</f>
        <v/>
      </c>
      <c r="E87" s="248" t="str">
        <f t="shared" ref="E87:E97" si="7">IF($D$81="","",(($D$78*$D$79*(0.75*PI()*$D$80*D87/60)^3)/($D$83*$D$81))^0.5)</f>
        <v/>
      </c>
      <c r="G87" s="227"/>
    </row>
    <row r="88" spans="2:7" ht="12.75" customHeight="1" x14ac:dyDescent="0.25">
      <c r="B88" s="238"/>
      <c r="C88" s="228">
        <f t="shared" si="6"/>
        <v>0.2</v>
      </c>
      <c r="D88" s="233" t="str">
        <f t="shared" ref="D88:D95" si="8">IF($D$96="","",(($D$96-$D$86)/10+D87))</f>
        <v/>
      </c>
      <c r="E88" s="248" t="str">
        <f t="shared" si="7"/>
        <v/>
      </c>
      <c r="G88" s="227"/>
    </row>
    <row r="89" spans="2:7" ht="12.75" customHeight="1" x14ac:dyDescent="0.25">
      <c r="B89" s="238"/>
      <c r="C89" s="228">
        <f t="shared" si="6"/>
        <v>0.30000000000000004</v>
      </c>
      <c r="D89" s="233" t="str">
        <f t="shared" si="8"/>
        <v/>
      </c>
      <c r="E89" s="248" t="str">
        <f t="shared" si="7"/>
        <v/>
      </c>
      <c r="G89" s="227"/>
    </row>
    <row r="90" spans="2:7" ht="12.75" customHeight="1" x14ac:dyDescent="0.25">
      <c r="B90" s="238"/>
      <c r="C90" s="228">
        <f t="shared" si="6"/>
        <v>0.4</v>
      </c>
      <c r="D90" s="233" t="str">
        <f t="shared" si="8"/>
        <v/>
      </c>
      <c r="E90" s="248" t="str">
        <f t="shared" si="7"/>
        <v/>
      </c>
      <c r="G90" s="227"/>
    </row>
    <row r="91" spans="2:7" ht="12.75" customHeight="1" x14ac:dyDescent="0.25">
      <c r="B91" s="238"/>
      <c r="C91" s="228">
        <f t="shared" si="6"/>
        <v>0.5</v>
      </c>
      <c r="D91" s="233" t="str">
        <f t="shared" si="8"/>
        <v/>
      </c>
      <c r="E91" s="248" t="str">
        <f t="shared" si="7"/>
        <v/>
      </c>
      <c r="G91" s="227"/>
    </row>
    <row r="92" spans="2:7" ht="12.75" customHeight="1" x14ac:dyDescent="0.25">
      <c r="B92" s="238"/>
      <c r="C92" s="228">
        <f t="shared" si="6"/>
        <v>0.6</v>
      </c>
      <c r="D92" s="233" t="str">
        <f t="shared" si="8"/>
        <v/>
      </c>
      <c r="E92" s="248" t="str">
        <f t="shared" si="7"/>
        <v/>
      </c>
      <c r="G92" s="227"/>
    </row>
    <row r="93" spans="2:7" ht="12.75" customHeight="1" x14ac:dyDescent="0.25">
      <c r="B93" s="238"/>
      <c r="C93" s="228">
        <f t="shared" si="6"/>
        <v>0.7</v>
      </c>
      <c r="D93" s="233" t="str">
        <f t="shared" si="8"/>
        <v/>
      </c>
      <c r="E93" s="248" t="str">
        <f t="shared" si="7"/>
        <v/>
      </c>
      <c r="G93" s="227"/>
    </row>
    <row r="94" spans="2:7" ht="12.75" customHeight="1" x14ac:dyDescent="0.25">
      <c r="B94" s="238"/>
      <c r="C94" s="228">
        <f t="shared" si="6"/>
        <v>0.79999999999999993</v>
      </c>
      <c r="D94" s="233" t="str">
        <f t="shared" si="8"/>
        <v/>
      </c>
      <c r="E94" s="248" t="str">
        <f t="shared" si="7"/>
        <v/>
      </c>
      <c r="G94" s="227"/>
    </row>
    <row r="95" spans="2:7" ht="12.75" customHeight="1" x14ac:dyDescent="0.25">
      <c r="B95" s="238"/>
      <c r="C95" s="228">
        <f t="shared" si="6"/>
        <v>0.89999999999999991</v>
      </c>
      <c r="D95" s="233" t="str">
        <f t="shared" si="8"/>
        <v/>
      </c>
      <c r="E95" s="248" t="str">
        <f t="shared" si="7"/>
        <v/>
      </c>
      <c r="G95" s="227"/>
    </row>
    <row r="96" spans="2:7" ht="12.75" customHeight="1" x14ac:dyDescent="0.25">
      <c r="B96" s="235" t="s">
        <v>221</v>
      </c>
      <c r="C96" s="231">
        <v>1</v>
      </c>
      <c r="D96" s="232"/>
      <c r="E96" s="248" t="str">
        <f t="shared" si="7"/>
        <v/>
      </c>
      <c r="G96" s="227"/>
    </row>
    <row r="97" spans="2:7" ht="12.75" customHeight="1" x14ac:dyDescent="0.25">
      <c r="B97" s="235" t="s">
        <v>222</v>
      </c>
      <c r="C97" s="234"/>
      <c r="D97" s="432" t="str">
        <f>IF(OR(C97="",D96=""),"",IF(C97=C86,D86,(D96-D86)/((C96-C86)/(C97-C86))+D86))</f>
        <v/>
      </c>
      <c r="E97" s="248" t="str">
        <f t="shared" si="7"/>
        <v/>
      </c>
      <c r="G97" s="227"/>
    </row>
  </sheetData>
  <sheetProtection sheet="1"/>
  <phoneticPr fontId="0" type="noConversion"/>
  <pageMargins left="0.75" right="0.75" top="1" bottom="1" header="0.5" footer="0.5"/>
  <pageSetup scale="67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G41"/>
  <sheetViews>
    <sheetView showGridLines="0" zoomScaleNormal="100" workbookViewId="0">
      <selection activeCell="A53" sqref="A53"/>
    </sheetView>
  </sheetViews>
  <sheetFormatPr defaultColWidth="8.8984375" defaultRowHeight="13.8" x14ac:dyDescent="0.25"/>
  <cols>
    <col min="1" max="1" width="2.5" style="194" customWidth="1"/>
    <col min="2" max="2" width="5.3984375" style="194" customWidth="1"/>
    <col min="3" max="3" width="19.09765625" style="194" customWidth="1"/>
    <col min="4" max="4" width="11" style="194" customWidth="1"/>
    <col min="5" max="5" width="16.09765625" style="194" customWidth="1"/>
    <col min="6" max="6" width="2.796875" style="194" customWidth="1"/>
    <col min="7" max="7" width="16.09765625" style="194" customWidth="1"/>
    <col min="8" max="16384" width="8.8984375" style="194"/>
  </cols>
  <sheetData>
    <row r="1" spans="2:7" x14ac:dyDescent="0.25">
      <c r="C1" s="193" t="s">
        <v>264</v>
      </c>
    </row>
    <row r="2" spans="2:7" ht="12.75" customHeight="1" x14ac:dyDescent="0.25"/>
    <row r="3" spans="2:7" ht="12.75" customHeight="1" x14ac:dyDescent="0.25"/>
    <row r="4" spans="2:7" ht="12.75" customHeight="1" x14ac:dyDescent="0.25">
      <c r="C4" s="225" t="s">
        <v>142</v>
      </c>
      <c r="D4" s="225" t="s">
        <v>141</v>
      </c>
      <c r="E4" s="225" t="s">
        <v>140</v>
      </c>
      <c r="F4" s="472" t="s">
        <v>223</v>
      </c>
    </row>
    <row r="5" spans="2:7" ht="12.75" customHeight="1" x14ac:dyDescent="0.25">
      <c r="C5" s="202" t="s">
        <v>161</v>
      </c>
      <c r="D5" s="250">
        <v>3</v>
      </c>
      <c r="E5" s="202"/>
      <c r="F5" s="221" t="s">
        <v>268</v>
      </c>
    </row>
    <row r="6" spans="2:7" ht="12.75" customHeight="1" x14ac:dyDescent="0.25">
      <c r="C6" s="202" t="s">
        <v>162</v>
      </c>
      <c r="D6" s="250"/>
      <c r="E6" s="202" t="s">
        <v>160</v>
      </c>
      <c r="F6" s="473" t="s">
        <v>258</v>
      </c>
    </row>
    <row r="7" spans="2:7" ht="12.75" customHeight="1" x14ac:dyDescent="0.25">
      <c r="C7" s="202" t="s">
        <v>183</v>
      </c>
      <c r="D7" s="250"/>
      <c r="E7" s="202" t="s">
        <v>26</v>
      </c>
    </row>
    <row r="8" spans="2:7" ht="12.75" customHeight="1" x14ac:dyDescent="0.25">
      <c r="C8" s="202" t="s">
        <v>164</v>
      </c>
      <c r="D8" s="250"/>
      <c r="E8" s="202" t="s">
        <v>32</v>
      </c>
    </row>
    <row r="9" spans="2:7" ht="12.75" hidden="1" customHeight="1" x14ac:dyDescent="0.25">
      <c r="C9" s="202" t="s">
        <v>165</v>
      </c>
      <c r="D9" s="414">
        <f>DataEntry!E6</f>
        <v>0</v>
      </c>
      <c r="E9" s="202" t="s">
        <v>89</v>
      </c>
    </row>
    <row r="10" spans="2:7" ht="12.75" hidden="1" customHeight="1" x14ac:dyDescent="0.25">
      <c r="C10" s="202" t="s">
        <v>33</v>
      </c>
      <c r="D10" s="251">
        <f>1.3391*10^-8*D9^2-1.0818*10^-6*D9+3.7125*10^-5</f>
        <v>3.7125000000000001E-5</v>
      </c>
      <c r="E10" s="202" t="s">
        <v>260</v>
      </c>
    </row>
    <row r="11" spans="2:7" ht="12.75" customHeight="1" x14ac:dyDescent="0.25"/>
    <row r="12" spans="2:7" ht="12.75" customHeight="1" x14ac:dyDescent="0.25">
      <c r="B12" s="237"/>
      <c r="C12" s="218" t="s">
        <v>218</v>
      </c>
      <c r="D12" s="218" t="s">
        <v>219</v>
      </c>
      <c r="E12" s="218" t="str">
        <f>"G @ "&amp;D9&amp;" C"</f>
        <v>G @ 0 C</v>
      </c>
      <c r="F12" s="247"/>
    </row>
    <row r="13" spans="2:7" ht="12.75" customHeight="1" x14ac:dyDescent="0.25">
      <c r="B13" s="235" t="s">
        <v>220</v>
      </c>
      <c r="C13" s="242">
        <v>0</v>
      </c>
      <c r="D13" s="252"/>
      <c r="E13" s="253" t="str">
        <f>IF($D$8="","",((12.74*$D$5*$D$6*$D$7^3*(D13/60)^3)/($D$10*$D$8))^0.5)</f>
        <v/>
      </c>
      <c r="F13" s="227"/>
      <c r="G13" s="227"/>
    </row>
    <row r="14" spans="2:7" ht="12.75" customHeight="1" x14ac:dyDescent="0.25">
      <c r="B14" s="238"/>
      <c r="C14" s="254">
        <f>IF($C23=0,"",(($C$23-$C$13)/10+C13))</f>
        <v>0.1</v>
      </c>
      <c r="D14" s="255" t="str">
        <f>IF($D23=0,"",(($D$23-$D$13)/10+D13))</f>
        <v/>
      </c>
      <c r="E14" s="253" t="str">
        <f t="shared" ref="E14:E23" si="0">IF($D$8="","",((12.74*$D$5*$D$6*$D$7^3*(D14/60)^3)/($D$10*$D$8))^0.5)</f>
        <v/>
      </c>
      <c r="F14" s="227"/>
      <c r="G14" s="227"/>
    </row>
    <row r="15" spans="2:7" ht="12.75" customHeight="1" x14ac:dyDescent="0.25">
      <c r="B15" s="238"/>
      <c r="C15" s="254">
        <f>IF($C23=0,"",(($C$23-$C$13)/10+C14))</f>
        <v>0.2</v>
      </c>
      <c r="D15" s="255" t="str">
        <f>IF($D23=0,"",(($D$23-$D$13)/10+D14))</f>
        <v/>
      </c>
      <c r="E15" s="253" t="str">
        <f t="shared" si="0"/>
        <v/>
      </c>
      <c r="F15" s="227"/>
      <c r="G15" s="227"/>
    </row>
    <row r="16" spans="2:7" ht="12.75" customHeight="1" x14ac:dyDescent="0.25">
      <c r="B16" s="238"/>
      <c r="C16" s="254">
        <f>IF($C23=0,"",(($C$23-$C$13)/10+C15))</f>
        <v>0.30000000000000004</v>
      </c>
      <c r="D16" s="255" t="str">
        <f>IF($D23=0,"",(($D$23-$D$13)/10+D15))</f>
        <v/>
      </c>
      <c r="E16" s="253" t="str">
        <f t="shared" si="0"/>
        <v/>
      </c>
      <c r="F16" s="227"/>
      <c r="G16" s="227"/>
    </row>
    <row r="17" spans="2:7" ht="12.75" customHeight="1" x14ac:dyDescent="0.25">
      <c r="B17" s="238"/>
      <c r="C17" s="254">
        <f>IF($C23=0,"",(($C$23-$C$13)/10+C16))</f>
        <v>0.4</v>
      </c>
      <c r="D17" s="255" t="str">
        <f>IF($D23=0,"",(($D$23-$D$13)/10+D16))</f>
        <v/>
      </c>
      <c r="E17" s="253" t="str">
        <f t="shared" si="0"/>
        <v/>
      </c>
      <c r="F17" s="227"/>
      <c r="G17" s="227"/>
    </row>
    <row r="18" spans="2:7" ht="12.75" customHeight="1" x14ac:dyDescent="0.25">
      <c r="B18" s="238"/>
      <c r="C18" s="254">
        <f>IF($C23=0,"",(($C$23-$C$13)/10+C17))</f>
        <v>0.5</v>
      </c>
      <c r="D18" s="255" t="str">
        <f>IF($D23=0,"",(($D$23-$D$13)/10+D17))</f>
        <v/>
      </c>
      <c r="E18" s="253" t="str">
        <f t="shared" si="0"/>
        <v/>
      </c>
      <c r="F18" s="227"/>
      <c r="G18" s="227"/>
    </row>
    <row r="19" spans="2:7" ht="12.75" customHeight="1" x14ac:dyDescent="0.25">
      <c r="B19" s="238"/>
      <c r="C19" s="254">
        <f>IF($C23=0,"",(($C$23-$C$13)/10+C18))</f>
        <v>0.6</v>
      </c>
      <c r="D19" s="255" t="str">
        <f>IF($D23=0,"",(($D$23-$D$13)/10+D18))</f>
        <v/>
      </c>
      <c r="E19" s="253" t="str">
        <f t="shared" si="0"/>
        <v/>
      </c>
      <c r="F19" s="227"/>
      <c r="G19" s="227"/>
    </row>
    <row r="20" spans="2:7" ht="12.75" customHeight="1" x14ac:dyDescent="0.25">
      <c r="B20" s="238"/>
      <c r="C20" s="254">
        <f>IF($C23=0,"",(($C$23-$C$13)/10+C19))</f>
        <v>0.7</v>
      </c>
      <c r="D20" s="255" t="str">
        <f>IF($D23=0,"",(($D$23-$D$13)/10+D19))</f>
        <v/>
      </c>
      <c r="E20" s="253" t="str">
        <f t="shared" si="0"/>
        <v/>
      </c>
      <c r="F20" s="227"/>
      <c r="G20" s="227"/>
    </row>
    <row r="21" spans="2:7" ht="12.75" customHeight="1" x14ac:dyDescent="0.25">
      <c r="B21" s="238"/>
      <c r="C21" s="254">
        <f>IF($C23=0,"",(($C$23-$C$13)/10+C20))</f>
        <v>0.79999999999999993</v>
      </c>
      <c r="D21" s="255" t="str">
        <f>IF($D23=0,"",(($D$23-$D$13)/10+D20))</f>
        <v/>
      </c>
      <c r="E21" s="253" t="str">
        <f t="shared" si="0"/>
        <v/>
      </c>
      <c r="F21" s="227"/>
      <c r="G21" s="227"/>
    </row>
    <row r="22" spans="2:7" ht="12.75" customHeight="1" x14ac:dyDescent="0.25">
      <c r="B22" s="238"/>
      <c r="C22" s="254">
        <f>IF($C23=0,"",(($C$23-$C$13)/10+C21))</f>
        <v>0.89999999999999991</v>
      </c>
      <c r="D22" s="255" t="str">
        <f>IF($D23=0,"",(($D$23-$D$13)/10+D21))</f>
        <v/>
      </c>
      <c r="E22" s="253" t="str">
        <f t="shared" si="0"/>
        <v/>
      </c>
      <c r="F22" s="227"/>
      <c r="G22" s="227"/>
    </row>
    <row r="23" spans="2:7" ht="12.75" customHeight="1" x14ac:dyDescent="0.25">
      <c r="B23" s="235" t="s">
        <v>221</v>
      </c>
      <c r="C23" s="242">
        <v>1</v>
      </c>
      <c r="D23" s="252"/>
      <c r="E23" s="253" t="str">
        <f t="shared" si="0"/>
        <v/>
      </c>
      <c r="F23" s="227"/>
      <c r="G23" s="227"/>
    </row>
    <row r="24" spans="2:7" ht="12.75" customHeight="1" x14ac:dyDescent="0.25">
      <c r="B24" s="235" t="s">
        <v>222</v>
      </c>
      <c r="C24" s="242"/>
      <c r="D24" s="241" t="str">
        <f>IF(OR(C24="",D23=""),"",IF(C24=C13,D13,(D23-D13)/((C23-C13)/(C24-C13))+D13))</f>
        <v/>
      </c>
      <c r="E24" s="253" t="str">
        <f>IF(D8="","",IF(C24&lt;C13,"Error",((12.74*$D$5*$D$6*$D$7^3*(D24/60)^3)/($D$10*$D$8))^0.5))</f>
        <v/>
      </c>
      <c r="F24" s="227"/>
      <c r="G24" s="227"/>
    </row>
    <row r="25" spans="2:7" ht="12.75" customHeight="1" x14ac:dyDescent="0.25"/>
    <row r="26" spans="2:7" ht="12.75" customHeight="1" x14ac:dyDescent="0.25">
      <c r="C26" s="249" t="s">
        <v>155</v>
      </c>
    </row>
    <row r="27" spans="2:7" ht="12.75" customHeight="1" x14ac:dyDescent="0.25"/>
    <row r="28" spans="2:7" ht="12.75" customHeight="1" x14ac:dyDescent="0.25">
      <c r="B28" s="221" t="s">
        <v>223</v>
      </c>
    </row>
    <row r="29" spans="2:7" ht="12.75" customHeight="1" x14ac:dyDescent="0.25">
      <c r="B29" s="221" t="s">
        <v>265</v>
      </c>
    </row>
    <row r="30" spans="2:7" ht="12.75" customHeight="1" x14ac:dyDescent="0.25">
      <c r="B30" s="221" t="s">
        <v>225</v>
      </c>
    </row>
    <row r="31" spans="2:7" ht="12.75" customHeight="1" x14ac:dyDescent="0.25">
      <c r="B31" s="221" t="s">
        <v>267</v>
      </c>
    </row>
    <row r="32" spans="2:7" ht="12.75" customHeight="1" x14ac:dyDescent="0.25">
      <c r="B32" s="221" t="s">
        <v>266</v>
      </c>
    </row>
    <row r="33" spans="2:2" ht="12.75" customHeight="1" x14ac:dyDescent="0.25">
      <c r="B33" s="221" t="s">
        <v>226</v>
      </c>
    </row>
    <row r="34" spans="2:2" ht="12.75" customHeight="1" x14ac:dyDescent="0.25"/>
    <row r="35" spans="2:2" ht="12.75" customHeight="1" x14ac:dyDescent="0.25"/>
    <row r="36" spans="2:2" ht="12.75" customHeight="1" x14ac:dyDescent="0.25"/>
    <row r="37" spans="2:2" ht="12.75" customHeight="1" x14ac:dyDescent="0.25"/>
    <row r="38" spans="2:2" ht="12.75" customHeight="1" x14ac:dyDescent="0.25"/>
    <row r="39" spans="2:2" ht="12.75" customHeight="1" x14ac:dyDescent="0.25"/>
    <row r="40" spans="2:2" ht="12.75" customHeight="1" x14ac:dyDescent="0.25"/>
    <row r="41" spans="2:2" ht="12.75" customHeight="1" x14ac:dyDescent="0.25"/>
  </sheetData>
  <sheetProtection sheet="1"/>
  <phoneticPr fontId="0" type="noConversion"/>
  <pageMargins left="0.75" right="0.75" top="1" bottom="1" header="0.5" footer="0.5"/>
  <pageSetup scale="63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CS10"/>
  <sheetViews>
    <sheetView showGridLines="0" workbookViewId="0">
      <selection activeCell="A53" sqref="A53"/>
    </sheetView>
  </sheetViews>
  <sheetFormatPr defaultColWidth="8.8984375" defaultRowHeight="13.2" x14ac:dyDescent="0.25"/>
  <cols>
    <col min="1" max="1" width="8.8984375" style="29"/>
    <col min="2" max="4" width="10.59765625" style="29" customWidth="1"/>
    <col min="5" max="16384" width="8.8984375" style="29"/>
  </cols>
  <sheetData>
    <row r="1" spans="1:97" x14ac:dyDescent="0.25">
      <c r="A1" s="30" t="s">
        <v>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 t="s">
        <v>295</v>
      </c>
      <c r="O1" s="28" t="s">
        <v>292</v>
      </c>
      <c r="P1" s="28" t="s">
        <v>241</v>
      </c>
      <c r="Q1" s="28" t="s">
        <v>292</v>
      </c>
      <c r="R1" s="28" t="s">
        <v>241</v>
      </c>
      <c r="S1" s="28"/>
      <c r="T1" s="28"/>
      <c r="U1" s="28"/>
      <c r="V1" s="28" t="s">
        <v>253</v>
      </c>
      <c r="W1" s="28" t="s">
        <v>253</v>
      </c>
      <c r="X1" s="28" t="s">
        <v>253</v>
      </c>
      <c r="Y1" s="28" t="s">
        <v>253</v>
      </c>
      <c r="Z1" s="28" t="s">
        <v>100</v>
      </c>
      <c r="AA1" s="28" t="s">
        <v>100</v>
      </c>
      <c r="AB1" s="28" t="s">
        <v>100</v>
      </c>
      <c r="AC1" s="28" t="s">
        <v>100</v>
      </c>
      <c r="AD1" s="28" t="s">
        <v>100</v>
      </c>
      <c r="AE1" s="28" t="s">
        <v>100</v>
      </c>
      <c r="AF1" s="28"/>
      <c r="AG1" s="450" t="s">
        <v>313</v>
      </c>
      <c r="AH1" s="451"/>
      <c r="AI1" s="452"/>
      <c r="AJ1" s="28" t="s">
        <v>315</v>
      </c>
      <c r="AK1" s="28" t="s">
        <v>104</v>
      </c>
      <c r="AL1" s="28" t="s">
        <v>104</v>
      </c>
      <c r="AM1" s="28" t="s">
        <v>104</v>
      </c>
      <c r="AN1" s="28" t="s">
        <v>104</v>
      </c>
      <c r="AO1" s="28" t="s">
        <v>104</v>
      </c>
      <c r="AP1" s="28" t="s">
        <v>104</v>
      </c>
      <c r="AQ1" s="28" t="s">
        <v>104</v>
      </c>
      <c r="AR1" s="28" t="s">
        <v>104</v>
      </c>
      <c r="AS1" s="28" t="s">
        <v>104</v>
      </c>
      <c r="AT1" s="28" t="s">
        <v>104</v>
      </c>
      <c r="AU1" s="28" t="s">
        <v>112</v>
      </c>
      <c r="AV1" s="28" t="s">
        <v>112</v>
      </c>
      <c r="AW1" s="28" t="s">
        <v>112</v>
      </c>
      <c r="AX1" s="28" t="s">
        <v>112</v>
      </c>
      <c r="AY1" s="28" t="s">
        <v>112</v>
      </c>
      <c r="AZ1" s="28" t="s">
        <v>112</v>
      </c>
      <c r="BA1" s="28" t="s">
        <v>112</v>
      </c>
      <c r="BB1" s="28" t="s">
        <v>112</v>
      </c>
      <c r="BC1" s="28" t="s">
        <v>112</v>
      </c>
      <c r="BD1" s="28" t="s">
        <v>112</v>
      </c>
      <c r="BE1" s="28" t="s">
        <v>113</v>
      </c>
      <c r="BF1" s="28" t="s">
        <v>113</v>
      </c>
      <c r="BG1" s="28" t="s">
        <v>113</v>
      </c>
      <c r="BH1" s="28" t="s">
        <v>113</v>
      </c>
      <c r="BI1" s="28" t="s">
        <v>113</v>
      </c>
      <c r="BJ1" s="28" t="s">
        <v>113</v>
      </c>
      <c r="BK1" s="28" t="s">
        <v>113</v>
      </c>
      <c r="BL1" s="28" t="s">
        <v>113</v>
      </c>
      <c r="BM1" s="28" t="s">
        <v>113</v>
      </c>
      <c r="BN1" s="28" t="s">
        <v>113</v>
      </c>
      <c r="BO1" s="28" t="s">
        <v>114</v>
      </c>
      <c r="BP1" s="28" t="s">
        <v>114</v>
      </c>
      <c r="BQ1" s="28" t="s">
        <v>114</v>
      </c>
      <c r="BR1" s="28" t="s">
        <v>114</v>
      </c>
      <c r="BS1" s="28" t="s">
        <v>114</v>
      </c>
      <c r="BT1" s="28" t="s">
        <v>114</v>
      </c>
      <c r="BU1" s="28" t="s">
        <v>114</v>
      </c>
      <c r="BV1" s="28" t="s">
        <v>114</v>
      </c>
      <c r="BW1" s="28" t="s">
        <v>114</v>
      </c>
      <c r="BX1" s="28" t="s">
        <v>114</v>
      </c>
      <c r="BY1" s="28" t="s">
        <v>115</v>
      </c>
      <c r="BZ1" s="28" t="s">
        <v>115</v>
      </c>
      <c r="CA1" s="28" t="s">
        <v>115</v>
      </c>
      <c r="CB1" s="28" t="s">
        <v>115</v>
      </c>
      <c r="CC1" s="28" t="s">
        <v>115</v>
      </c>
      <c r="CD1" s="28" t="s">
        <v>115</v>
      </c>
      <c r="CE1" s="28" t="s">
        <v>115</v>
      </c>
      <c r="CF1" s="28" t="s">
        <v>115</v>
      </c>
      <c r="CG1" s="28" t="s">
        <v>115</v>
      </c>
      <c r="CH1" s="28" t="s">
        <v>115</v>
      </c>
      <c r="CI1" s="28" t="s">
        <v>116</v>
      </c>
      <c r="CJ1" s="28" t="s">
        <v>116</v>
      </c>
      <c r="CK1" s="28" t="s">
        <v>116</v>
      </c>
      <c r="CL1" s="28" t="s">
        <v>116</v>
      </c>
      <c r="CM1" s="28" t="s">
        <v>116</v>
      </c>
      <c r="CN1" s="28" t="s">
        <v>116</v>
      </c>
      <c r="CO1" s="28" t="s">
        <v>116</v>
      </c>
      <c r="CP1" s="28" t="s">
        <v>116</v>
      </c>
      <c r="CQ1" s="28" t="s">
        <v>116</v>
      </c>
      <c r="CR1" s="28" t="s">
        <v>116</v>
      </c>
      <c r="CS1" s="28"/>
    </row>
    <row r="2" spans="1:97" x14ac:dyDescent="0.25">
      <c r="A2" s="30" t="s">
        <v>77</v>
      </c>
      <c r="B2" s="30"/>
      <c r="C2" s="30" t="s">
        <v>291</v>
      </c>
      <c r="D2" s="30" t="s">
        <v>85</v>
      </c>
      <c r="E2" s="30" t="s">
        <v>76</v>
      </c>
      <c r="F2" s="30" t="s">
        <v>76</v>
      </c>
      <c r="G2" s="30" t="s">
        <v>83</v>
      </c>
      <c r="H2" s="30" t="s">
        <v>85</v>
      </c>
      <c r="I2" s="30" t="s">
        <v>85</v>
      </c>
      <c r="J2" s="30" t="s">
        <v>83</v>
      </c>
      <c r="K2" s="30" t="s">
        <v>83</v>
      </c>
      <c r="L2" s="30" t="s">
        <v>83</v>
      </c>
      <c r="M2" s="30" t="s">
        <v>20</v>
      </c>
      <c r="N2" s="30" t="s">
        <v>105</v>
      </c>
      <c r="O2" s="30" t="s">
        <v>293</v>
      </c>
      <c r="P2" s="30" t="s">
        <v>292</v>
      </c>
      <c r="Q2" s="30" t="s">
        <v>294</v>
      </c>
      <c r="R2" s="30" t="s">
        <v>292</v>
      </c>
      <c r="S2" s="30" t="s">
        <v>108</v>
      </c>
      <c r="T2" s="30" t="s">
        <v>297</v>
      </c>
      <c r="U2" s="30" t="s">
        <v>298</v>
      </c>
      <c r="V2" s="30" t="s">
        <v>101</v>
      </c>
      <c r="W2" s="30" t="s">
        <v>37</v>
      </c>
      <c r="X2" s="30" t="s">
        <v>101</v>
      </c>
      <c r="Y2" s="30" t="s">
        <v>37</v>
      </c>
      <c r="Z2" s="30" t="s">
        <v>300</v>
      </c>
      <c r="AA2" s="30" t="s">
        <v>300</v>
      </c>
      <c r="AB2" s="30" t="s">
        <v>301</v>
      </c>
      <c r="AC2" s="30" t="s">
        <v>301</v>
      </c>
      <c r="AD2" s="30" t="s">
        <v>302</v>
      </c>
      <c r="AE2" s="30" t="s">
        <v>302</v>
      </c>
      <c r="AF2" s="30" t="s">
        <v>102</v>
      </c>
      <c r="AG2" s="30" t="s">
        <v>20</v>
      </c>
      <c r="AH2" s="30" t="s">
        <v>292</v>
      </c>
      <c r="AI2" s="30" t="s">
        <v>292</v>
      </c>
      <c r="AJ2" s="30" t="s">
        <v>316</v>
      </c>
      <c r="AK2" s="30" t="s">
        <v>20</v>
      </c>
      <c r="AL2" s="30" t="s">
        <v>303</v>
      </c>
      <c r="AM2" s="30" t="s">
        <v>304</v>
      </c>
      <c r="AN2" s="30" t="s">
        <v>305</v>
      </c>
      <c r="AO2" s="30" t="s">
        <v>100</v>
      </c>
      <c r="AP2" s="30" t="s">
        <v>108</v>
      </c>
      <c r="AQ2" s="30" t="s">
        <v>108</v>
      </c>
      <c r="AR2" s="30" t="s">
        <v>110</v>
      </c>
      <c r="AS2" s="30" t="s">
        <v>108</v>
      </c>
      <c r="AT2" s="30" t="s">
        <v>108</v>
      </c>
      <c r="AU2" s="30" t="s">
        <v>20</v>
      </c>
      <c r="AV2" s="30" t="s">
        <v>303</v>
      </c>
      <c r="AW2" s="30" t="s">
        <v>304</v>
      </c>
      <c r="AX2" s="30" t="s">
        <v>305</v>
      </c>
      <c r="AY2" s="30" t="s">
        <v>100</v>
      </c>
      <c r="AZ2" s="30" t="s">
        <v>108</v>
      </c>
      <c r="BA2" s="30" t="s">
        <v>108</v>
      </c>
      <c r="BB2" s="30" t="s">
        <v>110</v>
      </c>
      <c r="BC2" s="30" t="s">
        <v>108</v>
      </c>
      <c r="BD2" s="30" t="s">
        <v>108</v>
      </c>
      <c r="BE2" s="30" t="s">
        <v>20</v>
      </c>
      <c r="BF2" s="30" t="s">
        <v>303</v>
      </c>
      <c r="BG2" s="30" t="s">
        <v>304</v>
      </c>
      <c r="BH2" s="30" t="s">
        <v>305</v>
      </c>
      <c r="BI2" s="30" t="s">
        <v>100</v>
      </c>
      <c r="BJ2" s="30" t="s">
        <v>108</v>
      </c>
      <c r="BK2" s="30" t="s">
        <v>108</v>
      </c>
      <c r="BL2" s="30" t="s">
        <v>110</v>
      </c>
      <c r="BM2" s="30" t="s">
        <v>108</v>
      </c>
      <c r="BN2" s="30" t="s">
        <v>108</v>
      </c>
      <c r="BO2" s="30" t="s">
        <v>20</v>
      </c>
      <c r="BP2" s="30" t="s">
        <v>303</v>
      </c>
      <c r="BQ2" s="30" t="s">
        <v>304</v>
      </c>
      <c r="BR2" s="30" t="s">
        <v>305</v>
      </c>
      <c r="BS2" s="30" t="s">
        <v>100</v>
      </c>
      <c r="BT2" s="30" t="s">
        <v>108</v>
      </c>
      <c r="BU2" s="30" t="s">
        <v>108</v>
      </c>
      <c r="BV2" s="30" t="s">
        <v>110</v>
      </c>
      <c r="BW2" s="30" t="s">
        <v>108</v>
      </c>
      <c r="BX2" s="30" t="s">
        <v>108</v>
      </c>
      <c r="BY2" s="30" t="s">
        <v>20</v>
      </c>
      <c r="BZ2" s="30" t="s">
        <v>303</v>
      </c>
      <c r="CA2" s="30" t="s">
        <v>304</v>
      </c>
      <c r="CB2" s="30" t="s">
        <v>305</v>
      </c>
      <c r="CC2" s="30" t="s">
        <v>100</v>
      </c>
      <c r="CD2" s="30" t="s">
        <v>108</v>
      </c>
      <c r="CE2" s="30" t="s">
        <v>108</v>
      </c>
      <c r="CF2" s="30" t="s">
        <v>110</v>
      </c>
      <c r="CG2" s="30" t="s">
        <v>108</v>
      </c>
      <c r="CH2" s="30" t="s">
        <v>108</v>
      </c>
      <c r="CI2" s="30" t="s">
        <v>20</v>
      </c>
      <c r="CJ2" s="30" t="s">
        <v>303</v>
      </c>
      <c r="CK2" s="30" t="s">
        <v>304</v>
      </c>
      <c r="CL2" s="30" t="s">
        <v>106</v>
      </c>
      <c r="CM2" s="30" t="s">
        <v>100</v>
      </c>
      <c r="CN2" s="30" t="s">
        <v>108</v>
      </c>
      <c r="CO2" s="30" t="s">
        <v>108</v>
      </c>
      <c r="CP2" s="30" t="s">
        <v>110</v>
      </c>
      <c r="CQ2" s="30" t="s">
        <v>108</v>
      </c>
      <c r="CR2" s="30" t="s">
        <v>108</v>
      </c>
      <c r="CS2" s="30" t="s">
        <v>117</v>
      </c>
    </row>
    <row r="3" spans="1:97" x14ac:dyDescent="0.25">
      <c r="A3" s="30">
        <v>38477.01</v>
      </c>
      <c r="B3" s="30" t="s">
        <v>36</v>
      </c>
      <c r="C3" s="30" t="s">
        <v>123</v>
      </c>
      <c r="D3" s="30" t="s">
        <v>122</v>
      </c>
      <c r="E3" s="30" t="s">
        <v>78</v>
      </c>
      <c r="F3" s="30" t="s">
        <v>37</v>
      </c>
      <c r="G3" s="30" t="s">
        <v>84</v>
      </c>
      <c r="H3" s="30" t="s">
        <v>86</v>
      </c>
      <c r="I3" s="30" t="s">
        <v>90</v>
      </c>
      <c r="J3" s="30" t="s">
        <v>16</v>
      </c>
      <c r="K3" s="30" t="s">
        <v>92</v>
      </c>
      <c r="L3" s="30" t="s">
        <v>74</v>
      </c>
      <c r="M3" s="30" t="s">
        <v>123</v>
      </c>
      <c r="N3" s="30" t="s">
        <v>20</v>
      </c>
      <c r="O3" s="30" t="s">
        <v>123</v>
      </c>
      <c r="P3" s="30" t="s">
        <v>293</v>
      </c>
      <c r="Q3" s="30" t="s">
        <v>123</v>
      </c>
      <c r="R3" s="30" t="s">
        <v>294</v>
      </c>
      <c r="S3" s="30" t="s">
        <v>84</v>
      </c>
      <c r="T3" s="30" t="s">
        <v>84</v>
      </c>
      <c r="U3" s="30" t="s">
        <v>92</v>
      </c>
      <c r="V3" s="30" t="s">
        <v>374</v>
      </c>
      <c r="W3" s="30" t="s">
        <v>374</v>
      </c>
      <c r="X3" s="30" t="s">
        <v>373</v>
      </c>
      <c r="Y3" s="30" t="s">
        <v>373</v>
      </c>
      <c r="Z3" s="30" t="s">
        <v>101</v>
      </c>
      <c r="AA3" s="30" t="s">
        <v>37</v>
      </c>
      <c r="AB3" s="30" t="s">
        <v>101</v>
      </c>
      <c r="AC3" s="30" t="s">
        <v>37</v>
      </c>
      <c r="AD3" s="30" t="s">
        <v>101</v>
      </c>
      <c r="AE3" s="30" t="s">
        <v>37</v>
      </c>
      <c r="AF3" s="30" t="s">
        <v>37</v>
      </c>
      <c r="AG3" s="30"/>
      <c r="AH3" s="30" t="s">
        <v>293</v>
      </c>
      <c r="AI3" s="30" t="s">
        <v>294</v>
      </c>
      <c r="AJ3" s="30" t="s">
        <v>317</v>
      </c>
      <c r="AK3" s="30" t="s">
        <v>105</v>
      </c>
      <c r="AL3" s="30" t="s">
        <v>105</v>
      </c>
      <c r="AM3" s="30" t="s">
        <v>105</v>
      </c>
      <c r="AN3" s="30" t="s">
        <v>306</v>
      </c>
      <c r="AO3" s="30" t="s">
        <v>95</v>
      </c>
      <c r="AP3" s="30" t="s">
        <v>109</v>
      </c>
      <c r="AQ3" s="30" t="s">
        <v>16</v>
      </c>
      <c r="AR3" s="30" t="s">
        <v>109</v>
      </c>
      <c r="AS3" s="30" t="s">
        <v>92</v>
      </c>
      <c r="AT3" s="30" t="s">
        <v>111</v>
      </c>
      <c r="AU3" s="30" t="s">
        <v>105</v>
      </c>
      <c r="AV3" s="30" t="s">
        <v>105</v>
      </c>
      <c r="AW3" s="30" t="s">
        <v>105</v>
      </c>
      <c r="AX3" s="30" t="s">
        <v>306</v>
      </c>
      <c r="AY3" s="30" t="s">
        <v>95</v>
      </c>
      <c r="AZ3" s="30" t="s">
        <v>109</v>
      </c>
      <c r="BA3" s="30" t="s">
        <v>16</v>
      </c>
      <c r="BB3" s="30" t="s">
        <v>109</v>
      </c>
      <c r="BC3" s="30" t="s">
        <v>92</v>
      </c>
      <c r="BD3" s="30" t="s">
        <v>111</v>
      </c>
      <c r="BE3" s="30" t="s">
        <v>105</v>
      </c>
      <c r="BF3" s="30" t="s">
        <v>105</v>
      </c>
      <c r="BG3" s="30" t="s">
        <v>105</v>
      </c>
      <c r="BH3" s="30" t="s">
        <v>306</v>
      </c>
      <c r="BI3" s="30" t="s">
        <v>95</v>
      </c>
      <c r="BJ3" s="30" t="s">
        <v>109</v>
      </c>
      <c r="BK3" s="30" t="s">
        <v>16</v>
      </c>
      <c r="BL3" s="30" t="s">
        <v>109</v>
      </c>
      <c r="BM3" s="30" t="s">
        <v>92</v>
      </c>
      <c r="BN3" s="30" t="s">
        <v>111</v>
      </c>
      <c r="BO3" s="30" t="s">
        <v>105</v>
      </c>
      <c r="BP3" s="30" t="s">
        <v>105</v>
      </c>
      <c r="BQ3" s="30" t="s">
        <v>105</v>
      </c>
      <c r="BR3" s="30" t="s">
        <v>306</v>
      </c>
      <c r="BS3" s="30" t="s">
        <v>95</v>
      </c>
      <c r="BT3" s="30" t="s">
        <v>109</v>
      </c>
      <c r="BU3" s="30" t="s">
        <v>16</v>
      </c>
      <c r="BV3" s="30" t="s">
        <v>109</v>
      </c>
      <c r="BW3" s="30" t="s">
        <v>92</v>
      </c>
      <c r="BX3" s="30" t="s">
        <v>111</v>
      </c>
      <c r="BY3" s="30" t="s">
        <v>105</v>
      </c>
      <c r="BZ3" s="30" t="s">
        <v>105</v>
      </c>
      <c r="CA3" s="30" t="s">
        <v>105</v>
      </c>
      <c r="CB3" s="30" t="s">
        <v>306</v>
      </c>
      <c r="CC3" s="30" t="s">
        <v>95</v>
      </c>
      <c r="CD3" s="30" t="s">
        <v>109</v>
      </c>
      <c r="CE3" s="30" t="s">
        <v>16</v>
      </c>
      <c r="CF3" s="30" t="s">
        <v>109</v>
      </c>
      <c r="CG3" s="30" t="s">
        <v>92</v>
      </c>
      <c r="CH3" s="30" t="s">
        <v>111</v>
      </c>
      <c r="CI3" s="30" t="s">
        <v>105</v>
      </c>
      <c r="CJ3" s="30" t="s">
        <v>105</v>
      </c>
      <c r="CK3" s="30" t="s">
        <v>105</v>
      </c>
      <c r="CL3" s="30" t="s">
        <v>100</v>
      </c>
      <c r="CM3" s="30" t="s">
        <v>95</v>
      </c>
      <c r="CN3" s="30" t="s">
        <v>109</v>
      </c>
      <c r="CO3" s="30" t="s">
        <v>16</v>
      </c>
      <c r="CP3" s="30" t="s">
        <v>109</v>
      </c>
      <c r="CQ3" s="30" t="s">
        <v>92</v>
      </c>
      <c r="CR3" s="30" t="s">
        <v>111</v>
      </c>
      <c r="CS3" s="30" t="s">
        <v>118</v>
      </c>
    </row>
    <row r="4" spans="1:97" x14ac:dyDescent="0.25">
      <c r="A4" s="31" t="s">
        <v>79</v>
      </c>
      <c r="B4" s="31" t="s">
        <v>80</v>
      </c>
      <c r="C4" s="31"/>
      <c r="D4" s="31"/>
      <c r="E4" s="31" t="s">
        <v>79</v>
      </c>
      <c r="F4" s="31" t="s">
        <v>87</v>
      </c>
      <c r="G4" s="31" t="s">
        <v>88</v>
      </c>
      <c r="H4" s="31" t="s">
        <v>89</v>
      </c>
      <c r="I4" s="31" t="s">
        <v>91</v>
      </c>
      <c r="J4" s="31" t="s">
        <v>93</v>
      </c>
      <c r="K4" s="31" t="s">
        <v>94</v>
      </c>
      <c r="L4" s="31" t="s">
        <v>94</v>
      </c>
      <c r="M4" s="31"/>
      <c r="N4" s="31"/>
      <c r="O4" s="31"/>
      <c r="P4" s="31"/>
      <c r="Q4" s="31"/>
      <c r="R4" s="31"/>
      <c r="S4" s="31"/>
      <c r="T4" s="31"/>
      <c r="U4" s="31"/>
      <c r="V4" s="31" t="s">
        <v>15</v>
      </c>
      <c r="W4" s="31" t="s">
        <v>103</v>
      </c>
      <c r="X4" s="31" t="s">
        <v>15</v>
      </c>
      <c r="Y4" s="31" t="s">
        <v>103</v>
      </c>
      <c r="Z4" s="31" t="s">
        <v>15</v>
      </c>
      <c r="AA4" s="31" t="s">
        <v>103</v>
      </c>
      <c r="AB4" s="31" t="s">
        <v>15</v>
      </c>
      <c r="AC4" s="31" t="s">
        <v>103</v>
      </c>
      <c r="AD4" s="31" t="s">
        <v>15</v>
      </c>
      <c r="AE4" s="31" t="s">
        <v>103</v>
      </c>
      <c r="AF4" s="31" t="s">
        <v>103</v>
      </c>
      <c r="AG4" s="31" t="s">
        <v>314</v>
      </c>
      <c r="AH4" s="31" t="s">
        <v>314</v>
      </c>
      <c r="AI4" s="31" t="s">
        <v>314</v>
      </c>
      <c r="AJ4" s="31" t="s">
        <v>99</v>
      </c>
      <c r="AK4" s="31" t="s">
        <v>94</v>
      </c>
      <c r="AL4" s="31" t="s">
        <v>94</v>
      </c>
      <c r="AM4" s="31" t="s">
        <v>94</v>
      </c>
      <c r="AN4" s="31" t="s">
        <v>103</v>
      </c>
      <c r="AO4" s="31" t="s">
        <v>107</v>
      </c>
      <c r="AP4" s="31" t="s">
        <v>88</v>
      </c>
      <c r="AQ4" s="31" t="s">
        <v>93</v>
      </c>
      <c r="AR4" s="31" t="s">
        <v>88</v>
      </c>
      <c r="AS4" s="31" t="s">
        <v>94</v>
      </c>
      <c r="AT4" s="31" t="s">
        <v>307</v>
      </c>
      <c r="AU4" s="31" t="s">
        <v>94</v>
      </c>
      <c r="AV4" s="31" t="s">
        <v>94</v>
      </c>
      <c r="AW4" s="31" t="s">
        <v>94</v>
      </c>
      <c r="AX4" s="31" t="s">
        <v>103</v>
      </c>
      <c r="AY4" s="31" t="s">
        <v>107</v>
      </c>
      <c r="AZ4" s="31" t="s">
        <v>88</v>
      </c>
      <c r="BA4" s="31" t="s">
        <v>93</v>
      </c>
      <c r="BB4" s="31" t="s">
        <v>88</v>
      </c>
      <c r="BC4" s="31" t="s">
        <v>94</v>
      </c>
      <c r="BD4" s="31" t="s">
        <v>307</v>
      </c>
      <c r="BE4" s="31" t="s">
        <v>94</v>
      </c>
      <c r="BF4" s="31" t="s">
        <v>94</v>
      </c>
      <c r="BG4" s="31" t="s">
        <v>94</v>
      </c>
      <c r="BH4" s="31" t="s">
        <v>103</v>
      </c>
      <c r="BI4" s="31" t="s">
        <v>107</v>
      </c>
      <c r="BJ4" s="31" t="s">
        <v>88</v>
      </c>
      <c r="BK4" s="31" t="s">
        <v>93</v>
      </c>
      <c r="BL4" s="31" t="s">
        <v>88</v>
      </c>
      <c r="BM4" s="31" t="s">
        <v>94</v>
      </c>
      <c r="BN4" s="31" t="s">
        <v>307</v>
      </c>
      <c r="BO4" s="31" t="s">
        <v>94</v>
      </c>
      <c r="BP4" s="31" t="s">
        <v>94</v>
      </c>
      <c r="BQ4" s="31" t="s">
        <v>94</v>
      </c>
      <c r="BR4" s="31" t="s">
        <v>103</v>
      </c>
      <c r="BS4" s="31" t="s">
        <v>107</v>
      </c>
      <c r="BT4" s="31" t="s">
        <v>88</v>
      </c>
      <c r="BU4" s="31" t="s">
        <v>93</v>
      </c>
      <c r="BV4" s="31" t="s">
        <v>88</v>
      </c>
      <c r="BW4" s="31" t="s">
        <v>94</v>
      </c>
      <c r="BX4" s="31" t="s">
        <v>307</v>
      </c>
      <c r="BY4" s="31" t="s">
        <v>94</v>
      </c>
      <c r="BZ4" s="31" t="s">
        <v>94</v>
      </c>
      <c r="CA4" s="31" t="s">
        <v>94</v>
      </c>
      <c r="CB4" s="31" t="s">
        <v>103</v>
      </c>
      <c r="CC4" s="31" t="s">
        <v>107</v>
      </c>
      <c r="CD4" s="31" t="s">
        <v>88</v>
      </c>
      <c r="CE4" s="31" t="s">
        <v>93</v>
      </c>
      <c r="CF4" s="31" t="s">
        <v>88</v>
      </c>
      <c r="CG4" s="31" t="s">
        <v>94</v>
      </c>
      <c r="CH4" s="31" t="s">
        <v>307</v>
      </c>
      <c r="CI4" s="31" t="s">
        <v>94</v>
      </c>
      <c r="CJ4" s="31" t="s">
        <v>94</v>
      </c>
      <c r="CK4" s="31" t="s">
        <v>94</v>
      </c>
      <c r="CL4" s="31" t="s">
        <v>103</v>
      </c>
      <c r="CM4" s="31" t="s">
        <v>107</v>
      </c>
      <c r="CN4" s="31" t="s">
        <v>88</v>
      </c>
      <c r="CO4" s="31" t="s">
        <v>93</v>
      </c>
      <c r="CP4" s="31" t="s">
        <v>88</v>
      </c>
      <c r="CQ4" s="31" t="s">
        <v>94</v>
      </c>
      <c r="CR4" s="31" t="s">
        <v>307</v>
      </c>
      <c r="CS4" s="31"/>
    </row>
    <row r="5" spans="1:97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  <c r="O5" s="31">
        <v>15</v>
      </c>
      <c r="P5" s="31">
        <v>16</v>
      </c>
      <c r="Q5" s="31">
        <v>17</v>
      </c>
      <c r="R5" s="31">
        <v>18</v>
      </c>
      <c r="S5" s="31">
        <v>19</v>
      </c>
      <c r="T5" s="31">
        <v>20</v>
      </c>
      <c r="U5" s="31">
        <v>21</v>
      </c>
      <c r="V5" s="31">
        <v>22</v>
      </c>
      <c r="W5" s="31">
        <v>23</v>
      </c>
      <c r="X5" s="31">
        <v>24</v>
      </c>
      <c r="Y5" s="31">
        <v>25</v>
      </c>
      <c r="Z5" s="31">
        <v>26</v>
      </c>
      <c r="AA5" s="31">
        <v>27</v>
      </c>
      <c r="AB5" s="31">
        <v>28</v>
      </c>
      <c r="AC5" s="31">
        <v>29</v>
      </c>
      <c r="AD5" s="31">
        <v>30</v>
      </c>
      <c r="AE5" s="31">
        <v>31</v>
      </c>
      <c r="AF5" s="31">
        <v>32</v>
      </c>
      <c r="AG5" s="31">
        <v>33</v>
      </c>
      <c r="AH5" s="31">
        <v>34</v>
      </c>
      <c r="AI5" s="31">
        <v>35</v>
      </c>
      <c r="AJ5" s="31">
        <v>36</v>
      </c>
      <c r="AK5" s="31">
        <v>37</v>
      </c>
      <c r="AL5" s="31">
        <v>38</v>
      </c>
      <c r="AM5" s="31">
        <v>39</v>
      </c>
      <c r="AN5" s="31">
        <v>40</v>
      </c>
      <c r="AO5" s="31">
        <v>41</v>
      </c>
      <c r="AP5" s="31">
        <v>42</v>
      </c>
      <c r="AQ5" s="31">
        <v>43</v>
      </c>
      <c r="AR5" s="31">
        <v>44</v>
      </c>
      <c r="AS5" s="31">
        <v>45</v>
      </c>
      <c r="AT5" s="31">
        <v>46</v>
      </c>
      <c r="AU5" s="31">
        <v>47</v>
      </c>
      <c r="AV5" s="31">
        <v>48</v>
      </c>
      <c r="AW5" s="31">
        <v>49</v>
      </c>
      <c r="AX5" s="31">
        <v>50</v>
      </c>
      <c r="AY5" s="31">
        <v>51</v>
      </c>
      <c r="AZ5" s="31">
        <v>52</v>
      </c>
      <c r="BA5" s="31">
        <v>53</v>
      </c>
      <c r="BB5" s="31">
        <v>54</v>
      </c>
      <c r="BC5" s="31">
        <v>55</v>
      </c>
      <c r="BD5" s="31">
        <v>56</v>
      </c>
      <c r="BE5" s="31">
        <v>57</v>
      </c>
      <c r="BF5" s="31">
        <v>58</v>
      </c>
      <c r="BG5" s="31">
        <v>59</v>
      </c>
      <c r="BH5" s="31">
        <v>60</v>
      </c>
      <c r="BI5" s="31">
        <v>61</v>
      </c>
      <c r="BJ5" s="31">
        <v>62</v>
      </c>
      <c r="BK5" s="31">
        <v>63</v>
      </c>
      <c r="BL5" s="31">
        <v>64</v>
      </c>
      <c r="BM5" s="31">
        <v>65</v>
      </c>
      <c r="BN5" s="31">
        <v>66</v>
      </c>
      <c r="BO5" s="31">
        <v>67</v>
      </c>
      <c r="BP5" s="31">
        <v>68</v>
      </c>
      <c r="BQ5" s="31">
        <v>69</v>
      </c>
      <c r="BR5" s="31">
        <v>70</v>
      </c>
      <c r="BS5" s="31">
        <v>71</v>
      </c>
      <c r="BT5" s="31">
        <v>72</v>
      </c>
      <c r="BU5" s="31">
        <v>73</v>
      </c>
      <c r="BV5" s="31">
        <v>74</v>
      </c>
      <c r="BW5" s="31">
        <v>75</v>
      </c>
      <c r="BX5" s="31">
        <v>76</v>
      </c>
      <c r="BY5" s="31">
        <v>77</v>
      </c>
      <c r="BZ5" s="31">
        <v>78</v>
      </c>
      <c r="CA5" s="31">
        <v>79</v>
      </c>
      <c r="CB5" s="31">
        <v>80</v>
      </c>
      <c r="CC5" s="31">
        <v>81</v>
      </c>
      <c r="CD5" s="31">
        <v>82</v>
      </c>
      <c r="CE5" s="31">
        <v>83</v>
      </c>
      <c r="CF5" s="31">
        <v>84</v>
      </c>
      <c r="CG5" s="31">
        <v>85</v>
      </c>
      <c r="CH5" s="31">
        <v>86</v>
      </c>
      <c r="CI5" s="31">
        <v>87</v>
      </c>
      <c r="CJ5" s="31">
        <v>88</v>
      </c>
      <c r="CK5" s="31">
        <v>89</v>
      </c>
      <c r="CL5" s="31">
        <v>90</v>
      </c>
      <c r="CM5" s="31">
        <v>91</v>
      </c>
      <c r="CN5" s="31">
        <v>92</v>
      </c>
      <c r="CO5" s="31">
        <v>93</v>
      </c>
      <c r="CP5" s="31">
        <v>94</v>
      </c>
      <c r="CQ5" s="31">
        <v>95</v>
      </c>
      <c r="CR5" s="31">
        <v>96</v>
      </c>
      <c r="CS5" s="31">
        <v>97</v>
      </c>
    </row>
    <row r="6" spans="1:97" x14ac:dyDescent="0.25">
      <c r="A6" s="39">
        <v>37044.01</v>
      </c>
      <c r="B6" s="40">
        <v>37044</v>
      </c>
      <c r="C6" s="40" t="s">
        <v>299</v>
      </c>
      <c r="D6" s="43" t="s">
        <v>153</v>
      </c>
      <c r="E6" s="41">
        <v>1</v>
      </c>
      <c r="F6" s="42">
        <v>0.375</v>
      </c>
      <c r="G6" s="41">
        <v>6</v>
      </c>
      <c r="H6" s="41">
        <v>15</v>
      </c>
      <c r="I6" s="43">
        <v>7</v>
      </c>
      <c r="J6" s="43">
        <v>7.4</v>
      </c>
      <c r="K6" s="43">
        <v>4</v>
      </c>
      <c r="L6" s="43">
        <v>65</v>
      </c>
      <c r="M6" s="43" t="s">
        <v>69</v>
      </c>
      <c r="N6" s="264">
        <v>20</v>
      </c>
      <c r="O6" s="44" t="s">
        <v>242</v>
      </c>
      <c r="P6" s="44">
        <v>1</v>
      </c>
      <c r="Q6" s="44" t="s">
        <v>296</v>
      </c>
      <c r="R6" s="263">
        <v>0.05</v>
      </c>
      <c r="S6" s="39">
        <v>2</v>
      </c>
      <c r="T6" s="39">
        <v>0.15</v>
      </c>
      <c r="U6" s="39">
        <v>2.2000000000000002</v>
      </c>
      <c r="V6" s="43">
        <v>100</v>
      </c>
      <c r="W6" s="43">
        <v>60</v>
      </c>
      <c r="X6" s="43"/>
      <c r="Y6" s="43"/>
      <c r="Z6" s="43">
        <v>40</v>
      </c>
      <c r="AA6" s="43">
        <v>15</v>
      </c>
      <c r="AB6" s="43">
        <v>30</v>
      </c>
      <c r="AC6" s="43">
        <v>15</v>
      </c>
      <c r="AD6" s="43">
        <v>15</v>
      </c>
      <c r="AE6" s="43">
        <v>15</v>
      </c>
      <c r="AF6" s="43">
        <v>10</v>
      </c>
      <c r="AG6" s="43"/>
      <c r="AH6" s="43"/>
      <c r="AI6" s="43"/>
      <c r="AJ6" s="43"/>
      <c r="AK6" s="39">
        <v>10</v>
      </c>
      <c r="AL6" s="39">
        <v>2.5</v>
      </c>
      <c r="AM6" s="39">
        <v>0.05</v>
      </c>
      <c r="AN6" s="39">
        <v>4</v>
      </c>
      <c r="AO6" s="39">
        <v>0.5</v>
      </c>
      <c r="AP6" s="39">
        <v>4</v>
      </c>
      <c r="AQ6" s="39">
        <v>7.3</v>
      </c>
      <c r="AR6" s="39">
        <v>0.15</v>
      </c>
      <c r="AS6" s="39">
        <v>3.8</v>
      </c>
      <c r="AT6" s="45">
        <v>7.0000000000000007E-2</v>
      </c>
      <c r="AU6" s="39">
        <v>20</v>
      </c>
      <c r="AV6" s="39">
        <v>3</v>
      </c>
      <c r="AW6" s="39">
        <v>0.1</v>
      </c>
      <c r="AX6" s="39">
        <v>3</v>
      </c>
      <c r="AY6" s="39">
        <v>0.5</v>
      </c>
      <c r="AZ6" s="39">
        <v>3.8</v>
      </c>
      <c r="BA6" s="39">
        <v>7.2</v>
      </c>
      <c r="BB6" s="39">
        <v>0.14000000000000001</v>
      </c>
      <c r="BC6" s="39">
        <v>3.7</v>
      </c>
      <c r="BD6" s="45">
        <v>6.5000000000000002E-2</v>
      </c>
      <c r="BE6" s="39">
        <v>30</v>
      </c>
      <c r="BF6" s="39">
        <v>3.5</v>
      </c>
      <c r="BG6" s="39">
        <v>0.15</v>
      </c>
      <c r="BH6" s="39">
        <v>2</v>
      </c>
      <c r="BI6" s="39">
        <v>1</v>
      </c>
      <c r="BJ6" s="39">
        <v>3.5</v>
      </c>
      <c r="BK6" s="39">
        <v>7.1</v>
      </c>
      <c r="BL6" s="39">
        <v>0.13</v>
      </c>
      <c r="BM6" s="39">
        <v>3.5</v>
      </c>
      <c r="BN6" s="45">
        <v>0.06</v>
      </c>
      <c r="BO6" s="39">
        <v>40</v>
      </c>
      <c r="BP6" s="39">
        <v>4</v>
      </c>
      <c r="BQ6" s="39">
        <v>0.2</v>
      </c>
      <c r="BR6" s="39">
        <v>1</v>
      </c>
      <c r="BS6" s="39">
        <v>2</v>
      </c>
      <c r="BT6" s="39">
        <v>3</v>
      </c>
      <c r="BU6" s="39">
        <v>7</v>
      </c>
      <c r="BV6" s="39">
        <v>0.12</v>
      </c>
      <c r="BW6" s="39">
        <v>3.3</v>
      </c>
      <c r="BX6" s="45">
        <v>5.5E-2</v>
      </c>
      <c r="BY6" s="39">
        <v>50</v>
      </c>
      <c r="BZ6" s="39">
        <v>4.5</v>
      </c>
      <c r="CA6" s="39">
        <v>0.25</v>
      </c>
      <c r="CB6" s="39">
        <v>1</v>
      </c>
      <c r="CC6" s="39">
        <v>2</v>
      </c>
      <c r="CD6" s="39">
        <v>2.8</v>
      </c>
      <c r="CE6" s="39">
        <v>6.9</v>
      </c>
      <c r="CF6" s="39">
        <v>0.1</v>
      </c>
      <c r="CG6" s="39">
        <v>3.2</v>
      </c>
      <c r="CH6" s="45">
        <v>0.05</v>
      </c>
      <c r="CI6" s="39">
        <v>60</v>
      </c>
      <c r="CJ6" s="39">
        <v>5</v>
      </c>
      <c r="CK6" s="39">
        <v>0.3</v>
      </c>
      <c r="CL6" s="39">
        <v>1</v>
      </c>
      <c r="CM6" s="39">
        <v>2</v>
      </c>
      <c r="CN6" s="39">
        <v>3.5</v>
      </c>
      <c r="CO6" s="39">
        <v>6.8</v>
      </c>
      <c r="CP6" s="39">
        <v>0.14000000000000001</v>
      </c>
      <c r="CQ6" s="39">
        <v>3</v>
      </c>
      <c r="CR6" s="45">
        <v>0.04</v>
      </c>
      <c r="CS6" s="39"/>
    </row>
    <row r="7" spans="1:97" x14ac:dyDescent="0.25">
      <c r="A7" s="39">
        <v>37559.01</v>
      </c>
      <c r="B7" s="40">
        <v>37559</v>
      </c>
      <c r="C7" s="40" t="s">
        <v>321</v>
      </c>
      <c r="D7" s="43" t="s">
        <v>255</v>
      </c>
      <c r="E7" s="41">
        <v>1</v>
      </c>
      <c r="F7" s="42">
        <v>8.3333333333333329E-2</v>
      </c>
      <c r="G7" s="41">
        <v>53</v>
      </c>
      <c r="H7" s="41">
        <v>23.7</v>
      </c>
      <c r="I7" s="43">
        <v>1.44</v>
      </c>
      <c r="J7" s="43">
        <v>7</v>
      </c>
      <c r="K7" s="43">
        <v>7.7</v>
      </c>
      <c r="L7" s="43">
        <v>72</v>
      </c>
      <c r="M7" s="43" t="s">
        <v>69</v>
      </c>
      <c r="N7" s="264"/>
      <c r="O7" s="44"/>
      <c r="P7" s="44"/>
      <c r="Q7" s="44"/>
      <c r="R7" s="263"/>
      <c r="S7" s="39"/>
      <c r="T7" s="39"/>
      <c r="U7" s="39"/>
      <c r="V7" s="43">
        <v>5</v>
      </c>
      <c r="W7" s="43">
        <v>100</v>
      </c>
      <c r="X7" s="43"/>
      <c r="Y7" s="43"/>
      <c r="Z7" s="43">
        <v>40</v>
      </c>
      <c r="AA7" s="43">
        <v>25</v>
      </c>
      <c r="AB7" s="43"/>
      <c r="AC7" s="43"/>
      <c r="AD7" s="43"/>
      <c r="AE7" s="43"/>
      <c r="AF7" s="43">
        <v>10</v>
      </c>
      <c r="AG7" s="43">
        <v>2</v>
      </c>
      <c r="AH7" s="43"/>
      <c r="AI7" s="43"/>
      <c r="AJ7" s="43">
        <v>2000</v>
      </c>
      <c r="AK7" s="39"/>
      <c r="AL7" s="39"/>
      <c r="AM7" s="39"/>
      <c r="AN7" s="39"/>
      <c r="AO7" s="39"/>
      <c r="AP7" s="39">
        <v>47.1</v>
      </c>
      <c r="AQ7" s="39">
        <v>6.85</v>
      </c>
      <c r="AR7" s="39"/>
      <c r="AS7" s="39"/>
      <c r="AT7" s="45"/>
      <c r="AU7" s="39">
        <v>20</v>
      </c>
      <c r="AV7" s="39"/>
      <c r="AW7" s="39"/>
      <c r="AX7" s="39">
        <v>10</v>
      </c>
      <c r="AY7" s="39"/>
      <c r="AZ7" s="39">
        <v>45.8</v>
      </c>
      <c r="BA7" s="39">
        <v>6.85</v>
      </c>
      <c r="BB7" s="39"/>
      <c r="BC7" s="39"/>
      <c r="BD7" s="45"/>
      <c r="BE7" s="39">
        <v>40</v>
      </c>
      <c r="BF7" s="39"/>
      <c r="BG7" s="39"/>
      <c r="BH7" s="39">
        <v>2</v>
      </c>
      <c r="BI7" s="39"/>
      <c r="BJ7" s="39">
        <v>14.4</v>
      </c>
      <c r="BK7" s="39">
        <v>6.75</v>
      </c>
      <c r="BL7" s="39"/>
      <c r="BM7" s="39"/>
      <c r="BN7" s="45"/>
      <c r="BO7" s="39">
        <v>60</v>
      </c>
      <c r="BP7" s="39"/>
      <c r="BQ7" s="39"/>
      <c r="BR7" s="39">
        <v>2</v>
      </c>
      <c r="BS7" s="39"/>
      <c r="BT7" s="39">
        <v>1.38</v>
      </c>
      <c r="BU7" s="39">
        <v>6.67</v>
      </c>
      <c r="BV7" s="39"/>
      <c r="BW7" s="39"/>
      <c r="BX7" s="45"/>
      <c r="BY7" s="39">
        <v>80</v>
      </c>
      <c r="BZ7" s="39"/>
      <c r="CA7" s="39"/>
      <c r="CB7" s="39">
        <v>2</v>
      </c>
      <c r="CC7" s="39"/>
      <c r="CD7" s="39">
        <v>1.74</v>
      </c>
      <c r="CE7" s="39">
        <v>6.57</v>
      </c>
      <c r="CF7" s="39"/>
      <c r="CG7" s="39"/>
      <c r="CH7" s="45"/>
      <c r="CI7" s="39">
        <v>100</v>
      </c>
      <c r="CJ7" s="39"/>
      <c r="CK7" s="39"/>
      <c r="CL7" s="39">
        <v>2</v>
      </c>
      <c r="CM7" s="39"/>
      <c r="CN7" s="39">
        <v>2.06</v>
      </c>
      <c r="CO7" s="39">
        <v>6.49</v>
      </c>
      <c r="CP7" s="39"/>
      <c r="CQ7" s="39"/>
      <c r="CR7" s="45"/>
      <c r="CS7" s="39"/>
    </row>
    <row r="8" spans="1:97" x14ac:dyDescent="0.25">
      <c r="A8" s="39">
        <v>37685.01</v>
      </c>
      <c r="B8" s="40">
        <v>37685</v>
      </c>
      <c r="C8" s="40" t="s">
        <v>322</v>
      </c>
      <c r="D8" s="43" t="s">
        <v>323</v>
      </c>
      <c r="E8" s="41">
        <v>1</v>
      </c>
      <c r="F8" s="42">
        <v>0.625</v>
      </c>
      <c r="G8" s="41">
        <v>9.9</v>
      </c>
      <c r="H8" s="41">
        <v>6</v>
      </c>
      <c r="I8" s="43">
        <v>2.5</v>
      </c>
      <c r="J8" s="43">
        <v>7.7</v>
      </c>
      <c r="K8" s="43"/>
      <c r="L8" s="43">
        <v>122</v>
      </c>
      <c r="M8" s="43" t="s">
        <v>324</v>
      </c>
      <c r="N8" s="264"/>
      <c r="O8" s="44"/>
      <c r="P8" s="44"/>
      <c r="Q8" s="44"/>
      <c r="R8" s="263"/>
      <c r="S8" s="39"/>
      <c r="T8" s="39"/>
      <c r="U8" s="39"/>
      <c r="V8" s="43">
        <v>80</v>
      </c>
      <c r="W8" s="43">
        <v>100</v>
      </c>
      <c r="X8" s="43"/>
      <c r="Y8" s="43"/>
      <c r="Z8" s="43">
        <v>52</v>
      </c>
      <c r="AA8" s="43">
        <v>14</v>
      </c>
      <c r="AB8" s="43">
        <v>15</v>
      </c>
      <c r="AC8" s="43">
        <v>14</v>
      </c>
      <c r="AD8" s="43"/>
      <c r="AE8" s="43"/>
      <c r="AF8" s="43">
        <v>15</v>
      </c>
      <c r="AG8" s="43">
        <v>2</v>
      </c>
      <c r="AH8" s="43"/>
      <c r="AI8" s="43"/>
      <c r="AJ8" s="43">
        <v>2000</v>
      </c>
      <c r="AK8" s="39">
        <v>10</v>
      </c>
      <c r="AL8" s="39"/>
      <c r="AM8" s="39"/>
      <c r="AN8" s="39"/>
      <c r="AO8" s="39"/>
      <c r="AP8" s="39">
        <v>10.199999999999999</v>
      </c>
      <c r="AQ8" s="39">
        <v>7.35</v>
      </c>
      <c r="AR8" s="39"/>
      <c r="AS8" s="39"/>
      <c r="AT8" s="45">
        <v>7.5499999999999998E-2</v>
      </c>
      <c r="AU8" s="39">
        <v>20</v>
      </c>
      <c r="AV8" s="39"/>
      <c r="AW8" s="39"/>
      <c r="AX8" s="39"/>
      <c r="AY8" s="39"/>
      <c r="AZ8" s="39">
        <v>4.2</v>
      </c>
      <c r="BA8" s="39">
        <v>7.15</v>
      </c>
      <c r="BB8" s="39"/>
      <c r="BC8" s="39"/>
      <c r="BD8" s="45">
        <v>6.4000000000000001E-2</v>
      </c>
      <c r="BE8" s="39">
        <v>30</v>
      </c>
      <c r="BF8" s="39"/>
      <c r="BG8" s="39"/>
      <c r="BH8" s="39"/>
      <c r="BI8" s="39"/>
      <c r="BJ8" s="39">
        <v>3</v>
      </c>
      <c r="BK8" s="39">
        <v>7.19</v>
      </c>
      <c r="BL8" s="39"/>
      <c r="BM8" s="39"/>
      <c r="BN8" s="45">
        <v>5.8000000000000003E-2</v>
      </c>
      <c r="BO8" s="39">
        <v>40</v>
      </c>
      <c r="BP8" s="39"/>
      <c r="BQ8" s="39"/>
      <c r="BR8" s="39"/>
      <c r="BS8" s="39"/>
      <c r="BT8" s="39">
        <v>3.2</v>
      </c>
      <c r="BU8" s="39">
        <v>7.16</v>
      </c>
      <c r="BV8" s="39"/>
      <c r="BW8" s="39"/>
      <c r="BX8" s="45">
        <v>5.2999999999999999E-2</v>
      </c>
      <c r="BY8" s="39">
        <v>50</v>
      </c>
      <c r="BZ8" s="39"/>
      <c r="CA8" s="39"/>
      <c r="CB8" s="39"/>
      <c r="CC8" s="39"/>
      <c r="CD8" s="39">
        <v>0.8</v>
      </c>
      <c r="CE8" s="39">
        <v>7.29</v>
      </c>
      <c r="CF8" s="39"/>
      <c r="CG8" s="39"/>
      <c r="CH8" s="45">
        <v>5.1999999999999998E-2</v>
      </c>
      <c r="CI8" s="39">
        <v>60</v>
      </c>
      <c r="CJ8" s="39"/>
      <c r="CK8" s="39"/>
      <c r="CL8" s="39"/>
      <c r="CM8" s="39"/>
      <c r="CN8" s="39">
        <v>1.45</v>
      </c>
      <c r="CO8" s="39">
        <v>7.12</v>
      </c>
      <c r="CP8" s="39"/>
      <c r="CQ8" s="39"/>
      <c r="CR8" s="45">
        <v>4.4499999999999998E-2</v>
      </c>
      <c r="CS8" s="39"/>
    </row>
    <row r="9" spans="1:97" x14ac:dyDescent="0.25">
      <c r="A9" s="39">
        <v>38477.01</v>
      </c>
      <c r="B9" s="40">
        <v>38477</v>
      </c>
      <c r="C9" s="40" t="s">
        <v>365</v>
      </c>
      <c r="D9" s="43" t="s">
        <v>366</v>
      </c>
      <c r="E9" s="41">
        <v>1</v>
      </c>
      <c r="F9" s="42">
        <v>0</v>
      </c>
      <c r="G9" s="41"/>
      <c r="H9" s="41">
        <v>20</v>
      </c>
      <c r="I9" s="43">
        <v>10</v>
      </c>
      <c r="J9" s="43"/>
      <c r="K9" s="43"/>
      <c r="L9" s="43"/>
      <c r="M9" s="43" t="s">
        <v>367</v>
      </c>
      <c r="N9" s="264">
        <v>7.25</v>
      </c>
      <c r="O9" s="44" t="s">
        <v>369</v>
      </c>
      <c r="P9" s="44">
        <v>6.9</v>
      </c>
      <c r="Q9" s="44" t="s">
        <v>368</v>
      </c>
      <c r="R9" s="263">
        <v>55</v>
      </c>
      <c r="S9" s="39"/>
      <c r="T9" s="39"/>
      <c r="U9" s="39"/>
      <c r="V9" s="43">
        <v>47</v>
      </c>
      <c r="W9" s="43">
        <v>33</v>
      </c>
      <c r="X9" s="43">
        <v>118</v>
      </c>
      <c r="Y9" s="43">
        <v>2</v>
      </c>
      <c r="Z9" s="43">
        <v>45</v>
      </c>
      <c r="AA9" s="43">
        <v>44</v>
      </c>
      <c r="AB9" s="43"/>
      <c r="AC9" s="43"/>
      <c r="AD9" s="43"/>
      <c r="AE9" s="43"/>
      <c r="AF9" s="43"/>
      <c r="AG9" s="43">
        <v>0.15</v>
      </c>
      <c r="AH9" s="43">
        <v>0.15</v>
      </c>
      <c r="AI9" s="43">
        <v>1.5</v>
      </c>
      <c r="AJ9" s="43">
        <v>1500</v>
      </c>
      <c r="AK9" s="39"/>
      <c r="AL9" s="39">
        <v>6.9</v>
      </c>
      <c r="AM9" s="39">
        <v>55</v>
      </c>
      <c r="AN9" s="39"/>
      <c r="AO9" s="39"/>
      <c r="AP9" s="39"/>
      <c r="AQ9" s="39"/>
      <c r="AR9" s="39"/>
      <c r="AS9" s="39"/>
      <c r="AT9" s="45"/>
      <c r="AU9" s="39">
        <v>3</v>
      </c>
      <c r="AV9" s="39">
        <v>6.9</v>
      </c>
      <c r="AW9" s="39">
        <v>55</v>
      </c>
      <c r="AX9" s="39"/>
      <c r="AY9" s="39"/>
      <c r="AZ9" s="39"/>
      <c r="BA9" s="39"/>
      <c r="BB9" s="39"/>
      <c r="BC9" s="39"/>
      <c r="BD9" s="45"/>
      <c r="BE9" s="39">
        <v>6</v>
      </c>
      <c r="BF9" s="39">
        <v>6.9</v>
      </c>
      <c r="BG9" s="39">
        <v>55</v>
      </c>
      <c r="BH9" s="39"/>
      <c r="BI9" s="39"/>
      <c r="BJ9" s="39"/>
      <c r="BK9" s="39"/>
      <c r="BL9" s="39"/>
      <c r="BM9" s="39"/>
      <c r="BN9" s="45"/>
      <c r="BO9" s="39">
        <v>7.25</v>
      </c>
      <c r="BP9" s="39">
        <v>6.9</v>
      </c>
      <c r="BQ9" s="39">
        <v>55</v>
      </c>
      <c r="BR9" s="39"/>
      <c r="BS9" s="39"/>
      <c r="BT9" s="39"/>
      <c r="BU9" s="39"/>
      <c r="BV9" s="39"/>
      <c r="BW9" s="39"/>
      <c r="BX9" s="45"/>
      <c r="BY9" s="39">
        <v>9</v>
      </c>
      <c r="BZ9" s="39">
        <v>6.9</v>
      </c>
      <c r="CA9" s="39">
        <v>55</v>
      </c>
      <c r="CB9" s="39"/>
      <c r="CC9" s="39"/>
      <c r="CD9" s="39"/>
      <c r="CE9" s="39"/>
      <c r="CF9" s="39"/>
      <c r="CG9" s="39"/>
      <c r="CH9" s="45"/>
      <c r="CI9" s="39">
        <v>12</v>
      </c>
      <c r="CJ9" s="39">
        <v>6.9</v>
      </c>
      <c r="CK9" s="39">
        <v>55</v>
      </c>
      <c r="CL9" s="39"/>
      <c r="CM9" s="39"/>
      <c r="CN9" s="39"/>
      <c r="CO9" s="39"/>
      <c r="CP9" s="39"/>
      <c r="CQ9" s="39"/>
      <c r="CR9" s="45"/>
      <c r="CS9" s="39"/>
    </row>
    <row r="10" spans="1:97" s="78" customFormat="1" ht="2.1" customHeight="1" x14ac:dyDescent="0.25">
      <c r="A10" s="46"/>
      <c r="B10" s="47"/>
      <c r="C10" s="47"/>
      <c r="D10" s="50"/>
      <c r="E10" s="48"/>
      <c r="F10" s="49"/>
      <c r="G10" s="48"/>
      <c r="H10" s="48"/>
      <c r="I10" s="50"/>
      <c r="J10" s="50"/>
      <c r="K10" s="50"/>
      <c r="L10" s="50"/>
      <c r="M10" s="50"/>
      <c r="N10" s="50"/>
      <c r="O10" s="51"/>
      <c r="P10" s="51"/>
      <c r="Q10" s="51"/>
      <c r="R10" s="51"/>
      <c r="S10" s="46"/>
      <c r="T10" s="46"/>
      <c r="U10" s="46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46"/>
      <c r="AL10" s="46"/>
      <c r="AM10" s="46"/>
      <c r="AN10" s="46"/>
      <c r="AO10" s="46"/>
      <c r="AP10" s="46"/>
      <c r="AQ10" s="46"/>
      <c r="AR10" s="46"/>
      <c r="AS10" s="46"/>
      <c r="AT10" s="52"/>
      <c r="AU10" s="46"/>
      <c r="AV10" s="46"/>
      <c r="AW10" s="46"/>
      <c r="AX10" s="46"/>
      <c r="AY10" s="46"/>
      <c r="AZ10" s="46"/>
      <c r="BA10" s="46"/>
      <c r="BB10" s="46"/>
      <c r="BC10" s="46"/>
      <c r="BD10" s="52"/>
      <c r="BE10" s="46"/>
      <c r="BF10" s="46"/>
      <c r="BG10" s="46"/>
      <c r="BH10" s="46"/>
      <c r="BI10" s="46"/>
      <c r="BJ10" s="46"/>
      <c r="BK10" s="46"/>
      <c r="BL10" s="46"/>
      <c r="BM10" s="46"/>
      <c r="BN10" s="52"/>
      <c r="BO10" s="46"/>
      <c r="BP10" s="46"/>
      <c r="BQ10" s="46"/>
      <c r="BR10" s="46"/>
      <c r="BS10" s="46"/>
      <c r="BT10" s="46"/>
      <c r="BU10" s="46"/>
      <c r="BV10" s="46"/>
      <c r="BW10" s="46"/>
      <c r="BX10" s="52"/>
      <c r="BY10" s="46"/>
      <c r="BZ10" s="46"/>
      <c r="CA10" s="46"/>
      <c r="CB10" s="46"/>
      <c r="CC10" s="46"/>
      <c r="CD10" s="46"/>
      <c r="CE10" s="46"/>
      <c r="CF10" s="46"/>
      <c r="CG10" s="46"/>
      <c r="CH10" s="52"/>
      <c r="CI10" s="46"/>
      <c r="CJ10" s="46"/>
      <c r="CK10" s="46"/>
      <c r="CL10" s="46"/>
      <c r="CM10" s="46"/>
      <c r="CN10" s="46"/>
      <c r="CO10" s="46"/>
      <c r="CP10" s="46"/>
      <c r="CQ10" s="46"/>
      <c r="CR10" s="52"/>
      <c r="CS10" s="46"/>
    </row>
  </sheetData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>
      <selection activeCell="A53" sqref="A53"/>
    </sheetView>
  </sheetViews>
  <sheetFormatPr defaultRowHeight="15.6" x14ac:dyDescent="0.3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>
      <selection activeCell="A53" sqref="A53"/>
    </sheetView>
  </sheetViews>
  <sheetFormatPr defaultRowHeight="15.6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I53"/>
  <sheetViews>
    <sheetView showGridLines="0" showZeros="0" zoomScale="75" workbookViewId="0">
      <selection activeCell="D13" sqref="D13"/>
    </sheetView>
  </sheetViews>
  <sheetFormatPr defaultColWidth="8.8984375" defaultRowHeight="15.6" x14ac:dyDescent="0.35"/>
  <cols>
    <col min="1" max="1" width="0.8984375" style="262" customWidth="1"/>
    <col min="2" max="2" width="20.796875" style="262" customWidth="1"/>
    <col min="3" max="7" width="13.796875" style="262" customWidth="1"/>
    <col min="8" max="8" width="15.796875" style="262" customWidth="1"/>
    <col min="9" max="16384" width="8.8984375" style="262"/>
  </cols>
  <sheetData>
    <row r="1" spans="1:9" ht="30.6" thickBot="1" x14ac:dyDescent="0.55000000000000004">
      <c r="A1" s="273"/>
      <c r="B1" s="274" t="str">
        <f>"Jar Test Summary for "&amp;B4&amp;" WTP"</f>
        <v>Jar Test Summary for Winchester WTP WTP</v>
      </c>
      <c r="C1" s="275"/>
      <c r="D1" s="275"/>
      <c r="E1" s="275"/>
      <c r="F1" s="275"/>
      <c r="G1" s="275"/>
      <c r="H1" s="275"/>
    </row>
    <row r="2" spans="1:9" ht="16.2" thickBot="1" x14ac:dyDescent="0.4">
      <c r="B2" s="276" t="s">
        <v>271</v>
      </c>
      <c r="C2" s="277"/>
      <c r="D2" s="277"/>
      <c r="E2" s="277"/>
      <c r="F2" s="277"/>
      <c r="G2" s="277"/>
      <c r="H2" s="278"/>
    </row>
    <row r="3" spans="1:9" ht="18" x14ac:dyDescent="0.35">
      <c r="B3" s="279" t="s">
        <v>236</v>
      </c>
      <c r="C3" s="280" t="s">
        <v>36</v>
      </c>
      <c r="D3" s="281" t="s">
        <v>81</v>
      </c>
      <c r="E3" s="282" t="s">
        <v>82</v>
      </c>
      <c r="F3" s="283"/>
      <c r="G3" s="284" t="s">
        <v>247</v>
      </c>
      <c r="H3" s="258"/>
      <c r="I3" s="457" t="s">
        <v>318</v>
      </c>
    </row>
    <row r="4" spans="1:9" ht="18" x14ac:dyDescent="0.35">
      <c r="B4" s="75" t="str">
        <f>VLOOKUP(Lookup!$D$49,DatabaseJar,Database!C5)</f>
        <v>Winchester WTP</v>
      </c>
      <c r="C4" s="267">
        <f>VLOOKUP(Lookup!$D$49,DatabaseJar,Database!B5)</f>
        <v>37685</v>
      </c>
      <c r="D4" s="127">
        <f>VLOOKUP(Lookup!$D$49,DatabaseJar,Database!E5)</f>
        <v>1</v>
      </c>
      <c r="E4" s="187">
        <f>VLOOKUP(Lookup!$D$49,DatabaseJar,Database!F5)</f>
        <v>0.625</v>
      </c>
      <c r="F4" s="285"/>
      <c r="G4" s="286" t="s">
        <v>81</v>
      </c>
      <c r="H4" s="259"/>
      <c r="I4" s="457" t="s">
        <v>319</v>
      </c>
    </row>
    <row r="5" spans="1:9" ht="18" x14ac:dyDescent="0.35">
      <c r="B5" s="287" t="s">
        <v>52</v>
      </c>
      <c r="C5" s="288" t="s">
        <v>239</v>
      </c>
      <c r="D5" s="289" t="s">
        <v>38</v>
      </c>
      <c r="E5" s="288" t="s">
        <v>68</v>
      </c>
      <c r="F5" s="282" t="s">
        <v>238</v>
      </c>
      <c r="G5" s="290" t="s">
        <v>237</v>
      </c>
      <c r="H5" s="291" t="s">
        <v>245</v>
      </c>
      <c r="I5" s="456" t="s">
        <v>320</v>
      </c>
    </row>
    <row r="6" spans="1:9" ht="15" customHeight="1" x14ac:dyDescent="0.35">
      <c r="B6" s="180" t="str">
        <f>VLOOKUP(Lookup!$D$49,DatabaseJar,Database!D5)</f>
        <v>Kentucky River</v>
      </c>
      <c r="C6" s="192">
        <f>VLOOKUP(Lookup!$D$49,DatabaseJar,Database!I5)</f>
        <v>2.5</v>
      </c>
      <c r="D6" s="192">
        <f>VLOOKUP(Lookup!$D$49,DatabaseJar,Database!G5)</f>
        <v>9.9</v>
      </c>
      <c r="E6" s="192">
        <f>VLOOKUP(Lookup!$D$49,DatabaseJar,Database!H5)</f>
        <v>6</v>
      </c>
      <c r="F6" s="192">
        <f>VLOOKUP(Lookup!$D$49,DatabaseJar,Database!J5)</f>
        <v>7.7</v>
      </c>
      <c r="G6" s="192">
        <f>VLOOKUP(Lookup!$D$49,DatabaseJar,Database!L5)</f>
        <v>122</v>
      </c>
      <c r="H6" s="54">
        <f>VLOOKUP(Lookup!$D$49,DatabaseJar,Database!K5)</f>
        <v>0</v>
      </c>
    </row>
    <row r="7" spans="1:9" x14ac:dyDescent="0.35">
      <c r="B7" s="292" t="s">
        <v>240</v>
      </c>
      <c r="C7" s="293" t="s">
        <v>20</v>
      </c>
      <c r="D7" s="293" t="s">
        <v>195</v>
      </c>
      <c r="E7" s="294" t="s">
        <v>196</v>
      </c>
      <c r="F7" s="293" t="s">
        <v>243</v>
      </c>
      <c r="G7" s="295" t="s">
        <v>244</v>
      </c>
      <c r="H7" s="296" t="s">
        <v>246</v>
      </c>
    </row>
    <row r="8" spans="1:9" x14ac:dyDescent="0.35">
      <c r="B8" s="297" t="s">
        <v>123</v>
      </c>
      <c r="C8" s="192" t="str">
        <f>VLOOKUP(Lookup!$D$49,DatabaseJar,Database!M5)</f>
        <v>Thermafloc</v>
      </c>
      <c r="D8" s="192">
        <f>VLOOKUP(Lookup!$D$49,DatabaseJar,Database!O5)</f>
        <v>0</v>
      </c>
      <c r="E8" s="192">
        <f>VLOOKUP(Lookup!$D$49,DatabaseJar,Database!Q5)</f>
        <v>0</v>
      </c>
      <c r="F8" s="126">
        <f>VLOOKUP(Lookup!$D$49,DatabaseJar,Database!S5)</f>
        <v>0</v>
      </c>
      <c r="G8" s="126">
        <f>VLOOKUP(Lookup!$D$49,DatabaseJar,Database!T5)</f>
        <v>0</v>
      </c>
      <c r="H8" s="265">
        <f>VLOOKUP(Lookup!$D$49,DatabaseJar,Database!U5)</f>
        <v>0</v>
      </c>
    </row>
    <row r="9" spans="1:9" x14ac:dyDescent="0.35">
      <c r="B9" s="298" t="s">
        <v>241</v>
      </c>
      <c r="C9" s="126">
        <f>VLOOKUP(Lookup!$D$49,DatabaseJar,Database!$N$5)</f>
        <v>0</v>
      </c>
      <c r="D9" s="126">
        <f>VLOOKUP(Lookup!$D$49,DatabaseJar,Database!$P$5)</f>
        <v>0</v>
      </c>
      <c r="E9" s="126">
        <f>VLOOKUP(Lookup!$D$49,DatabaseJar,Database!$R$5)</f>
        <v>0</v>
      </c>
      <c r="F9" s="299"/>
      <c r="G9" s="300"/>
      <c r="H9" s="301"/>
    </row>
    <row r="10" spans="1:9" ht="9.9" customHeight="1" thickBot="1" x14ac:dyDescent="0.4">
      <c r="B10" s="302"/>
      <c r="C10" s="303"/>
      <c r="D10" s="303"/>
      <c r="E10" s="303"/>
      <c r="F10" s="303"/>
      <c r="G10" s="303"/>
      <c r="H10" s="304"/>
    </row>
    <row r="11" spans="1:9" x14ac:dyDescent="0.35">
      <c r="B11" s="305" t="s">
        <v>274</v>
      </c>
      <c r="C11" s="306"/>
      <c r="D11" s="306"/>
      <c r="E11" s="306"/>
      <c r="F11" s="306"/>
      <c r="G11" s="306"/>
      <c r="H11" s="307"/>
    </row>
    <row r="12" spans="1:9" x14ac:dyDescent="0.35">
      <c r="B12" s="308"/>
      <c r="C12" s="309" t="s">
        <v>371</v>
      </c>
      <c r="D12" s="309" t="s">
        <v>372</v>
      </c>
      <c r="E12" s="310" t="s">
        <v>254</v>
      </c>
      <c r="F12" s="310" t="s">
        <v>272</v>
      </c>
      <c r="G12" s="310" t="s">
        <v>273</v>
      </c>
      <c r="H12" s="311" t="s">
        <v>248</v>
      </c>
    </row>
    <row r="13" spans="1:9" x14ac:dyDescent="0.35">
      <c r="B13" s="312" t="s">
        <v>251</v>
      </c>
      <c r="C13" s="126">
        <f>VLOOKUP(Lookup!$D$49,DatabaseJar,Database!$V$5)</f>
        <v>80</v>
      </c>
      <c r="D13" s="126">
        <f>VLOOKUP(Lookup!$D$49,DatabaseJar,Database!$X$5)</f>
        <v>0</v>
      </c>
      <c r="E13" s="126">
        <f>VLOOKUP(Lookup!$D$49,DatabaseJar,Database!$Z$5)</f>
        <v>52</v>
      </c>
      <c r="F13" s="126">
        <f>VLOOKUP(Lookup!$D$49,DatabaseJar,Database!$AB$5)</f>
        <v>15</v>
      </c>
      <c r="G13" s="126">
        <f>VLOOKUP(Lookup!$D$49,DatabaseJar,Database!$AD$5)</f>
        <v>0</v>
      </c>
      <c r="H13" s="313"/>
    </row>
    <row r="14" spans="1:9" x14ac:dyDescent="0.35">
      <c r="B14" s="314" t="s">
        <v>252</v>
      </c>
      <c r="C14" s="126">
        <f>VLOOKUP(Lookup!$D$49,DatabaseJar,Database!$W$5)</f>
        <v>100</v>
      </c>
      <c r="D14" s="126">
        <f>VLOOKUP(Lookup!$D$49,DatabaseJar,Database!$Y$5)</f>
        <v>0</v>
      </c>
      <c r="E14" s="126">
        <f>VLOOKUP(Lookup!$D$49,DatabaseJar,Database!$AA$5)</f>
        <v>14</v>
      </c>
      <c r="F14" s="126">
        <f>VLOOKUP(Lookup!$D$49,DatabaseJar,Database!$AC$5)</f>
        <v>14</v>
      </c>
      <c r="G14" s="126">
        <f>VLOOKUP(Lookup!$D$49,DatabaseJar,Database!$AE$5)</f>
        <v>0</v>
      </c>
      <c r="H14" s="265">
        <f>VLOOKUP(Lookup!$D$49,DatabaseJar,Database!$AF$5)</f>
        <v>15</v>
      </c>
    </row>
    <row r="15" spans="1:9" ht="20.100000000000001" customHeight="1" x14ac:dyDescent="0.35">
      <c r="B15" s="315"/>
      <c r="C15" s="316"/>
      <c r="D15" s="299"/>
      <c r="E15" s="299"/>
      <c r="F15" s="299"/>
      <c r="G15" s="317"/>
      <c r="H15" s="318"/>
    </row>
    <row r="16" spans="1:9" ht="16.2" thickBot="1" x14ac:dyDescent="0.4">
      <c r="B16" s="319"/>
      <c r="C16" s="320"/>
      <c r="D16" s="320"/>
      <c r="E16" s="320"/>
      <c r="F16" s="320"/>
      <c r="G16" s="320"/>
      <c r="H16" s="318"/>
    </row>
    <row r="17" spans="2:8" ht="15" customHeight="1" x14ac:dyDescent="0.35">
      <c r="B17" s="321" t="s">
        <v>275</v>
      </c>
      <c r="C17" s="322"/>
      <c r="D17" s="322"/>
      <c r="E17" s="322"/>
      <c r="F17" s="322"/>
      <c r="G17" s="322"/>
      <c r="H17" s="307"/>
    </row>
    <row r="18" spans="2:8" x14ac:dyDescent="0.35">
      <c r="B18" s="323" t="s">
        <v>276</v>
      </c>
      <c r="C18" s="324"/>
      <c r="D18" s="324"/>
      <c r="E18" s="324"/>
      <c r="F18" s="324"/>
      <c r="G18" s="324"/>
      <c r="H18" s="325"/>
    </row>
    <row r="19" spans="2:8" x14ac:dyDescent="0.35">
      <c r="B19" s="323"/>
      <c r="C19" s="441"/>
      <c r="D19" s="441"/>
      <c r="E19" s="441"/>
      <c r="F19" s="441"/>
      <c r="G19" s="441"/>
      <c r="H19" s="442"/>
    </row>
    <row r="20" spans="2:8" x14ac:dyDescent="0.35">
      <c r="B20" s="443" t="s">
        <v>199</v>
      </c>
      <c r="C20" s="444" t="s">
        <v>20</v>
      </c>
      <c r="D20" s="444" t="s">
        <v>195</v>
      </c>
      <c r="E20" s="444" t="s">
        <v>196</v>
      </c>
      <c r="F20" s="445" t="s">
        <v>309</v>
      </c>
      <c r="G20" s="446"/>
      <c r="H20" s="447"/>
    </row>
    <row r="21" spans="2:8" ht="16.5" customHeight="1" thickBot="1" x14ac:dyDescent="0.4">
      <c r="B21" s="448" t="s">
        <v>200</v>
      </c>
      <c r="C21" s="126">
        <f>VLOOKUP(Lookup!$D$49,DatabaseJar,Database!$AG$5)</f>
        <v>2</v>
      </c>
      <c r="D21" s="126">
        <f>VLOOKUP(Lookup!$D$49,DatabaseJar,Database!$AH$5)</f>
        <v>0</v>
      </c>
      <c r="E21" s="126">
        <f>VLOOKUP(Lookup!$D$49,DatabaseJar,Database!$AI$5)</f>
        <v>0</v>
      </c>
      <c r="F21" s="454">
        <f>VLOOKUP(Lookup!$D$49,DatabaseJar,Database!$AJ$5)</f>
        <v>2000</v>
      </c>
      <c r="G21" s="455"/>
      <c r="H21" s="449"/>
    </row>
    <row r="22" spans="2:8" ht="16.2" thickTop="1" x14ac:dyDescent="0.35">
      <c r="B22" s="326" t="s">
        <v>2</v>
      </c>
      <c r="C22" s="327" t="s">
        <v>3</v>
      </c>
      <c r="D22" s="327" t="s">
        <v>4</v>
      </c>
      <c r="E22" s="327" t="s">
        <v>5</v>
      </c>
      <c r="F22" s="327" t="s">
        <v>6</v>
      </c>
      <c r="G22" s="327" t="s">
        <v>7</v>
      </c>
      <c r="H22" s="328" t="s">
        <v>8</v>
      </c>
    </row>
    <row r="23" spans="2:8" x14ac:dyDescent="0.35">
      <c r="B23" s="329" t="s">
        <v>17</v>
      </c>
      <c r="C23" s="126">
        <f>VLOOKUP(Lookup!$D$49,DatabaseJar,Database!$AK$5)</f>
        <v>10</v>
      </c>
      <c r="D23" s="126">
        <f>VLOOKUP(Lookup!$D$49,DatabaseJar,Database!$AU$5)</f>
        <v>20</v>
      </c>
      <c r="E23" s="266">
        <f>VLOOKUP(Lookup!$D$49,DatabaseJar,Database!$BE$5)</f>
        <v>30</v>
      </c>
      <c r="F23" s="266">
        <f>VLOOKUP(Lookup!$D$49,DatabaseJar,Database!$BO$5)</f>
        <v>40</v>
      </c>
      <c r="G23" s="266">
        <f>VLOOKUP(Lookup!$D$49,DatabaseJar,Database!$BY$5)</f>
        <v>50</v>
      </c>
      <c r="H23" s="271">
        <f>VLOOKUP(Lookup!$D$49,DatabaseJar,Database!$CI$5)</f>
        <v>60</v>
      </c>
    </row>
    <row r="24" spans="2:8" ht="16.2" thickBot="1" x14ac:dyDescent="0.4">
      <c r="B24" s="330" t="s">
        <v>9</v>
      </c>
      <c r="C24" s="331" t="e">
        <f>IF(C23=0,"",StockSolutionsHELP!$E$11*C23/(StockSolutionsHELP!$D$48*10000))</f>
        <v>#DIV/0!</v>
      </c>
      <c r="D24" s="331" t="e">
        <f>IF(D23=0,"",StockSolutionsHELP!$E$11*D23/(StockSolutionsHELP!$D$48*10000))</f>
        <v>#DIV/0!</v>
      </c>
      <c r="E24" s="331" t="e">
        <f>IF(E23=0,"",StockSolutionsHELP!$E$11*E23/(StockSolutionsHELP!$D$48*10000))</f>
        <v>#DIV/0!</v>
      </c>
      <c r="F24" s="331" t="e">
        <f>IF(F23=0,"",StockSolutionsHELP!$E$11*F23/(StockSolutionsHELP!$D$48*10000))</f>
        <v>#DIV/0!</v>
      </c>
      <c r="G24" s="331" t="e">
        <f>IF(G23=0,"",StockSolutionsHELP!$E$11*G23/(StockSolutionsHELP!$D$48*10000))</f>
        <v>#DIV/0!</v>
      </c>
      <c r="H24" s="332" t="e">
        <f>IF(H23=0,"",StockSolutionsHELP!$E$11*H23/(StockSolutionsHELP!$D$48*10000))</f>
        <v>#DIV/0!</v>
      </c>
    </row>
    <row r="25" spans="2:8" ht="9.9" customHeight="1" thickTop="1" x14ac:dyDescent="0.35">
      <c r="B25" s="319"/>
      <c r="C25" s="320"/>
      <c r="D25" s="320"/>
      <c r="E25" s="320"/>
      <c r="F25" s="320"/>
      <c r="G25" s="320"/>
      <c r="H25" s="318"/>
    </row>
    <row r="26" spans="2:8" x14ac:dyDescent="0.35">
      <c r="B26" s="333" t="s">
        <v>311</v>
      </c>
      <c r="C26" s="126">
        <f>VLOOKUP(Lookup!$D$49,DatabaseJar,Database!$AL$5)</f>
        <v>0</v>
      </c>
      <c r="D26" s="126">
        <f>VLOOKUP(Lookup!$D$49,DatabaseJar,Database!$AV$5)</f>
        <v>0</v>
      </c>
      <c r="E26" s="266">
        <f>VLOOKUP(Lookup!$D$49,DatabaseJar,Database!$BF$5)</f>
        <v>0</v>
      </c>
      <c r="F26" s="266">
        <f>VLOOKUP(Lookup!$D$49,DatabaseJar,Database!$BP$5)</f>
        <v>0</v>
      </c>
      <c r="G26" s="266">
        <f>VLOOKUP(Lookup!$D$49,DatabaseJar,Database!$BZ$5)</f>
        <v>0</v>
      </c>
      <c r="H26" s="271">
        <f>VLOOKUP(Lookup!$D$49,DatabaseJar,Database!$CJ$5)</f>
        <v>0</v>
      </c>
    </row>
    <row r="27" spans="2:8" ht="16.2" thickBot="1" x14ac:dyDescent="0.4">
      <c r="B27" s="334" t="s">
        <v>9</v>
      </c>
      <c r="C27" s="331" t="str">
        <f>IF(C26=0,"",StockSolutionsHELP!$E$11*C26/(StockSolutionsHELP!$E$48*10000))</f>
        <v/>
      </c>
      <c r="D27" s="331" t="str">
        <f>IF(D26=0,"",StockSolutionsHELP!$E$11*D26/(StockSolutionsHELP!$E$48*10000))</f>
        <v/>
      </c>
      <c r="E27" s="331" t="str">
        <f>IF(E26=0,"",StockSolutionsHELP!$E$11*E26/(StockSolutionsHELP!$E$48*10000))</f>
        <v/>
      </c>
      <c r="F27" s="331" t="str">
        <f>IF(F26=0,"",StockSolutionsHELP!$E$11*F26/(StockSolutionsHELP!$E$48*10000))</f>
        <v/>
      </c>
      <c r="G27" s="331" t="str">
        <f>IF(G26=0,"",StockSolutionsHELP!$E$11*G26/(StockSolutionsHELP!$E$48*10000))</f>
        <v/>
      </c>
      <c r="H27" s="332" t="str">
        <f>IF(H26=0,"",StockSolutionsHELP!$E$11*H26/(StockSolutionsHELP!$E$48*10000))</f>
        <v/>
      </c>
    </row>
    <row r="28" spans="2:8" ht="16.2" thickTop="1" x14ac:dyDescent="0.35">
      <c r="B28" s="335"/>
      <c r="C28" s="336"/>
      <c r="D28" s="336"/>
      <c r="E28" s="336"/>
      <c r="F28" s="336"/>
      <c r="G28" s="336"/>
      <c r="H28" s="337"/>
    </row>
    <row r="29" spans="2:8" x14ac:dyDescent="0.35">
      <c r="B29" s="333" t="s">
        <v>312</v>
      </c>
      <c r="C29" s="126">
        <f>VLOOKUP(Lookup!$D$49,DatabaseJar,Database!$AM$5)</f>
        <v>0</v>
      </c>
      <c r="D29" s="126">
        <f>VLOOKUP(Lookup!$D$49,DatabaseJar,Database!$AW$5)</f>
        <v>0</v>
      </c>
      <c r="E29" s="266">
        <f>VLOOKUP(Lookup!$D$49,DatabaseJar,Database!$BG$5)</f>
        <v>0</v>
      </c>
      <c r="F29" s="266">
        <f>VLOOKUP(Lookup!$D$49,DatabaseJar,Database!$BQ$5)</f>
        <v>0</v>
      </c>
      <c r="G29" s="266">
        <f>VLOOKUP(Lookup!$D$49,DatabaseJar,Database!$CA$5)</f>
        <v>0</v>
      </c>
      <c r="H29" s="271">
        <f>VLOOKUP(Lookup!$D$49,DatabaseJar,Database!$CK$5)</f>
        <v>0</v>
      </c>
    </row>
    <row r="30" spans="2:8" ht="16.2" thickBot="1" x14ac:dyDescent="0.4">
      <c r="B30" s="334" t="s">
        <v>9</v>
      </c>
      <c r="C30" s="331" t="str">
        <f>IF(C29=0,"",StockSolutionsHELP!$E$11*C29/(StockSolutionsHELP!$F$48*10000))</f>
        <v/>
      </c>
      <c r="D30" s="331" t="str">
        <f>IF(D29=0,"",StockSolutionsHELP!$E$11*D29/(StockSolutionsHELP!$F$48*10000))</f>
        <v/>
      </c>
      <c r="E30" s="331" t="str">
        <f>IF(E29=0,"",StockSolutionsHELP!$E$11*E29/(StockSolutionsHELP!$F$48*10000))</f>
        <v/>
      </c>
      <c r="F30" s="331" t="str">
        <f>IF(F29=0,"",StockSolutionsHELP!$E$11*F29/(StockSolutionsHELP!$F$48*10000))</f>
        <v/>
      </c>
      <c r="G30" s="331" t="str">
        <f>IF(G29=0,"",StockSolutionsHELP!$E$11*G29/(StockSolutionsHELP!$F$48*10000))</f>
        <v/>
      </c>
      <c r="H30" s="332" t="str">
        <f>IF(H29=0,"",StockSolutionsHELP!$E$11*H29/(StockSolutionsHELP!$F$48*10000))</f>
        <v/>
      </c>
    </row>
    <row r="31" spans="2:8" ht="16.8" thickTop="1" thickBot="1" x14ac:dyDescent="0.4">
      <c r="B31" s="319"/>
      <c r="C31" s="320"/>
      <c r="D31" s="320"/>
      <c r="E31" s="320"/>
      <c r="F31" s="320"/>
      <c r="G31" s="320"/>
      <c r="H31" s="318"/>
    </row>
    <row r="32" spans="2:8" ht="15" customHeight="1" x14ac:dyDescent="0.35">
      <c r="B32" s="305" t="s">
        <v>277</v>
      </c>
      <c r="C32" s="306"/>
      <c r="D32" s="306"/>
      <c r="E32" s="306"/>
      <c r="F32" s="306"/>
      <c r="G32" s="306"/>
      <c r="H32" s="338"/>
    </row>
    <row r="33" spans="2:8" x14ac:dyDescent="0.35">
      <c r="B33" s="339" t="s">
        <v>71</v>
      </c>
      <c r="C33" s="281" t="s">
        <v>3</v>
      </c>
      <c r="D33" s="281" t="s">
        <v>4</v>
      </c>
      <c r="E33" s="281" t="s">
        <v>5</v>
      </c>
      <c r="F33" s="281" t="s">
        <v>6</v>
      </c>
      <c r="G33" s="281" t="s">
        <v>7</v>
      </c>
      <c r="H33" s="340" t="s">
        <v>8</v>
      </c>
    </row>
    <row r="34" spans="2:8" x14ac:dyDescent="0.35">
      <c r="B34" s="341" t="s">
        <v>17</v>
      </c>
      <c r="C34" s="342">
        <f>IF(DataEntry!C23=0,0,DataEntry!C23)</f>
        <v>0</v>
      </c>
      <c r="D34" s="342">
        <f>IF(DataEntry!D23=0,0,DataEntry!D23)</f>
        <v>0</v>
      </c>
      <c r="E34" s="342">
        <f>IF(DataEntry!E23=0,0,DataEntry!E23)</f>
        <v>0</v>
      </c>
      <c r="F34" s="342">
        <f>IF(DataEntry!F23=0,0,DataEntry!F23)</f>
        <v>0</v>
      </c>
      <c r="G34" s="342">
        <f>IF(DataEntry!G23=0,0,DataEntry!G23)</f>
        <v>0</v>
      </c>
      <c r="H34" s="343">
        <f>IF(DataEntry!H23=0,0,DataEntry!H23)</f>
        <v>0</v>
      </c>
    </row>
    <row r="35" spans="2:8" x14ac:dyDescent="0.35">
      <c r="B35" s="344" t="s">
        <v>249</v>
      </c>
      <c r="C35" s="345">
        <f>IF(DataEntry!C26=0,0,DataEntry!C26)</f>
        <v>0</v>
      </c>
      <c r="D35" s="346">
        <f>IF(DataEntry!D26=0,0,DataEntry!D26)</f>
        <v>0</v>
      </c>
      <c r="E35" s="346">
        <f>IF(DataEntry!E26=0,0,DataEntry!E26)</f>
        <v>0</v>
      </c>
      <c r="F35" s="346">
        <f>IF(DataEntry!F26=0,0,DataEntry!F26)</f>
        <v>0</v>
      </c>
      <c r="G35" s="346">
        <f>IF(DataEntry!G26=0,0,DataEntry!G26)</f>
        <v>0</v>
      </c>
      <c r="H35" s="347">
        <f>IF(DataEntry!H26=0,0,DataEntry!H26)</f>
        <v>0</v>
      </c>
    </row>
    <row r="36" spans="2:8" x14ac:dyDescent="0.35">
      <c r="B36" s="341" t="s">
        <v>250</v>
      </c>
      <c r="C36" s="346">
        <f>IF(DataEntry!C29=0,0,DataEntry!C29)</f>
        <v>0</v>
      </c>
      <c r="D36" s="346">
        <f>IF(DataEntry!D29=0,0,DataEntry!D29)</f>
        <v>0</v>
      </c>
      <c r="E36" s="346">
        <f>IF(DataEntry!E29=0,0,DataEntry!E29)</f>
        <v>0</v>
      </c>
      <c r="F36" s="346">
        <f>IF(DataEntry!F29=0,0,DataEntry!F29)</f>
        <v>0</v>
      </c>
      <c r="G36" s="346">
        <f>IF(DataEntry!G29=0,0,DataEntry!G29)</f>
        <v>0</v>
      </c>
      <c r="H36" s="347">
        <f>IF(DataEntry!H29=0,0,DataEntry!H29)</f>
        <v>0</v>
      </c>
    </row>
    <row r="37" spans="2:8" x14ac:dyDescent="0.35">
      <c r="B37" s="344" t="s">
        <v>136</v>
      </c>
      <c r="C37" s="126">
        <f>VLOOKUP(Lookup!$D$49,DatabaseJar,Database!$AN$5)</f>
        <v>0</v>
      </c>
      <c r="D37" s="126">
        <f>VLOOKUP(Lookup!$D$49,DatabaseJar,Database!$AX$5)</f>
        <v>0</v>
      </c>
      <c r="E37" s="266">
        <f>VLOOKUP(Lookup!$D$49,DatabaseJar,Database!$BH$5)</f>
        <v>0</v>
      </c>
      <c r="F37" s="266">
        <f>VLOOKUP(Lookup!$D$49,DatabaseJar,Database!$BR$5)</f>
        <v>0</v>
      </c>
      <c r="G37" s="266">
        <f>VLOOKUP(Lookup!$D$49,DatabaseJar,Database!$CB$5)</f>
        <v>0</v>
      </c>
      <c r="H37" s="271">
        <f>VLOOKUP(Lookup!$D$49,DatabaseJar,Database!$CL$5)</f>
        <v>0</v>
      </c>
    </row>
    <row r="38" spans="2:8" x14ac:dyDescent="0.35">
      <c r="B38" s="348" t="s">
        <v>72</v>
      </c>
      <c r="C38" s="126">
        <f>VLOOKUP(Lookup!$D$49,DatabaseJar,Database!$AO$5)</f>
        <v>0</v>
      </c>
      <c r="D38" s="126">
        <f>VLOOKUP(Lookup!$D$49,DatabaseJar,Database!$AY$5)</f>
        <v>0</v>
      </c>
      <c r="E38" s="266">
        <f>VLOOKUP(Lookup!$D$49,DatabaseJar,Database!$BI$5)</f>
        <v>0</v>
      </c>
      <c r="F38" s="266">
        <f>VLOOKUP(Lookup!$D$49,DatabaseJar,Database!$BS$5)</f>
        <v>0</v>
      </c>
      <c r="G38" s="266">
        <f>VLOOKUP(Lookup!$D$49,DatabaseJar,Database!$CC$5)</f>
        <v>0</v>
      </c>
      <c r="H38" s="271">
        <f>VLOOKUP(Lookup!$D$49,DatabaseJar,Database!$CM$5)</f>
        <v>0</v>
      </c>
    </row>
    <row r="39" spans="2:8" x14ac:dyDescent="0.35">
      <c r="B39" s="349" t="s">
        <v>18</v>
      </c>
      <c r="C39" s="126">
        <f>VLOOKUP(Lookup!$D$49,DatabaseJar,Database!$AP$5)</f>
        <v>10.199999999999999</v>
      </c>
      <c r="D39" s="126">
        <f>VLOOKUP(Lookup!$D$49,DatabaseJar,Database!$AZ$5)</f>
        <v>4.2</v>
      </c>
      <c r="E39" s="266">
        <f>VLOOKUP(Lookup!$D$49,DatabaseJar,Database!$BJ$5)</f>
        <v>3</v>
      </c>
      <c r="F39" s="266">
        <f>VLOOKUP(Lookup!$D$49,DatabaseJar,Database!$BT$5)</f>
        <v>3.2</v>
      </c>
      <c r="G39" s="266">
        <f>VLOOKUP(Lookup!$D$49,DatabaseJar,Database!$CD$5)</f>
        <v>0.8</v>
      </c>
      <c r="H39" s="271">
        <f>VLOOKUP(Lookup!$D$49,DatabaseJar,Database!$CN$5)</f>
        <v>1.45</v>
      </c>
    </row>
    <row r="40" spans="2:8" x14ac:dyDescent="0.35">
      <c r="B40" s="349" t="s">
        <v>19</v>
      </c>
      <c r="C40" s="126">
        <f>VLOOKUP(Lookup!$D$49,DatabaseJar,Database!$AQ$5)</f>
        <v>7.35</v>
      </c>
      <c r="D40" s="126">
        <f>VLOOKUP(Lookup!$D$49,DatabaseJar,Database!$BA$5)</f>
        <v>7.15</v>
      </c>
      <c r="E40" s="266">
        <f>VLOOKUP(Lookup!$D$49,DatabaseJar,Database!$BK$5)</f>
        <v>7.19</v>
      </c>
      <c r="F40" s="266">
        <f>VLOOKUP(Lookup!$D$49,DatabaseJar,Database!$BU$5)</f>
        <v>7.16</v>
      </c>
      <c r="G40" s="266">
        <f>VLOOKUP(Lookup!$D$49,DatabaseJar,Database!$CE$5)</f>
        <v>7.29</v>
      </c>
      <c r="H40" s="271">
        <f>VLOOKUP(Lookup!$D$49,DatabaseJar,Database!$CO$5)</f>
        <v>7.12</v>
      </c>
    </row>
    <row r="41" spans="2:8" x14ac:dyDescent="0.35">
      <c r="B41" s="349" t="s">
        <v>53</v>
      </c>
      <c r="C41" s="126">
        <f>VLOOKUP(Lookup!$D$49,DatabaseJar,Database!$AR$5)</f>
        <v>0</v>
      </c>
      <c r="D41" s="126">
        <f>VLOOKUP(Lookup!$D$49,DatabaseJar,Database!$BB$5)</f>
        <v>0</v>
      </c>
      <c r="E41" s="266">
        <f>VLOOKUP(Lookup!$D$49,DatabaseJar,Database!$BL$5)</f>
        <v>0</v>
      </c>
      <c r="F41" s="266">
        <f>VLOOKUP(Lookup!$D$49,DatabaseJar,Database!$BV$5)</f>
        <v>0</v>
      </c>
      <c r="G41" s="266">
        <f>VLOOKUP(Lookup!$D$49,DatabaseJar,Database!$CF$5)</f>
        <v>0</v>
      </c>
      <c r="H41" s="271">
        <f>VLOOKUP(Lookup!$D$49,DatabaseJar,Database!$CP$5)</f>
        <v>0</v>
      </c>
    </row>
    <row r="42" spans="2:8" x14ac:dyDescent="0.35">
      <c r="B42" s="350" t="s">
        <v>278</v>
      </c>
      <c r="C42" s="126">
        <f>VLOOKUP(Lookup!$D$49,DatabaseJar,Database!$AS$5)</f>
        <v>0</v>
      </c>
      <c r="D42" s="126">
        <f>VLOOKUP(Lookup!$D$49,DatabaseJar,Database!$BC$5)</f>
        <v>0</v>
      </c>
      <c r="E42" s="266">
        <f>VLOOKUP(Lookup!$D$49,DatabaseJar,Database!$BM$5)</f>
        <v>0</v>
      </c>
      <c r="F42" s="266">
        <f>VLOOKUP(Lookup!$D$49,DatabaseJar,Database!$BW$5)</f>
        <v>0</v>
      </c>
      <c r="G42" s="266">
        <f>VLOOKUP(Lookup!$D$49,DatabaseJar,Database!$CG$5)</f>
        <v>0</v>
      </c>
      <c r="H42" s="271">
        <f>VLOOKUP(Lookup!$D$49,DatabaseJar,Database!$CQ$5)</f>
        <v>0</v>
      </c>
    </row>
    <row r="43" spans="2:8" ht="17.399999999999999" x14ac:dyDescent="0.35">
      <c r="B43" s="350" t="s">
        <v>279</v>
      </c>
      <c r="C43" s="266">
        <f>VLOOKUP(Lookup!$D$49,DatabaseJar,Database!$AT$5)</f>
        <v>7.5499999999999998E-2</v>
      </c>
      <c r="D43" s="266">
        <f>VLOOKUP(Lookup!$D$49,DatabaseJar,Database!$BD$5)</f>
        <v>6.4000000000000001E-2</v>
      </c>
      <c r="E43" s="266">
        <f>VLOOKUP(Lookup!$D$49,DatabaseJar,Database!$BN$5)</f>
        <v>5.8000000000000003E-2</v>
      </c>
      <c r="F43" s="266">
        <f>VLOOKUP(Lookup!$D$49,DatabaseJar,Database!$BX$5)</f>
        <v>5.2999999999999999E-2</v>
      </c>
      <c r="G43" s="266">
        <f>VLOOKUP(Lookup!$D$49,DatabaseJar,Database!$CH$5)</f>
        <v>5.1999999999999998E-2</v>
      </c>
      <c r="H43" s="271">
        <f>VLOOKUP(Lookup!$D$49,DatabaseJar,Database!$CR$5)</f>
        <v>4.4499999999999998E-2</v>
      </c>
    </row>
    <row r="44" spans="2:8" ht="16.2" thickBot="1" x14ac:dyDescent="0.4">
      <c r="B44" s="351" t="s">
        <v>73</v>
      </c>
      <c r="C44" s="352" t="e">
        <f t="shared" ref="C44:H44" si="0">IF($G$6=0,,1-C42/$H$6)</f>
        <v>#DIV/0!</v>
      </c>
      <c r="D44" s="352" t="e">
        <f t="shared" si="0"/>
        <v>#DIV/0!</v>
      </c>
      <c r="E44" s="352" t="e">
        <f t="shared" si="0"/>
        <v>#DIV/0!</v>
      </c>
      <c r="F44" s="352" t="e">
        <f t="shared" si="0"/>
        <v>#DIV/0!</v>
      </c>
      <c r="G44" s="352" t="e">
        <f t="shared" si="0"/>
        <v>#DIV/0!</v>
      </c>
      <c r="H44" s="353" t="e">
        <f t="shared" si="0"/>
        <v>#DIV/0!</v>
      </c>
    </row>
    <row r="45" spans="2:8" ht="16.2" thickBot="1" x14ac:dyDescent="0.4">
      <c r="B45" s="351" t="s">
        <v>73</v>
      </c>
      <c r="C45" s="352"/>
      <c r="D45" s="352"/>
      <c r="E45" s="352"/>
      <c r="F45" s="352"/>
      <c r="G45" s="352"/>
      <c r="H45" s="353"/>
    </row>
    <row r="46" spans="2:8" x14ac:dyDescent="0.35">
      <c r="B46" s="260"/>
      <c r="C46" s="261"/>
      <c r="D46" s="261"/>
      <c r="E46" s="261"/>
      <c r="F46" s="261"/>
      <c r="G46" s="261"/>
      <c r="H46" s="261"/>
    </row>
    <row r="47" spans="2:8" x14ac:dyDescent="0.35">
      <c r="B47" s="260"/>
      <c r="C47" s="261"/>
      <c r="D47" s="261"/>
      <c r="E47" s="261"/>
      <c r="F47" s="261"/>
      <c r="G47" s="261"/>
      <c r="H47" s="261"/>
    </row>
    <row r="48" spans="2:8" x14ac:dyDescent="0.35">
      <c r="F48" s="354" t="e">
        <f>VLOOKUP(Lookup!$G$49,DatabaseJar,Database!$B$5)</f>
        <v>#N/A</v>
      </c>
      <c r="G48" s="355" t="e">
        <f>VLOOKUP(Lookup!$G$49,DatabaseJar,Database!$E$5)</f>
        <v>#N/A</v>
      </c>
    </row>
    <row r="49" spans="3:7" x14ac:dyDescent="0.35">
      <c r="C49" s="356" t="s">
        <v>120</v>
      </c>
      <c r="D49" s="357">
        <f>ROUND(DataEntry!$H$3,0)+ROUND(DataEntry!$H$4/100,2)</f>
        <v>37685.01</v>
      </c>
      <c r="F49" s="358" t="s">
        <v>125</v>
      </c>
      <c r="G49" s="359">
        <f>ROUND(DataEntry!$C$4,0)+ROUND(DataEntry!$D$4/100,2)</f>
        <v>0</v>
      </c>
    </row>
    <row r="50" spans="3:7" x14ac:dyDescent="0.35">
      <c r="C50" s="358"/>
      <c r="D50" s="359"/>
      <c r="F50" s="358"/>
      <c r="G50" s="359"/>
    </row>
    <row r="51" spans="3:7" x14ac:dyDescent="0.35">
      <c r="C51" s="358" t="s">
        <v>121</v>
      </c>
      <c r="D51" s="359">
        <f>ROUND($C$4,0)+ROUND($D$4/100,2)</f>
        <v>37685.01</v>
      </c>
      <c r="F51" s="358" t="s">
        <v>121</v>
      </c>
      <c r="G51" s="359" t="e">
        <f>ROUND(F48,0)+ROUND(G48/100,2)</f>
        <v>#N/A</v>
      </c>
    </row>
    <row r="52" spans="3:7" x14ac:dyDescent="0.35">
      <c r="C52" s="358"/>
      <c r="D52" s="359"/>
      <c r="F52" s="358"/>
      <c r="G52" s="359"/>
    </row>
    <row r="53" spans="3:7" x14ac:dyDescent="0.35">
      <c r="C53" s="360" t="s">
        <v>124</v>
      </c>
      <c r="D53" s="361">
        <f>IF(D51=D49,1,2)</f>
        <v>1</v>
      </c>
      <c r="F53" s="362" t="s">
        <v>126</v>
      </c>
      <c r="G53" s="361" t="e">
        <f>IF(G51=G49,1,2)</f>
        <v>#N/A</v>
      </c>
    </row>
  </sheetData>
  <phoneticPr fontId="0" type="noConversion"/>
  <printOptions horizontalCentered="1"/>
  <pageMargins left="0.75" right="0.75" top="1" bottom="1" header="0.5" footer="0.5"/>
  <pageSetup scale="68" orientation="portrait" horizontalDpi="300" verticalDpi="300" r:id="rId1"/>
  <headerFooter alignWithMargins="0"/>
  <rowBreaks count="1" manualBreakCount="1">
    <brk id="8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76"/>
  <sheetViews>
    <sheetView showGridLines="0" showZeros="0" topLeftCell="A49" zoomScale="90" zoomScaleNormal="90" workbookViewId="0">
      <selection activeCell="H26" sqref="H26"/>
    </sheetView>
  </sheetViews>
  <sheetFormatPr defaultColWidth="8.8984375" defaultRowHeight="15" x14ac:dyDescent="0.25"/>
  <cols>
    <col min="1" max="1" width="0.8984375" style="363" customWidth="1"/>
    <col min="2" max="2" width="20.796875" style="363" customWidth="1"/>
    <col min="3" max="7" width="13.796875" style="363" customWidth="1"/>
    <col min="8" max="8" width="15.796875" style="363" customWidth="1"/>
    <col min="9" max="16384" width="8.8984375" style="363"/>
  </cols>
  <sheetData>
    <row r="1" spans="1:8" ht="30.6" thickBot="1" x14ac:dyDescent="0.55000000000000004">
      <c r="B1" s="74" t="str">
        <f>"Jar Test Summary for "&amp;B4&amp;" WTP"</f>
        <v>Jar Test Summary for  WTP</v>
      </c>
      <c r="C1" s="364"/>
      <c r="D1" s="364"/>
      <c r="E1" s="364"/>
      <c r="F1" s="364"/>
      <c r="G1" s="364"/>
      <c r="H1" s="364"/>
    </row>
    <row r="2" spans="1:8" ht="18" thickBot="1" x14ac:dyDescent="0.35">
      <c r="A2" s="365"/>
      <c r="B2" s="366" t="s">
        <v>308</v>
      </c>
      <c r="C2" s="367"/>
      <c r="D2" s="367"/>
      <c r="E2" s="367"/>
      <c r="F2" s="367"/>
      <c r="G2" s="367"/>
      <c r="H2" s="368"/>
    </row>
    <row r="3" spans="1:8" x14ac:dyDescent="0.25">
      <c r="B3" s="184" t="s">
        <v>236</v>
      </c>
      <c r="C3" s="185" t="s">
        <v>36</v>
      </c>
      <c r="D3" s="66" t="s">
        <v>81</v>
      </c>
      <c r="E3" s="181" t="s">
        <v>82</v>
      </c>
      <c r="F3" s="415"/>
      <c r="G3" s="272" t="s">
        <v>247</v>
      </c>
      <c r="H3" s="258">
        <v>37685</v>
      </c>
    </row>
    <row r="4" spans="1:8" x14ac:dyDescent="0.25">
      <c r="B4" s="75"/>
      <c r="C4" s="53"/>
      <c r="D4" s="186"/>
      <c r="E4" s="187"/>
      <c r="F4" s="416"/>
      <c r="G4" s="369" t="s">
        <v>81</v>
      </c>
      <c r="H4" s="259">
        <v>1</v>
      </c>
    </row>
    <row r="5" spans="1:8" x14ac:dyDescent="0.25">
      <c r="B5" s="55" t="s">
        <v>52</v>
      </c>
      <c r="C5" s="56" t="s">
        <v>239</v>
      </c>
      <c r="D5" s="57" t="s">
        <v>38</v>
      </c>
      <c r="E5" s="56" t="s">
        <v>68</v>
      </c>
      <c r="F5" s="181" t="s">
        <v>238</v>
      </c>
      <c r="G5" s="182" t="s">
        <v>237</v>
      </c>
      <c r="H5" s="183" t="s">
        <v>245</v>
      </c>
    </row>
    <row r="6" spans="1:8" x14ac:dyDescent="0.25">
      <c r="B6" s="180"/>
      <c r="C6" s="192"/>
      <c r="D6" s="434"/>
      <c r="E6" s="433"/>
      <c r="F6" s="127"/>
      <c r="G6" s="435"/>
      <c r="H6" s="418"/>
    </row>
    <row r="7" spans="1:8" x14ac:dyDescent="0.25">
      <c r="B7" s="370" t="s">
        <v>240</v>
      </c>
      <c r="C7" s="371" t="s">
        <v>20</v>
      </c>
      <c r="D7" s="371" t="s">
        <v>195</v>
      </c>
      <c r="E7" s="372" t="s">
        <v>196</v>
      </c>
      <c r="F7" s="371" t="s">
        <v>243</v>
      </c>
      <c r="G7" s="373" t="s">
        <v>244</v>
      </c>
      <c r="H7" s="374" t="s">
        <v>246</v>
      </c>
    </row>
    <row r="8" spans="1:8" x14ac:dyDescent="0.25">
      <c r="B8" s="375" t="s">
        <v>123</v>
      </c>
      <c r="C8" s="127"/>
      <c r="D8" s="127"/>
      <c r="E8" s="417"/>
      <c r="F8" s="127"/>
      <c r="G8" s="126"/>
      <c r="H8" s="418"/>
    </row>
    <row r="9" spans="1:8" x14ac:dyDescent="0.25">
      <c r="B9" s="188" t="s">
        <v>241</v>
      </c>
      <c r="C9" s="127"/>
      <c r="D9" s="127"/>
      <c r="E9" s="417"/>
      <c r="F9" s="376"/>
      <c r="G9" s="377"/>
      <c r="H9" s="378"/>
    </row>
    <row r="10" spans="1:8" ht="3.75" customHeight="1" thickBot="1" x14ac:dyDescent="0.3">
      <c r="B10" s="379"/>
      <c r="C10" s="380"/>
      <c r="D10" s="380"/>
      <c r="E10" s="380"/>
      <c r="F10" s="380"/>
      <c r="G10" s="380"/>
      <c r="H10" s="381"/>
    </row>
    <row r="11" spans="1:8" x14ac:dyDescent="0.25">
      <c r="B11" s="59" t="s">
        <v>274</v>
      </c>
      <c r="C11" s="382"/>
      <c r="D11" s="382"/>
      <c r="E11" s="382"/>
      <c r="F11" s="382"/>
      <c r="G11" s="382"/>
      <c r="H11" s="383"/>
    </row>
    <row r="12" spans="1:8" x14ac:dyDescent="0.25">
      <c r="B12" s="60"/>
      <c r="C12" s="371" t="s">
        <v>371</v>
      </c>
      <c r="D12" s="371" t="s">
        <v>372</v>
      </c>
      <c r="E12" s="61" t="s">
        <v>254</v>
      </c>
      <c r="F12" s="61" t="s">
        <v>272</v>
      </c>
      <c r="G12" s="61" t="s">
        <v>273</v>
      </c>
      <c r="H12" s="80" t="s">
        <v>248</v>
      </c>
    </row>
    <row r="13" spans="1:8" x14ac:dyDescent="0.25">
      <c r="B13" s="190" t="s">
        <v>251</v>
      </c>
      <c r="C13" s="127"/>
      <c r="D13" s="127"/>
      <c r="E13" s="419"/>
      <c r="F13" s="419"/>
      <c r="G13" s="420"/>
      <c r="H13" s="191"/>
    </row>
    <row r="14" spans="1:8" x14ac:dyDescent="0.25">
      <c r="B14" s="384" t="s">
        <v>370</v>
      </c>
      <c r="C14" s="127"/>
      <c r="D14" s="127"/>
      <c r="E14" s="421"/>
      <c r="F14" s="79"/>
      <c r="G14" s="79"/>
      <c r="H14" s="422"/>
    </row>
    <row r="15" spans="1:8" ht="26.1" customHeight="1" x14ac:dyDescent="0.25">
      <c r="B15" s="385"/>
      <c r="C15" s="386"/>
      <c r="D15" s="376"/>
      <c r="E15" s="376"/>
      <c r="F15" s="376"/>
      <c r="G15" s="387"/>
      <c r="H15" s="388"/>
    </row>
    <row r="16" spans="1:8" ht="3.75" customHeight="1" thickBot="1" x14ac:dyDescent="0.3">
      <c r="B16" s="389"/>
      <c r="C16" s="390"/>
      <c r="D16" s="390"/>
      <c r="E16" s="390"/>
      <c r="F16" s="390"/>
      <c r="G16" s="390"/>
      <c r="H16" s="388"/>
    </row>
    <row r="17" spans="2:8" x14ac:dyDescent="0.25">
      <c r="B17" s="58" t="s">
        <v>275</v>
      </c>
      <c r="C17" s="391"/>
      <c r="D17" s="391"/>
      <c r="E17" s="391"/>
      <c r="F17" s="391"/>
      <c r="G17" s="391"/>
      <c r="H17" s="383"/>
    </row>
    <row r="18" spans="2:8" x14ac:dyDescent="0.25">
      <c r="B18" s="256" t="s">
        <v>276</v>
      </c>
      <c r="C18" s="392"/>
      <c r="D18" s="392"/>
      <c r="E18" s="392"/>
      <c r="F18" s="392"/>
      <c r="G18" s="392"/>
      <c r="H18" s="393"/>
    </row>
    <row r="19" spans="2:8" x14ac:dyDescent="0.25">
      <c r="B19" s="256"/>
      <c r="C19" s="392"/>
      <c r="D19" s="392"/>
      <c r="E19" s="392"/>
      <c r="F19" s="392"/>
      <c r="G19" s="392"/>
      <c r="H19" s="393"/>
    </row>
    <row r="20" spans="2:8" x14ac:dyDescent="0.25">
      <c r="B20" s="370" t="s">
        <v>199</v>
      </c>
      <c r="C20" s="371" t="s">
        <v>20</v>
      </c>
      <c r="D20" s="371" t="s">
        <v>195</v>
      </c>
      <c r="E20" s="371" t="s">
        <v>196</v>
      </c>
      <c r="F20" s="438" t="s">
        <v>309</v>
      </c>
      <c r="G20" s="439"/>
      <c r="H20" s="437"/>
    </row>
    <row r="21" spans="2:8" ht="16.8" thickBot="1" x14ac:dyDescent="0.4">
      <c r="B21" s="436" t="s">
        <v>200</v>
      </c>
      <c r="C21" s="453"/>
      <c r="D21" s="453"/>
      <c r="E21" s="453"/>
      <c r="F21" s="454"/>
      <c r="G21" s="455"/>
      <c r="H21" s="440"/>
    </row>
    <row r="22" spans="2:8" ht="15.6" thickTop="1" x14ac:dyDescent="0.25">
      <c r="B22" s="184" t="s">
        <v>310</v>
      </c>
      <c r="C22" s="66" t="s">
        <v>3</v>
      </c>
      <c r="D22" s="66" t="s">
        <v>4</v>
      </c>
      <c r="E22" s="66" t="s">
        <v>5</v>
      </c>
      <c r="F22" s="66" t="s">
        <v>6</v>
      </c>
      <c r="G22" s="66" t="s">
        <v>7</v>
      </c>
      <c r="H22" s="67" t="s">
        <v>8</v>
      </c>
    </row>
    <row r="23" spans="2:8" x14ac:dyDescent="0.25">
      <c r="B23" s="62" t="s">
        <v>17</v>
      </c>
      <c r="C23" s="423"/>
      <c r="D23" s="424"/>
      <c r="E23" s="424"/>
      <c r="F23" s="424"/>
      <c r="G23" s="424"/>
      <c r="H23" s="425"/>
    </row>
    <row r="24" spans="2:8" ht="15.6" thickBot="1" x14ac:dyDescent="0.3">
      <c r="B24" s="63" t="s">
        <v>9</v>
      </c>
      <c r="C24" s="394" t="str">
        <f t="shared" ref="C24:H24" si="0">IF(C23=0,"",$F$21*C23/($C$21*10000))</f>
        <v/>
      </c>
      <c r="D24" s="394" t="str">
        <f t="shared" si="0"/>
        <v/>
      </c>
      <c r="E24" s="394" t="str">
        <f t="shared" si="0"/>
        <v/>
      </c>
      <c r="F24" s="394" t="str">
        <f t="shared" si="0"/>
        <v/>
      </c>
      <c r="G24" s="394" t="str">
        <f t="shared" si="0"/>
        <v/>
      </c>
      <c r="H24" s="458" t="str">
        <f t="shared" si="0"/>
        <v/>
      </c>
    </row>
    <row r="25" spans="2:8" ht="8.1" customHeight="1" thickTop="1" x14ac:dyDescent="0.25">
      <c r="B25" s="389"/>
      <c r="C25" s="390"/>
      <c r="D25" s="390"/>
      <c r="E25" s="390"/>
      <c r="F25" s="390"/>
      <c r="G25" s="390"/>
      <c r="H25" s="388"/>
    </row>
    <row r="26" spans="2:8" x14ac:dyDescent="0.25">
      <c r="B26" s="64" t="s">
        <v>311</v>
      </c>
      <c r="C26" s="426"/>
      <c r="D26" s="427"/>
      <c r="E26" s="427"/>
      <c r="F26" s="427"/>
      <c r="G26" s="427"/>
      <c r="H26" s="428"/>
    </row>
    <row r="27" spans="2:8" ht="15.6" thickBot="1" x14ac:dyDescent="0.3">
      <c r="B27" s="65" t="s">
        <v>9</v>
      </c>
      <c r="C27" s="394" t="str">
        <f t="shared" ref="C27:H27" si="1">IF(C26=0,"",$F$21*C26/($D$21*10000))</f>
        <v/>
      </c>
      <c r="D27" s="394" t="str">
        <f t="shared" si="1"/>
        <v/>
      </c>
      <c r="E27" s="394" t="str">
        <f t="shared" si="1"/>
        <v/>
      </c>
      <c r="F27" s="394" t="str">
        <f t="shared" si="1"/>
        <v/>
      </c>
      <c r="G27" s="394" t="str">
        <f t="shared" si="1"/>
        <v/>
      </c>
      <c r="H27" s="458" t="str">
        <f t="shared" si="1"/>
        <v/>
      </c>
    </row>
    <row r="28" spans="2:8" ht="8.1" customHeight="1" thickTop="1" x14ac:dyDescent="0.25">
      <c r="B28" s="188"/>
      <c r="C28" s="395"/>
      <c r="D28" s="395"/>
      <c r="E28" s="395"/>
      <c r="F28" s="395"/>
      <c r="G28" s="395"/>
      <c r="H28" s="396"/>
    </row>
    <row r="29" spans="2:8" x14ac:dyDescent="0.25">
      <c r="B29" s="64" t="s">
        <v>312</v>
      </c>
      <c r="C29" s="426"/>
      <c r="D29" s="427"/>
      <c r="E29" s="427"/>
      <c r="F29" s="427"/>
      <c r="G29" s="427"/>
      <c r="H29" s="428"/>
    </row>
    <row r="30" spans="2:8" ht="15.6" thickBot="1" x14ac:dyDescent="0.3">
      <c r="B30" s="65" t="s">
        <v>9</v>
      </c>
      <c r="C30" s="394" t="str">
        <f t="shared" ref="C30:H30" si="2">IF(C29=0,"",$F$21*C29/($E$21*10000))</f>
        <v/>
      </c>
      <c r="D30" s="394" t="str">
        <f t="shared" si="2"/>
        <v/>
      </c>
      <c r="E30" s="394" t="str">
        <f t="shared" si="2"/>
        <v/>
      </c>
      <c r="F30" s="394" t="str">
        <f t="shared" si="2"/>
        <v/>
      </c>
      <c r="G30" s="394" t="str">
        <f t="shared" si="2"/>
        <v/>
      </c>
      <c r="H30" s="458" t="str">
        <f t="shared" si="2"/>
        <v/>
      </c>
    </row>
    <row r="31" spans="2:8" ht="3.75" customHeight="1" thickTop="1" thickBot="1" x14ac:dyDescent="0.3">
      <c r="B31" s="389"/>
      <c r="C31" s="390"/>
      <c r="D31" s="390"/>
      <c r="E31" s="390"/>
      <c r="F31" s="390"/>
      <c r="G31" s="390"/>
      <c r="H31" s="388"/>
    </row>
    <row r="32" spans="2:8" x14ac:dyDescent="0.25">
      <c r="B32" s="59" t="s">
        <v>277</v>
      </c>
      <c r="C32" s="382"/>
      <c r="D32" s="382"/>
      <c r="E32" s="382"/>
      <c r="F32" s="382"/>
      <c r="G32" s="382"/>
      <c r="H32" s="397"/>
    </row>
    <row r="33" spans="2:8" x14ac:dyDescent="0.25">
      <c r="B33" s="398" t="s">
        <v>71</v>
      </c>
      <c r="C33" s="66" t="s">
        <v>3</v>
      </c>
      <c r="D33" s="66" t="s">
        <v>4</v>
      </c>
      <c r="E33" s="66" t="s">
        <v>5</v>
      </c>
      <c r="F33" s="66" t="s">
        <v>6</v>
      </c>
      <c r="G33" s="66" t="s">
        <v>7</v>
      </c>
      <c r="H33" s="67" t="s">
        <v>8</v>
      </c>
    </row>
    <row r="34" spans="2:8" x14ac:dyDescent="0.25">
      <c r="B34" s="399" t="s">
        <v>17</v>
      </c>
      <c r="C34" s="70">
        <f>IF(DataEntry!C23=0,0,DataEntry!C23)</f>
        <v>0</v>
      </c>
      <c r="D34" s="70">
        <f>IF(DataEntry!D23=0,0,DataEntry!D23)</f>
        <v>0</v>
      </c>
      <c r="E34" s="70">
        <f>IF(DataEntry!E23=0,0,DataEntry!E23)</f>
        <v>0</v>
      </c>
      <c r="F34" s="70">
        <f>IF(DataEntry!F23=0,0,DataEntry!F23)</f>
        <v>0</v>
      </c>
      <c r="G34" s="70">
        <f>IF(DataEntry!G23=0,0,DataEntry!G23)</f>
        <v>0</v>
      </c>
      <c r="H34" s="71">
        <f>IF(DataEntry!H23=0,0,DataEntry!H23)</f>
        <v>0</v>
      </c>
    </row>
    <row r="35" spans="2:8" x14ac:dyDescent="0.25">
      <c r="B35" s="400" t="s">
        <v>249</v>
      </c>
      <c r="C35" s="189">
        <f>IF(DataEntry!C26=0,0,DataEntry!C26)</f>
        <v>0</v>
      </c>
      <c r="D35" s="73">
        <f>IF(DataEntry!D26=0,0,DataEntry!D26)</f>
        <v>0</v>
      </c>
      <c r="E35" s="73">
        <f>IF(DataEntry!E26=0,0,DataEntry!E26)</f>
        <v>0</v>
      </c>
      <c r="F35" s="73">
        <f>IF(DataEntry!F26=0,0,DataEntry!F26)</f>
        <v>0</v>
      </c>
      <c r="G35" s="73">
        <f>IF(DataEntry!G26=0,0,DataEntry!G26)</f>
        <v>0</v>
      </c>
      <c r="H35" s="72">
        <f>IF(DataEntry!H26=0,0,DataEntry!H26)</f>
        <v>0</v>
      </c>
    </row>
    <row r="36" spans="2:8" x14ac:dyDescent="0.25">
      <c r="B36" s="399" t="s">
        <v>250</v>
      </c>
      <c r="C36" s="73">
        <f>IF(DataEntry!C29=0,0,DataEntry!C29)</f>
        <v>0</v>
      </c>
      <c r="D36" s="73">
        <f>IF(DataEntry!D29=0,0,DataEntry!D29)</f>
        <v>0</v>
      </c>
      <c r="E36" s="73">
        <f>IF(DataEntry!E29=0,0,DataEntry!E29)</f>
        <v>0</v>
      </c>
      <c r="F36" s="73">
        <f>IF(DataEntry!F29=0,0,DataEntry!F29)</f>
        <v>0</v>
      </c>
      <c r="G36" s="73">
        <f>IF(DataEntry!G29=0,0,DataEntry!G29)</f>
        <v>0</v>
      </c>
      <c r="H36" s="72">
        <f>IF(DataEntry!H29=0,0,DataEntry!H29)</f>
        <v>0</v>
      </c>
    </row>
    <row r="37" spans="2:8" x14ac:dyDescent="0.25">
      <c r="B37" s="400" t="s">
        <v>136</v>
      </c>
      <c r="C37" s="126"/>
      <c r="D37" s="126"/>
      <c r="E37" s="126"/>
      <c r="F37" s="126"/>
      <c r="G37" s="126"/>
      <c r="H37" s="265"/>
    </row>
    <row r="38" spans="2:8" x14ac:dyDescent="0.25">
      <c r="B38" s="401" t="s">
        <v>72</v>
      </c>
      <c r="C38" s="126"/>
      <c r="D38" s="126"/>
      <c r="E38" s="126"/>
      <c r="F38" s="126"/>
      <c r="G38" s="126"/>
      <c r="H38" s="265"/>
    </row>
    <row r="39" spans="2:8" x14ac:dyDescent="0.25">
      <c r="B39" s="68" t="s">
        <v>18</v>
      </c>
      <c r="C39" s="427"/>
      <c r="D39" s="427"/>
      <c r="E39" s="427"/>
      <c r="F39" s="427"/>
      <c r="G39" s="427"/>
      <c r="H39" s="428"/>
    </row>
    <row r="40" spans="2:8" x14ac:dyDescent="0.25">
      <c r="B40" s="68" t="s">
        <v>19</v>
      </c>
      <c r="C40" s="427"/>
      <c r="D40" s="427"/>
      <c r="E40" s="427"/>
      <c r="F40" s="427"/>
      <c r="G40" s="427"/>
      <c r="H40" s="428"/>
    </row>
    <row r="41" spans="2:8" x14ac:dyDescent="0.25">
      <c r="B41" s="68" t="s">
        <v>53</v>
      </c>
      <c r="C41" s="427"/>
      <c r="D41" s="427"/>
      <c r="E41" s="427"/>
      <c r="F41" s="427"/>
      <c r="G41" s="427"/>
      <c r="H41" s="428"/>
    </row>
    <row r="42" spans="2:8" x14ac:dyDescent="0.25">
      <c r="B42" s="69" t="s">
        <v>278</v>
      </c>
      <c r="C42" s="426"/>
      <c r="D42" s="426"/>
      <c r="E42" s="426"/>
      <c r="F42" s="426"/>
      <c r="G42" s="426"/>
      <c r="H42" s="54"/>
    </row>
    <row r="43" spans="2:8" ht="16.2" x14ac:dyDescent="0.25">
      <c r="B43" s="69" t="s">
        <v>279</v>
      </c>
      <c r="C43" s="429"/>
      <c r="D43" s="429"/>
      <c r="E43" s="429"/>
      <c r="F43" s="429"/>
      <c r="G43" s="429"/>
      <c r="H43" s="430"/>
    </row>
    <row r="44" spans="2:8" ht="15.6" thickBot="1" x14ac:dyDescent="0.3">
      <c r="B44" s="76" t="s">
        <v>73</v>
      </c>
      <c r="C44" s="402">
        <f t="shared" ref="C44:H44" si="3">IF($H$6=0,,1-C42/$H$6)</f>
        <v>0</v>
      </c>
      <c r="D44" s="402">
        <f t="shared" si="3"/>
        <v>0</v>
      </c>
      <c r="E44" s="402">
        <f t="shared" si="3"/>
        <v>0</v>
      </c>
      <c r="F44" s="402">
        <f t="shared" si="3"/>
        <v>0</v>
      </c>
      <c r="G44" s="402">
        <f t="shared" si="3"/>
        <v>0</v>
      </c>
      <c r="H44" s="459">
        <f t="shared" si="3"/>
        <v>0</v>
      </c>
    </row>
    <row r="45" spans="2:8" x14ac:dyDescent="0.25">
      <c r="B45" s="257"/>
      <c r="C45" s="403"/>
      <c r="D45" s="403"/>
      <c r="E45" s="403"/>
      <c r="F45" s="403"/>
      <c r="G45" s="403"/>
      <c r="H45" s="404"/>
    </row>
    <row r="46" spans="2:8" ht="15.6" thickBot="1" x14ac:dyDescent="0.3">
      <c r="B46" s="257"/>
      <c r="C46" s="403"/>
      <c r="D46" s="403"/>
      <c r="E46" s="403"/>
      <c r="F46" s="403"/>
      <c r="G46" s="403"/>
      <c r="H46" s="404"/>
    </row>
    <row r="47" spans="2:8" x14ac:dyDescent="0.25">
      <c r="B47" s="405"/>
      <c r="C47" s="406"/>
      <c r="D47" s="406"/>
      <c r="E47" s="406"/>
      <c r="F47" s="406"/>
      <c r="G47" s="406"/>
      <c r="H47" s="407"/>
    </row>
    <row r="48" spans="2:8" x14ac:dyDescent="0.25">
      <c r="B48" s="408"/>
      <c r="C48" s="409"/>
      <c r="D48" s="409"/>
      <c r="E48" s="409"/>
      <c r="F48" s="409"/>
      <c r="G48" s="409"/>
      <c r="H48" s="410"/>
    </row>
    <row r="49" spans="2:8" x14ac:dyDescent="0.25">
      <c r="B49" s="408"/>
      <c r="C49" s="409"/>
      <c r="D49" s="409"/>
      <c r="E49" s="409"/>
      <c r="F49" s="409"/>
      <c r="G49" s="409"/>
      <c r="H49" s="410"/>
    </row>
    <row r="50" spans="2:8" x14ac:dyDescent="0.25">
      <c r="B50" s="408"/>
      <c r="C50" s="409"/>
      <c r="D50" s="409"/>
      <c r="E50" s="409"/>
      <c r="F50" s="409"/>
      <c r="G50" s="409"/>
      <c r="H50" s="410"/>
    </row>
    <row r="51" spans="2:8" x14ac:dyDescent="0.25">
      <c r="B51" s="408"/>
      <c r="C51" s="409"/>
      <c r="D51" s="409"/>
      <c r="E51" s="409"/>
      <c r="F51" s="409"/>
      <c r="G51" s="409"/>
      <c r="H51" s="410"/>
    </row>
    <row r="52" spans="2:8" x14ac:dyDescent="0.25">
      <c r="B52" s="408"/>
      <c r="C52" s="409"/>
      <c r="D52" s="409"/>
      <c r="E52" s="409"/>
      <c r="F52" s="409"/>
      <c r="G52" s="409"/>
      <c r="H52" s="410"/>
    </row>
    <row r="53" spans="2:8" x14ac:dyDescent="0.25">
      <c r="B53" s="408"/>
      <c r="C53" s="409"/>
      <c r="D53" s="409"/>
      <c r="E53" s="409"/>
      <c r="F53" s="409"/>
      <c r="G53" s="409"/>
      <c r="H53" s="410"/>
    </row>
    <row r="54" spans="2:8" x14ac:dyDescent="0.25">
      <c r="B54" s="408"/>
      <c r="C54" s="409"/>
      <c r="D54" s="409"/>
      <c r="E54" s="409"/>
      <c r="F54" s="409"/>
      <c r="G54" s="409"/>
      <c r="H54" s="410"/>
    </row>
    <row r="55" spans="2:8" x14ac:dyDescent="0.25">
      <c r="B55" s="408"/>
      <c r="C55" s="409"/>
      <c r="D55" s="409"/>
      <c r="E55" s="409"/>
      <c r="F55" s="409"/>
      <c r="G55" s="409"/>
      <c r="H55" s="410"/>
    </row>
    <row r="56" spans="2:8" x14ac:dyDescent="0.25">
      <c r="B56" s="408"/>
      <c r="C56" s="409"/>
      <c r="D56" s="409"/>
      <c r="E56" s="409"/>
      <c r="F56" s="409"/>
      <c r="G56" s="409"/>
      <c r="H56" s="410"/>
    </row>
    <row r="57" spans="2:8" x14ac:dyDescent="0.25">
      <c r="B57" s="408"/>
      <c r="C57" s="409"/>
      <c r="D57" s="409"/>
      <c r="E57" s="409"/>
      <c r="F57" s="409"/>
      <c r="G57" s="409"/>
      <c r="H57" s="410"/>
    </row>
    <row r="58" spans="2:8" x14ac:dyDescent="0.25">
      <c r="B58" s="408"/>
      <c r="C58" s="409"/>
      <c r="D58" s="409"/>
      <c r="E58" s="409"/>
      <c r="F58" s="409"/>
      <c r="G58" s="409"/>
      <c r="H58" s="410"/>
    </row>
    <row r="59" spans="2:8" x14ac:dyDescent="0.25">
      <c r="B59" s="408"/>
      <c r="C59" s="409"/>
      <c r="D59" s="409"/>
      <c r="E59" s="409"/>
      <c r="F59" s="409"/>
      <c r="G59" s="409"/>
      <c r="H59" s="410"/>
    </row>
    <row r="60" spans="2:8" x14ac:dyDescent="0.25">
      <c r="B60" s="408"/>
      <c r="C60" s="409"/>
      <c r="D60" s="409"/>
      <c r="E60" s="409"/>
      <c r="F60" s="409"/>
      <c r="G60" s="409"/>
      <c r="H60" s="410"/>
    </row>
    <row r="61" spans="2:8" ht="15.6" thickBot="1" x14ac:dyDescent="0.3">
      <c r="B61" s="411"/>
      <c r="C61" s="412"/>
      <c r="D61" s="412"/>
      <c r="E61" s="412"/>
      <c r="F61" s="412"/>
      <c r="G61" s="412"/>
      <c r="H61" s="413"/>
    </row>
    <row r="62" spans="2:8" x14ac:dyDescent="0.25">
      <c r="B62" s="405"/>
      <c r="C62" s="406"/>
      <c r="D62" s="406"/>
      <c r="E62" s="406"/>
      <c r="F62" s="406"/>
      <c r="G62" s="406"/>
      <c r="H62" s="407"/>
    </row>
    <row r="63" spans="2:8" x14ac:dyDescent="0.25">
      <c r="B63" s="408"/>
      <c r="C63" s="409"/>
      <c r="D63" s="409"/>
      <c r="E63" s="409"/>
      <c r="F63" s="409"/>
      <c r="G63" s="409"/>
      <c r="H63" s="410"/>
    </row>
    <row r="64" spans="2:8" x14ac:dyDescent="0.25">
      <c r="B64" s="408"/>
      <c r="C64" s="409"/>
      <c r="D64" s="409"/>
      <c r="E64" s="409"/>
      <c r="F64" s="409"/>
      <c r="G64" s="409"/>
      <c r="H64" s="410"/>
    </row>
    <row r="65" spans="2:8" x14ac:dyDescent="0.25">
      <c r="B65" s="408"/>
      <c r="C65" s="409"/>
      <c r="D65" s="409"/>
      <c r="E65" s="409"/>
      <c r="F65" s="409"/>
      <c r="G65" s="409"/>
      <c r="H65" s="410"/>
    </row>
    <row r="66" spans="2:8" x14ac:dyDescent="0.25">
      <c r="B66" s="408"/>
      <c r="C66" s="409"/>
      <c r="D66" s="409"/>
      <c r="E66" s="409"/>
      <c r="F66" s="409"/>
      <c r="G66" s="409"/>
      <c r="H66" s="410"/>
    </row>
    <row r="67" spans="2:8" x14ac:dyDescent="0.25">
      <c r="B67" s="408"/>
      <c r="C67" s="409"/>
      <c r="D67" s="409"/>
      <c r="E67" s="409"/>
      <c r="F67" s="409"/>
      <c r="G67" s="409"/>
      <c r="H67" s="410"/>
    </row>
    <row r="68" spans="2:8" x14ac:dyDescent="0.25">
      <c r="B68" s="408"/>
      <c r="C68" s="409"/>
      <c r="D68" s="409"/>
      <c r="E68" s="409"/>
      <c r="F68" s="409"/>
      <c r="G68" s="409"/>
      <c r="H68" s="410"/>
    </row>
    <row r="69" spans="2:8" x14ac:dyDescent="0.25">
      <c r="B69" s="408"/>
      <c r="C69" s="409"/>
      <c r="D69" s="409"/>
      <c r="E69" s="409"/>
      <c r="F69" s="409"/>
      <c r="G69" s="409"/>
      <c r="H69" s="410"/>
    </row>
    <row r="70" spans="2:8" x14ac:dyDescent="0.25">
      <c r="B70" s="408"/>
      <c r="C70" s="409"/>
      <c r="D70" s="409"/>
      <c r="E70" s="409"/>
      <c r="F70" s="409"/>
      <c r="G70" s="409"/>
      <c r="H70" s="410"/>
    </row>
    <row r="71" spans="2:8" x14ac:dyDescent="0.25">
      <c r="B71" s="408"/>
      <c r="C71" s="409"/>
      <c r="D71" s="409"/>
      <c r="E71" s="409"/>
      <c r="F71" s="409"/>
      <c r="G71" s="409"/>
      <c r="H71" s="410"/>
    </row>
    <row r="72" spans="2:8" x14ac:dyDescent="0.25">
      <c r="B72" s="408"/>
      <c r="C72" s="409"/>
      <c r="D72" s="409"/>
      <c r="E72" s="409"/>
      <c r="F72" s="409"/>
      <c r="G72" s="409"/>
      <c r="H72" s="410"/>
    </row>
    <row r="73" spans="2:8" x14ac:dyDescent="0.25">
      <c r="B73" s="408"/>
      <c r="C73" s="409"/>
      <c r="D73" s="409"/>
      <c r="E73" s="409"/>
      <c r="F73" s="409"/>
      <c r="G73" s="409"/>
      <c r="H73" s="410"/>
    </row>
    <row r="74" spans="2:8" x14ac:dyDescent="0.25">
      <c r="B74" s="408"/>
      <c r="C74" s="409"/>
      <c r="D74" s="409"/>
      <c r="E74" s="409"/>
      <c r="F74" s="409"/>
      <c r="G74" s="409"/>
      <c r="H74" s="410"/>
    </row>
    <row r="75" spans="2:8" x14ac:dyDescent="0.25">
      <c r="B75" s="408"/>
      <c r="C75" s="409"/>
      <c r="D75" s="409"/>
      <c r="E75" s="409"/>
      <c r="F75" s="409"/>
      <c r="G75" s="409"/>
      <c r="H75" s="410"/>
    </row>
    <row r="76" spans="2:8" ht="15.6" thickBot="1" x14ac:dyDescent="0.3">
      <c r="B76" s="411"/>
      <c r="C76" s="412"/>
      <c r="D76" s="412"/>
      <c r="E76" s="412"/>
      <c r="F76" s="412"/>
      <c r="G76" s="412"/>
      <c r="H76" s="413"/>
    </row>
  </sheetData>
  <phoneticPr fontId="0" type="noConversion"/>
  <printOptions horizontalCentered="1"/>
  <pageMargins left="0.5" right="0.5" top="0.75" bottom="0.75" header="0.5" footer="0.5"/>
  <pageSetup scale="62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9" r:id="rId4" name="Button 19">
              <controlPr defaultSize="0" print="0" autoFill="0" autoPict="0" macro="[0]!RetrieveMacro">
                <anchor moveWithCells="1" sizeWithCells="1">
                  <from>
                    <xdr:col>5</xdr:col>
                    <xdr:colOff>60960</xdr:colOff>
                    <xdr:row>2</xdr:row>
                    <xdr:rowOff>76200</xdr:rowOff>
                  </from>
                  <to>
                    <xdr:col>5</xdr:col>
                    <xdr:colOff>1143000</xdr:colOff>
                    <xdr:row>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5" name="Button 20">
              <controlPr defaultSize="0" print="0" autoFill="0" autoPict="0" macro="[0]!UpdateMacro">
                <anchor moveWithCells="1" sizeWithCells="1">
                  <from>
                    <xdr:col>2</xdr:col>
                    <xdr:colOff>1135380</xdr:colOff>
                    <xdr:row>44</xdr:row>
                    <xdr:rowOff>60960</xdr:rowOff>
                  </from>
                  <to>
                    <xdr:col>5</xdr:col>
                    <xdr:colOff>693420</xdr:colOff>
                    <xdr:row>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3" r:id="rId6" name="Button 373">
              <controlPr defaultSize="0" print="0" autoFill="0" autoPict="0" macro="[0]!GotoMacros.StockSolutionHelp">
                <anchor moveWithCells="1" sizeWithCells="1">
                  <from>
                    <xdr:col>5</xdr:col>
                    <xdr:colOff>480060</xdr:colOff>
                    <xdr:row>16</xdr:row>
                    <xdr:rowOff>137160</xdr:rowOff>
                  </from>
                  <to>
                    <xdr:col>7</xdr:col>
                    <xdr:colOff>289560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4" r:id="rId7" name="Button 374">
              <controlPr defaultSize="0" print="0" autoFill="0" autoPict="0" macro="[0]!GotoJarSettingsScreen">
                <anchor moveWithCells="1" sizeWithCells="1">
                  <from>
                    <xdr:col>2</xdr:col>
                    <xdr:colOff>0</xdr:colOff>
                    <xdr:row>14</xdr:row>
                    <xdr:rowOff>30480</xdr:rowOff>
                  </from>
                  <to>
                    <xdr:col>4</xdr:col>
                    <xdr:colOff>335280</xdr:colOff>
                    <xdr:row>15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31" transitionEvaluation="1" codeName="Sheet3">
    <pageSetUpPr fitToPage="1"/>
  </sheetPr>
  <dimension ref="B1:I65"/>
  <sheetViews>
    <sheetView showGridLines="0" topLeftCell="A31" zoomScale="90" zoomScaleNormal="90" workbookViewId="0">
      <selection activeCell="E12" sqref="E12"/>
    </sheetView>
  </sheetViews>
  <sheetFormatPr defaultColWidth="9.796875" defaultRowHeight="15.6" x14ac:dyDescent="0.35"/>
  <cols>
    <col min="1" max="1" width="1.796875" style="85" customWidth="1"/>
    <col min="2" max="2" width="2.5" style="85" customWidth="1"/>
    <col min="3" max="3" width="21.3984375" style="85" customWidth="1"/>
    <col min="4" max="4" width="23.19921875" style="85" customWidth="1"/>
    <col min="5" max="5" width="15.59765625" style="85" customWidth="1"/>
    <col min="6" max="6" width="8.8984375" style="85" customWidth="1"/>
    <col min="7" max="7" width="10.3984375" style="85" customWidth="1"/>
    <col min="8" max="8" width="33.59765625" style="85" customWidth="1"/>
    <col min="9" max="16384" width="9.796875" style="85"/>
  </cols>
  <sheetData>
    <row r="1" spans="2:8" ht="9.9" customHeight="1" thickBot="1" x14ac:dyDescent="0.4"/>
    <row r="2" spans="2:8" ht="22.8" x14ac:dyDescent="0.4">
      <c r="B2" s="762" t="s">
        <v>280</v>
      </c>
      <c r="C2" s="763"/>
      <c r="D2" s="763"/>
      <c r="E2" s="763"/>
      <c r="F2" s="763"/>
      <c r="G2" s="763"/>
      <c r="H2" s="764"/>
    </row>
    <row r="3" spans="2:8" ht="21.6" thickBot="1" x14ac:dyDescent="0.45">
      <c r="B3" s="132" t="s">
        <v>204</v>
      </c>
      <c r="C3" s="133"/>
      <c r="D3" s="133"/>
      <c r="E3" s="133"/>
      <c r="F3" s="133"/>
      <c r="G3" s="133"/>
      <c r="H3" s="134"/>
    </row>
    <row r="4" spans="2:8" ht="15.9" customHeight="1" x14ac:dyDescent="0.4">
      <c r="B4" s="140" t="s">
        <v>205</v>
      </c>
      <c r="C4" s="135"/>
      <c r="D4" s="135"/>
      <c r="E4" s="135"/>
      <c r="F4" s="135"/>
      <c r="G4" s="135"/>
      <c r="H4" s="136"/>
    </row>
    <row r="5" spans="2:8" ht="15.9" customHeight="1" x14ac:dyDescent="0.35">
      <c r="B5" s="93"/>
      <c r="C5" s="141" t="s">
        <v>281</v>
      </c>
      <c r="D5" s="100"/>
      <c r="E5" s="100"/>
      <c r="F5" s="100"/>
      <c r="G5" s="100"/>
      <c r="H5" s="101"/>
    </row>
    <row r="6" spans="2:8" ht="15.9" customHeight="1" x14ac:dyDescent="0.35">
      <c r="B6" s="93"/>
      <c r="C6" s="141" t="s">
        <v>282</v>
      </c>
      <c r="D6" s="100"/>
      <c r="E6" s="100"/>
      <c r="F6" s="100"/>
      <c r="G6" s="100"/>
      <c r="H6" s="101"/>
    </row>
    <row r="7" spans="2:8" ht="15.9" customHeight="1" x14ac:dyDescent="0.35">
      <c r="B7" s="93"/>
      <c r="C7" s="141" t="s">
        <v>283</v>
      </c>
      <c r="D7" s="100"/>
      <c r="E7" s="100"/>
      <c r="F7" s="100"/>
      <c r="G7" s="100"/>
      <c r="H7" s="101"/>
    </row>
    <row r="8" spans="2:8" ht="15.9" customHeight="1" x14ac:dyDescent="0.35">
      <c r="B8" s="93"/>
      <c r="C8" s="141" t="s">
        <v>284</v>
      </c>
      <c r="D8" s="100"/>
      <c r="E8" s="100"/>
      <c r="F8" s="100"/>
      <c r="G8" s="100"/>
      <c r="H8" s="101"/>
    </row>
    <row r="9" spans="2:8" ht="15.9" customHeight="1" x14ac:dyDescent="0.35">
      <c r="B9" s="102"/>
      <c r="C9" s="103"/>
      <c r="D9" s="103"/>
      <c r="E9" s="103"/>
      <c r="F9" s="103"/>
      <c r="G9" s="103"/>
      <c r="H9" s="104"/>
    </row>
    <row r="10" spans="2:8" ht="15.9" customHeight="1" x14ac:dyDescent="0.35">
      <c r="B10" s="86"/>
      <c r="C10" s="508" t="s">
        <v>0</v>
      </c>
      <c r="D10" s="509"/>
      <c r="E10" s="509"/>
      <c r="F10" s="510"/>
      <c r="G10" s="160"/>
      <c r="H10" s="87"/>
    </row>
    <row r="11" spans="2:8" ht="15.9" customHeight="1" x14ac:dyDescent="0.35">
      <c r="B11" s="86"/>
      <c r="C11" s="164" t="s">
        <v>228</v>
      </c>
      <c r="D11" s="165"/>
      <c r="E11" s="81">
        <v>2000</v>
      </c>
      <c r="F11" s="166" t="s">
        <v>99</v>
      </c>
      <c r="G11" s="162"/>
      <c r="H11" s="87"/>
    </row>
    <row r="12" spans="2:8" ht="15.9" customHeight="1" x14ac:dyDescent="0.35">
      <c r="B12" s="86"/>
      <c r="C12" s="106" t="s">
        <v>229</v>
      </c>
      <c r="D12" s="167"/>
      <c r="E12" s="168" t="s">
        <v>232</v>
      </c>
      <c r="F12" s="117"/>
      <c r="G12" s="161"/>
      <c r="H12" s="87"/>
    </row>
    <row r="13" spans="2:8" ht="15.9" customHeight="1" x14ac:dyDescent="0.35">
      <c r="B13" s="86"/>
      <c r="C13" s="106" t="s">
        <v>231</v>
      </c>
      <c r="D13" s="167"/>
      <c r="E13" s="782" t="s">
        <v>233</v>
      </c>
      <c r="F13" s="783"/>
      <c r="G13" s="161"/>
      <c r="H13" s="87"/>
    </row>
    <row r="14" spans="2:8" ht="15.9" customHeight="1" x14ac:dyDescent="0.35">
      <c r="B14" s="86"/>
      <c r="C14" s="171" t="s">
        <v>230</v>
      </c>
      <c r="D14" s="169"/>
      <c r="E14" s="170" t="s">
        <v>1</v>
      </c>
      <c r="F14" s="172" t="s">
        <v>51</v>
      </c>
      <c r="G14" s="162"/>
      <c r="H14" s="87"/>
    </row>
    <row r="15" spans="2:8" ht="15.9" customHeight="1" x14ac:dyDescent="0.35">
      <c r="B15" s="86"/>
      <c r="C15" s="173">
        <f t="shared" ref="C15:C23" si="0">F15/($E$11)</f>
        <v>0.05</v>
      </c>
      <c r="D15" s="169"/>
      <c r="E15" s="499">
        <v>0.01</v>
      </c>
      <c r="F15" s="172">
        <f>E15*10000</f>
        <v>100</v>
      </c>
      <c r="G15" s="163"/>
      <c r="H15" s="87"/>
    </row>
    <row r="16" spans="2:8" ht="15.9" customHeight="1" x14ac:dyDescent="0.35">
      <c r="B16" s="86"/>
      <c r="C16" s="173">
        <f t="shared" si="0"/>
        <v>0.25</v>
      </c>
      <c r="D16" s="169"/>
      <c r="E16" s="499">
        <v>0.05</v>
      </c>
      <c r="F16" s="172">
        <f t="shared" ref="F16:F23" si="1">E16*10000</f>
        <v>500</v>
      </c>
      <c r="G16" s="163"/>
      <c r="H16" s="87"/>
    </row>
    <row r="17" spans="2:8" ht="15.9" customHeight="1" x14ac:dyDescent="0.35">
      <c r="B17" s="86"/>
      <c r="C17" s="173">
        <f t="shared" si="0"/>
        <v>0.5</v>
      </c>
      <c r="D17" s="169"/>
      <c r="E17" s="500">
        <v>0.1</v>
      </c>
      <c r="F17" s="172">
        <f t="shared" si="1"/>
        <v>1000</v>
      </c>
      <c r="G17" s="163"/>
      <c r="H17" s="87"/>
    </row>
    <row r="18" spans="2:8" ht="15.9" customHeight="1" x14ac:dyDescent="0.35">
      <c r="B18" s="86"/>
      <c r="C18" s="173">
        <f t="shared" si="0"/>
        <v>1</v>
      </c>
      <c r="D18" s="169"/>
      <c r="E18" s="500">
        <v>0.2</v>
      </c>
      <c r="F18" s="172">
        <f t="shared" si="1"/>
        <v>2000</v>
      </c>
      <c r="G18" s="163"/>
      <c r="H18" s="87"/>
    </row>
    <row r="19" spans="2:8" ht="15.9" customHeight="1" x14ac:dyDescent="0.35">
      <c r="B19" s="86"/>
      <c r="C19" s="173">
        <f t="shared" si="0"/>
        <v>2.5</v>
      </c>
      <c r="D19" s="169"/>
      <c r="E19" s="500">
        <v>0.5</v>
      </c>
      <c r="F19" s="172">
        <f t="shared" si="1"/>
        <v>5000</v>
      </c>
      <c r="G19" s="163"/>
      <c r="H19" s="87"/>
    </row>
    <row r="20" spans="2:8" ht="15.9" customHeight="1" x14ac:dyDescent="0.35">
      <c r="B20" s="86"/>
      <c r="C20" s="173">
        <f t="shared" si="0"/>
        <v>5</v>
      </c>
      <c r="D20" s="169"/>
      <c r="E20" s="500">
        <v>1</v>
      </c>
      <c r="F20" s="172">
        <f t="shared" si="1"/>
        <v>10000</v>
      </c>
      <c r="G20" s="163"/>
      <c r="H20" s="87"/>
    </row>
    <row r="21" spans="2:8" ht="15.9" customHeight="1" x14ac:dyDescent="0.35">
      <c r="B21" s="86"/>
      <c r="C21" s="173">
        <f t="shared" si="0"/>
        <v>10</v>
      </c>
      <c r="D21" s="169"/>
      <c r="E21" s="501">
        <v>2</v>
      </c>
      <c r="F21" s="172">
        <f>E21*10000</f>
        <v>20000</v>
      </c>
      <c r="G21" s="163"/>
      <c r="H21" s="87"/>
    </row>
    <row r="22" spans="2:8" ht="15.9" customHeight="1" x14ac:dyDescent="0.35">
      <c r="B22" s="86"/>
      <c r="C22" s="173">
        <f t="shared" si="0"/>
        <v>15</v>
      </c>
      <c r="D22" s="169"/>
      <c r="E22" s="501">
        <v>3</v>
      </c>
      <c r="F22" s="172">
        <f>E22*10000</f>
        <v>30000</v>
      </c>
      <c r="G22" s="163"/>
      <c r="H22" s="87"/>
    </row>
    <row r="23" spans="2:8" ht="15.9" customHeight="1" x14ac:dyDescent="0.35">
      <c r="B23" s="86"/>
      <c r="C23" s="174">
        <f t="shared" si="0"/>
        <v>20</v>
      </c>
      <c r="D23" s="175"/>
      <c r="E23" s="501">
        <v>4</v>
      </c>
      <c r="F23" s="176">
        <f t="shared" si="1"/>
        <v>40000</v>
      </c>
      <c r="G23" s="163"/>
      <c r="H23" s="87"/>
    </row>
    <row r="24" spans="2:8" ht="15.9" customHeight="1" x14ac:dyDescent="0.35">
      <c r="B24" s="86"/>
      <c r="C24" s="494"/>
      <c r="D24" s="95"/>
      <c r="E24" s="495"/>
      <c r="F24" s="162"/>
      <c r="G24" s="163"/>
      <c r="H24" s="87"/>
    </row>
    <row r="25" spans="2:8" ht="15.9" customHeight="1" x14ac:dyDescent="0.35">
      <c r="B25" s="86"/>
      <c r="C25" s="498"/>
      <c r="D25" s="496"/>
      <c r="E25" s="108">
        <f>C25*E11/10000</f>
        <v>0</v>
      </c>
      <c r="F25" s="497">
        <f>E25*10000</f>
        <v>0</v>
      </c>
      <c r="G25" s="163"/>
      <c r="H25" s="87"/>
    </row>
    <row r="26" spans="2:8" ht="15.9" customHeight="1" x14ac:dyDescent="0.35">
      <c r="B26" s="86"/>
      <c r="C26" s="107"/>
      <c r="D26" s="131"/>
      <c r="E26" s="131"/>
      <c r="F26" s="130"/>
      <c r="G26" s="163"/>
      <c r="H26" s="87"/>
    </row>
    <row r="27" spans="2:8" ht="15.9" customHeight="1" x14ac:dyDescent="0.35">
      <c r="B27" s="93"/>
      <c r="C27" s="89" t="s">
        <v>285</v>
      </c>
      <c r="D27" s="89"/>
      <c r="E27" s="89"/>
      <c r="F27" s="89"/>
      <c r="G27" s="89"/>
      <c r="H27" s="90"/>
    </row>
    <row r="28" spans="2:8" ht="15.9" customHeight="1" x14ac:dyDescent="0.35">
      <c r="B28" s="93"/>
      <c r="C28" s="114" t="s">
        <v>197</v>
      </c>
      <c r="D28" s="89"/>
      <c r="E28" s="89"/>
      <c r="F28" s="89"/>
      <c r="G28" s="89"/>
      <c r="H28" s="90"/>
    </row>
    <row r="29" spans="2:8" ht="15.9" customHeight="1" x14ac:dyDescent="0.35">
      <c r="B29" s="93"/>
      <c r="C29" s="89"/>
      <c r="D29" s="177" t="s">
        <v>234</v>
      </c>
      <c r="E29" s="177"/>
      <c r="F29" s="177"/>
      <c r="G29" s="112"/>
      <c r="H29" s="90"/>
    </row>
    <row r="30" spans="2:8" ht="15.9" customHeight="1" thickBot="1" x14ac:dyDescent="0.4">
      <c r="B30" s="93"/>
      <c r="C30" s="89"/>
      <c r="D30" s="89" t="s">
        <v>235</v>
      </c>
      <c r="E30" s="89"/>
      <c r="F30" s="89"/>
      <c r="G30" s="89"/>
      <c r="H30" s="90"/>
    </row>
    <row r="31" spans="2:8" ht="15.9" customHeight="1" x14ac:dyDescent="0.35">
      <c r="B31" s="142" t="s">
        <v>190</v>
      </c>
      <c r="C31" s="137"/>
      <c r="D31" s="137"/>
      <c r="E31" s="137"/>
      <c r="F31" s="137"/>
      <c r="G31" s="137"/>
      <c r="H31" s="138"/>
    </row>
    <row r="32" spans="2:8" ht="15.9" customHeight="1" x14ac:dyDescent="0.35">
      <c r="B32" s="143"/>
      <c r="C32" s="144" t="s">
        <v>206</v>
      </c>
      <c r="D32" s="107"/>
      <c r="E32" s="107"/>
      <c r="F32" s="107"/>
      <c r="G32" s="107"/>
      <c r="H32" s="87"/>
    </row>
    <row r="33" spans="2:9" ht="15.9" customHeight="1" x14ac:dyDescent="0.35">
      <c r="B33" s="143"/>
      <c r="C33" s="144" t="s">
        <v>207</v>
      </c>
      <c r="D33" s="107"/>
      <c r="E33" s="107"/>
      <c r="F33" s="107"/>
      <c r="G33" s="107"/>
      <c r="H33" s="87"/>
    </row>
    <row r="34" spans="2:9" ht="15.9" customHeight="1" x14ac:dyDescent="0.35">
      <c r="B34" s="143"/>
      <c r="C34" s="144" t="s">
        <v>208</v>
      </c>
      <c r="D34" s="107"/>
      <c r="E34" s="107"/>
      <c r="F34" s="107"/>
      <c r="G34" s="107"/>
      <c r="H34" s="87"/>
    </row>
    <row r="35" spans="2:9" ht="15.9" customHeight="1" x14ac:dyDescent="0.35">
      <c r="B35" s="143"/>
      <c r="C35" s="144" t="s">
        <v>209</v>
      </c>
      <c r="D35" s="107"/>
      <c r="E35" s="107"/>
      <c r="F35" s="107"/>
      <c r="G35" s="107"/>
      <c r="H35" s="87"/>
    </row>
    <row r="36" spans="2:9" ht="15.9" customHeight="1" x14ac:dyDescent="0.35">
      <c r="B36" s="143"/>
      <c r="C36" s="144" t="s">
        <v>286</v>
      </c>
      <c r="D36" s="107"/>
      <c r="E36" s="107"/>
      <c r="F36" s="107"/>
      <c r="G36" s="107"/>
      <c r="H36" s="87"/>
    </row>
    <row r="37" spans="2:9" ht="15.9" customHeight="1" x14ac:dyDescent="0.35">
      <c r="B37" s="109"/>
      <c r="C37" s="107"/>
      <c r="D37" s="107"/>
      <c r="E37" s="107"/>
      <c r="F37" s="107"/>
      <c r="G37" s="107"/>
      <c r="H37" s="87"/>
    </row>
    <row r="38" spans="2:9" ht="15.9" customHeight="1" x14ac:dyDescent="0.35">
      <c r="B38" s="109"/>
      <c r="C38" s="776" t="s">
        <v>191</v>
      </c>
      <c r="D38" s="777"/>
      <c r="E38" s="777"/>
      <c r="F38" s="777"/>
      <c r="G38" s="778"/>
      <c r="H38" s="87"/>
    </row>
    <row r="39" spans="2:9" ht="15.9" customHeight="1" x14ac:dyDescent="0.35">
      <c r="B39" s="109"/>
      <c r="C39" s="110"/>
      <c r="D39" s="111" t="s">
        <v>20</v>
      </c>
      <c r="E39" s="111" t="s">
        <v>195</v>
      </c>
      <c r="F39" s="779" t="s">
        <v>196</v>
      </c>
      <c r="G39" s="779"/>
      <c r="H39" s="87"/>
    </row>
    <row r="40" spans="2:9" ht="15.9" customHeight="1" x14ac:dyDescent="0.35">
      <c r="B40" s="109"/>
      <c r="C40" s="108" t="s">
        <v>192</v>
      </c>
      <c r="D40" s="139"/>
      <c r="E40" s="139"/>
      <c r="F40" s="787"/>
      <c r="G40" s="788"/>
      <c r="H40" s="87"/>
    </row>
    <row r="41" spans="2:9" ht="15.9" customHeight="1" x14ac:dyDescent="0.35">
      <c r="B41" s="109"/>
      <c r="C41" s="108" t="s">
        <v>193</v>
      </c>
      <c r="D41" s="126"/>
      <c r="E41" s="126"/>
      <c r="F41" s="772"/>
      <c r="G41" s="773"/>
      <c r="H41" s="87"/>
    </row>
    <row r="42" spans="2:9" ht="15.9" customHeight="1" x14ac:dyDescent="0.35">
      <c r="B42" s="109"/>
      <c r="C42" s="108" t="s">
        <v>194</v>
      </c>
      <c r="D42" s="108" t="str">
        <f>IF(D40="","",D40*D41*8.34)</f>
        <v/>
      </c>
      <c r="E42" s="108" t="str">
        <f>IF(E40="","",E40*E41*8.34)</f>
        <v/>
      </c>
      <c r="F42" s="774" t="str">
        <f>IF(F40="","",F40*F41*8.34)</f>
        <v/>
      </c>
      <c r="G42" s="775"/>
      <c r="H42" s="87"/>
    </row>
    <row r="43" spans="2:9" ht="15.9" customHeight="1" thickBot="1" x14ac:dyDescent="0.4">
      <c r="B43" s="99"/>
      <c r="C43" s="91"/>
      <c r="D43" s="91"/>
      <c r="E43" s="91"/>
      <c r="F43" s="91"/>
      <c r="G43" s="91"/>
      <c r="H43" s="92"/>
    </row>
    <row r="44" spans="2:9" ht="15.9" customHeight="1" x14ac:dyDescent="0.35">
      <c r="B44" s="142" t="s">
        <v>213</v>
      </c>
      <c r="C44" s="121"/>
      <c r="D44" s="89"/>
      <c r="E44" s="89"/>
      <c r="F44" s="89"/>
      <c r="G44" s="89"/>
      <c r="H44" s="90"/>
    </row>
    <row r="45" spans="2:9" ht="15.9" customHeight="1" x14ac:dyDescent="0.35">
      <c r="B45" s="93"/>
      <c r="C45" s="505" t="s">
        <v>10</v>
      </c>
      <c r="D45" s="505"/>
      <c r="E45" s="506"/>
      <c r="F45" s="506"/>
      <c r="G45" s="507"/>
      <c r="H45" s="90"/>
    </row>
    <row r="46" spans="2:9" ht="15.9" customHeight="1" x14ac:dyDescent="0.35">
      <c r="B46" s="93"/>
      <c r="C46" s="152" t="s">
        <v>210</v>
      </c>
      <c r="D46" s="154"/>
      <c r="E46" s="94"/>
      <c r="F46" s="94"/>
      <c r="G46" s="153"/>
      <c r="H46" s="125"/>
      <c r="I46" s="113"/>
    </row>
    <row r="47" spans="2:9" ht="15.9" customHeight="1" x14ac:dyDescent="0.35">
      <c r="B47" s="93"/>
      <c r="C47" s="159" t="s">
        <v>199</v>
      </c>
      <c r="D47" s="105" t="s">
        <v>20</v>
      </c>
      <c r="E47" s="150" t="s">
        <v>195</v>
      </c>
      <c r="F47" s="770" t="s">
        <v>196</v>
      </c>
      <c r="G47" s="771"/>
      <c r="H47" s="90"/>
      <c r="I47" s="89"/>
    </row>
    <row r="48" spans="2:9" ht="15.9" customHeight="1" x14ac:dyDescent="0.35">
      <c r="B48" s="93"/>
      <c r="C48" s="158" t="s">
        <v>200</v>
      </c>
      <c r="D48" s="151"/>
      <c r="E48" s="127"/>
      <c r="F48" s="769"/>
      <c r="G48" s="769"/>
      <c r="H48" s="90"/>
      <c r="I48" s="89"/>
    </row>
    <row r="49" spans="2:9" ht="15.9" customHeight="1" x14ac:dyDescent="0.35">
      <c r="B49" s="93"/>
      <c r="C49" s="145"/>
      <c r="D49" s="145"/>
      <c r="E49" s="112"/>
      <c r="F49" s="112"/>
      <c r="G49" s="122"/>
      <c r="H49" s="90"/>
      <c r="I49" s="89"/>
    </row>
    <row r="50" spans="2:9" ht="15.9" customHeight="1" x14ac:dyDescent="0.35">
      <c r="B50" s="93"/>
      <c r="C50" s="146" t="s">
        <v>211</v>
      </c>
      <c r="D50" s="155"/>
      <c r="E50" s="95"/>
      <c r="F50" s="95"/>
      <c r="G50" s="117"/>
      <c r="H50" s="125"/>
      <c r="I50" s="113"/>
    </row>
    <row r="51" spans="2:9" ht="15.9" customHeight="1" x14ac:dyDescent="0.35">
      <c r="B51" s="93"/>
      <c r="C51" s="118" t="s">
        <v>96</v>
      </c>
      <c r="D51" s="154"/>
      <c r="E51" s="94"/>
      <c r="F51" s="147"/>
      <c r="G51" s="98"/>
      <c r="H51" s="90"/>
      <c r="I51" s="89"/>
    </row>
    <row r="52" spans="2:9" ht="15.9" customHeight="1" x14ac:dyDescent="0.35">
      <c r="B52" s="93"/>
      <c r="C52" s="119" t="s">
        <v>98</v>
      </c>
      <c r="D52" s="96" t="s">
        <v>20</v>
      </c>
      <c r="E52" s="96" t="s">
        <v>195</v>
      </c>
      <c r="F52" s="767" t="s">
        <v>196</v>
      </c>
      <c r="G52" s="768"/>
      <c r="H52" s="90"/>
      <c r="I52" s="89"/>
    </row>
    <row r="53" spans="2:9" ht="15.9" customHeight="1" x14ac:dyDescent="0.35">
      <c r="B53" s="93"/>
      <c r="C53" s="120" t="s">
        <v>70</v>
      </c>
      <c r="D53" s="77"/>
      <c r="E53" s="77"/>
      <c r="F53" s="765"/>
      <c r="G53" s="766"/>
      <c r="H53" s="90"/>
      <c r="I53" s="89"/>
    </row>
    <row r="54" spans="2:9" ht="15.9" customHeight="1" x14ac:dyDescent="0.35">
      <c r="B54" s="93"/>
      <c r="C54" s="158" t="s">
        <v>375</v>
      </c>
      <c r="D54" s="502"/>
      <c r="E54" s="77"/>
      <c r="F54" s="765"/>
      <c r="G54" s="789"/>
      <c r="H54" s="90"/>
      <c r="I54" s="89"/>
    </row>
    <row r="55" spans="2:9" ht="15.9" customHeight="1" x14ac:dyDescent="0.35">
      <c r="B55" s="93"/>
      <c r="C55" s="158" t="s">
        <v>212</v>
      </c>
      <c r="D55" s="156">
        <f>IF(D54=0,,D48*10000*D53/1000000/(D54/100))</f>
        <v>0</v>
      </c>
      <c r="E55" s="156">
        <f>IF(E54=0,,E48*10000*E53/1000000/(E54/100))</f>
        <v>0</v>
      </c>
      <c r="F55" s="784">
        <f>IF(F54=0,,F48*10000*F53/1000000/(F54/100))</f>
        <v>0</v>
      </c>
      <c r="G55" s="785">
        <f>IF(G54=0,,G48*10000*G53/1000000/(G54/100))</f>
        <v>0</v>
      </c>
      <c r="H55" s="90"/>
      <c r="I55" s="89"/>
    </row>
    <row r="56" spans="2:9" ht="15.9" customHeight="1" x14ac:dyDescent="0.35">
      <c r="B56" s="93"/>
      <c r="C56" s="116"/>
      <c r="D56" s="157"/>
      <c r="E56" s="128"/>
      <c r="F56" s="89"/>
      <c r="G56" s="115"/>
      <c r="H56" s="90"/>
      <c r="I56" s="89"/>
    </row>
    <row r="57" spans="2:9" ht="15.9" customHeight="1" x14ac:dyDescent="0.35">
      <c r="B57" s="93"/>
      <c r="C57" s="148" t="s">
        <v>97</v>
      </c>
      <c r="D57" s="154"/>
      <c r="E57" s="94"/>
      <c r="F57" s="149"/>
      <c r="G57" s="98"/>
      <c r="H57" s="90"/>
      <c r="I57" s="89"/>
    </row>
    <row r="58" spans="2:9" ht="15.9" customHeight="1" x14ac:dyDescent="0.35">
      <c r="B58" s="93"/>
      <c r="C58" s="97" t="s">
        <v>98</v>
      </c>
      <c r="D58" s="96" t="s">
        <v>20</v>
      </c>
      <c r="E58" s="96" t="s">
        <v>195</v>
      </c>
      <c r="F58" s="767" t="s">
        <v>196</v>
      </c>
      <c r="G58" s="786"/>
      <c r="H58" s="90"/>
      <c r="I58" s="89"/>
    </row>
    <row r="59" spans="2:9" ht="15.9" customHeight="1" x14ac:dyDescent="0.35">
      <c r="B59" s="93"/>
      <c r="C59" s="123" t="s">
        <v>70</v>
      </c>
      <c r="D59" s="77"/>
      <c r="E59" s="77"/>
      <c r="F59" s="765"/>
      <c r="G59" s="766"/>
      <c r="H59" s="90"/>
    </row>
    <row r="60" spans="2:9" ht="15.9" customHeight="1" x14ac:dyDescent="0.35">
      <c r="B60" s="93"/>
      <c r="C60" s="124" t="s">
        <v>201</v>
      </c>
      <c r="D60" s="126"/>
      <c r="E60" s="126"/>
      <c r="F60" s="765"/>
      <c r="G60" s="766"/>
      <c r="H60" s="90"/>
    </row>
    <row r="61" spans="2:9" ht="15.9" customHeight="1" x14ac:dyDescent="0.35">
      <c r="B61" s="93"/>
      <c r="C61" s="124" t="s">
        <v>202</v>
      </c>
      <c r="D61" s="129">
        <f>IF(D60=0,0,$D$48*1000*8.34/100/D60*D59/1000)</f>
        <v>0</v>
      </c>
      <c r="E61" s="129">
        <f>IF(E60=0,0,$E$48*1000*8.34/100/E60*E59/1000)</f>
        <v>0</v>
      </c>
      <c r="F61" s="780">
        <f>IF(F60=0,0,F48*1000*8.34/100/F60*F59/1000)</f>
        <v>0</v>
      </c>
      <c r="G61" s="781">
        <f>IF(G60=0,0,$E$48*1000*8.34/100/G60*G59/1000)</f>
        <v>0</v>
      </c>
      <c r="H61" s="90"/>
      <c r="I61" s="89"/>
    </row>
    <row r="62" spans="2:9" ht="15.9" customHeight="1" x14ac:dyDescent="0.35">
      <c r="B62" s="93"/>
      <c r="C62" s="89" t="s">
        <v>203</v>
      </c>
      <c r="D62" s="89"/>
      <c r="E62" s="89"/>
      <c r="F62" s="89"/>
      <c r="G62" s="89"/>
      <c r="H62" s="90"/>
    </row>
    <row r="63" spans="2:9" ht="15.9" customHeight="1" x14ac:dyDescent="0.35">
      <c r="B63" s="93"/>
      <c r="C63" s="114" t="s">
        <v>198</v>
      </c>
      <c r="D63" s="88" t="s">
        <v>150</v>
      </c>
      <c r="E63" s="112"/>
      <c r="F63" s="89"/>
      <c r="G63" s="89"/>
      <c r="H63" s="90"/>
    </row>
    <row r="64" spans="2:9" ht="15.9" customHeight="1" x14ac:dyDescent="0.35">
      <c r="B64" s="93"/>
      <c r="C64" s="89"/>
      <c r="D64" s="89" t="s">
        <v>151</v>
      </c>
      <c r="E64" s="89"/>
      <c r="F64" s="89"/>
      <c r="G64" s="89"/>
      <c r="H64" s="90"/>
    </row>
    <row r="65" spans="2:8" ht="15.9" customHeight="1" thickBot="1" x14ac:dyDescent="0.4">
      <c r="B65" s="99"/>
      <c r="C65" s="91"/>
      <c r="D65" s="91"/>
      <c r="E65" s="91"/>
      <c r="F65" s="91"/>
      <c r="G65" s="91"/>
      <c r="H65" s="92"/>
    </row>
  </sheetData>
  <mergeCells count="17">
    <mergeCell ref="F60:G60"/>
    <mergeCell ref="F61:G61"/>
    <mergeCell ref="E13:F13"/>
    <mergeCell ref="F55:G55"/>
    <mergeCell ref="F58:G58"/>
    <mergeCell ref="F40:G40"/>
    <mergeCell ref="F54:G54"/>
    <mergeCell ref="B2:H2"/>
    <mergeCell ref="F59:G59"/>
    <mergeCell ref="F52:G52"/>
    <mergeCell ref="F53:G53"/>
    <mergeCell ref="F48:G48"/>
    <mergeCell ref="F47:G47"/>
    <mergeCell ref="F41:G41"/>
    <mergeCell ref="F42:G42"/>
    <mergeCell ref="C38:G38"/>
    <mergeCell ref="F39:G39"/>
  </mergeCells>
  <phoneticPr fontId="0" type="noConversion"/>
  <printOptions gridLinesSet="0"/>
  <pageMargins left="1" right="0.5" top="0.75" bottom="0.75" header="0.5" footer="0.5"/>
  <pageSetup scale="63" orientation="portrait" blackAndWhite="1" horizontalDpi="300" verticalDpi="300" r:id="rId1"/>
  <headerFooter alignWithMargins="0">
    <oddFooter>&amp;L&amp;D&amp;C&amp;F&amp;RPage 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26" r:id="rId4" name="Button 130">
              <controlPr defaultSize="0" print="0" autoFill="0" autoPict="0" macro="[0]!GotoDataEntryScreen">
                <anchor moveWithCells="1" sizeWithCells="1">
                  <from>
                    <xdr:col>7</xdr:col>
                    <xdr:colOff>678180</xdr:colOff>
                    <xdr:row>58</xdr:row>
                    <xdr:rowOff>160020</xdr:rowOff>
                  </from>
                  <to>
                    <xdr:col>7</xdr:col>
                    <xdr:colOff>2324100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5" name="Button 131">
              <controlPr defaultSize="0" print="0" autoFill="0" autoPict="0" macro="[0]!GotoDataEntryScreen">
                <anchor moveWithCells="1" sizeWithCells="1">
                  <from>
                    <xdr:col>6</xdr:col>
                    <xdr:colOff>182880</xdr:colOff>
                    <xdr:row>20</xdr:row>
                    <xdr:rowOff>76200</xdr:rowOff>
                  </from>
                  <to>
                    <xdr:col>7</xdr:col>
                    <xdr:colOff>944880</xdr:colOff>
                    <xdr:row>22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S13"/>
  <sheetViews>
    <sheetView showGridLines="0" topLeftCell="AN1" workbookViewId="0">
      <selection activeCell="A5" sqref="A5:CS5"/>
    </sheetView>
  </sheetViews>
  <sheetFormatPr defaultColWidth="8.8984375" defaultRowHeight="13.2" x14ac:dyDescent="0.25"/>
  <cols>
    <col min="1" max="16384" width="8.8984375" style="29"/>
  </cols>
  <sheetData>
    <row r="1" spans="1:97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 t="s">
        <v>295</v>
      </c>
      <c r="O1" s="28" t="s">
        <v>292</v>
      </c>
      <c r="P1" s="28" t="s">
        <v>241</v>
      </c>
      <c r="Q1" s="28" t="s">
        <v>292</v>
      </c>
      <c r="R1" s="28" t="s">
        <v>241</v>
      </c>
      <c r="S1" s="28"/>
      <c r="T1" s="28"/>
      <c r="U1" s="28"/>
      <c r="V1" s="28" t="s">
        <v>253</v>
      </c>
      <c r="W1" s="28" t="s">
        <v>253</v>
      </c>
      <c r="X1" s="28" t="s">
        <v>253</v>
      </c>
      <c r="Y1" s="28" t="s">
        <v>253</v>
      </c>
      <c r="Z1" s="28" t="s">
        <v>100</v>
      </c>
      <c r="AA1" s="28" t="s">
        <v>100</v>
      </c>
      <c r="AB1" s="28" t="s">
        <v>100</v>
      </c>
      <c r="AC1" s="28" t="s">
        <v>100</v>
      </c>
      <c r="AD1" s="28" t="s">
        <v>100</v>
      </c>
      <c r="AE1" s="28" t="s">
        <v>100</v>
      </c>
      <c r="AF1" s="28"/>
      <c r="AG1" s="450" t="s">
        <v>313</v>
      </c>
      <c r="AH1" s="451"/>
      <c r="AI1" s="452"/>
      <c r="AJ1" s="28" t="s">
        <v>315</v>
      </c>
      <c r="AK1" s="28" t="s">
        <v>104</v>
      </c>
      <c r="AL1" s="28" t="s">
        <v>104</v>
      </c>
      <c r="AM1" s="28" t="s">
        <v>104</v>
      </c>
      <c r="AN1" s="28" t="s">
        <v>104</v>
      </c>
      <c r="AO1" s="28" t="s">
        <v>104</v>
      </c>
      <c r="AP1" s="28" t="s">
        <v>104</v>
      </c>
      <c r="AQ1" s="28" t="s">
        <v>104</v>
      </c>
      <c r="AR1" s="28" t="s">
        <v>104</v>
      </c>
      <c r="AS1" s="28" t="s">
        <v>104</v>
      </c>
      <c r="AT1" s="28" t="s">
        <v>104</v>
      </c>
      <c r="AU1" s="28" t="s">
        <v>112</v>
      </c>
      <c r="AV1" s="28" t="s">
        <v>112</v>
      </c>
      <c r="AW1" s="28" t="s">
        <v>112</v>
      </c>
      <c r="AX1" s="28" t="s">
        <v>112</v>
      </c>
      <c r="AY1" s="28" t="s">
        <v>112</v>
      </c>
      <c r="AZ1" s="28" t="s">
        <v>112</v>
      </c>
      <c r="BA1" s="28" t="s">
        <v>112</v>
      </c>
      <c r="BB1" s="28" t="s">
        <v>112</v>
      </c>
      <c r="BC1" s="28" t="s">
        <v>112</v>
      </c>
      <c r="BD1" s="28" t="s">
        <v>112</v>
      </c>
      <c r="BE1" s="28" t="s">
        <v>113</v>
      </c>
      <c r="BF1" s="28" t="s">
        <v>113</v>
      </c>
      <c r="BG1" s="28" t="s">
        <v>113</v>
      </c>
      <c r="BH1" s="28" t="s">
        <v>113</v>
      </c>
      <c r="BI1" s="28" t="s">
        <v>113</v>
      </c>
      <c r="BJ1" s="28" t="s">
        <v>113</v>
      </c>
      <c r="BK1" s="28" t="s">
        <v>113</v>
      </c>
      <c r="BL1" s="28" t="s">
        <v>113</v>
      </c>
      <c r="BM1" s="28" t="s">
        <v>113</v>
      </c>
      <c r="BN1" s="28" t="s">
        <v>113</v>
      </c>
      <c r="BO1" s="28" t="s">
        <v>114</v>
      </c>
      <c r="BP1" s="28" t="s">
        <v>114</v>
      </c>
      <c r="BQ1" s="28" t="s">
        <v>114</v>
      </c>
      <c r="BR1" s="28" t="s">
        <v>114</v>
      </c>
      <c r="BS1" s="28" t="s">
        <v>114</v>
      </c>
      <c r="BT1" s="28" t="s">
        <v>114</v>
      </c>
      <c r="BU1" s="28" t="s">
        <v>114</v>
      </c>
      <c r="BV1" s="28" t="s">
        <v>114</v>
      </c>
      <c r="BW1" s="28" t="s">
        <v>114</v>
      </c>
      <c r="BX1" s="28" t="s">
        <v>114</v>
      </c>
      <c r="BY1" s="28" t="s">
        <v>115</v>
      </c>
      <c r="BZ1" s="28" t="s">
        <v>115</v>
      </c>
      <c r="CA1" s="28" t="s">
        <v>115</v>
      </c>
      <c r="CB1" s="28" t="s">
        <v>115</v>
      </c>
      <c r="CC1" s="28" t="s">
        <v>115</v>
      </c>
      <c r="CD1" s="28" t="s">
        <v>115</v>
      </c>
      <c r="CE1" s="28" t="s">
        <v>115</v>
      </c>
      <c r="CF1" s="28" t="s">
        <v>115</v>
      </c>
      <c r="CG1" s="28" t="s">
        <v>115</v>
      </c>
      <c r="CH1" s="28" t="s">
        <v>115</v>
      </c>
      <c r="CI1" s="28" t="s">
        <v>116</v>
      </c>
      <c r="CJ1" s="28" t="s">
        <v>116</v>
      </c>
      <c r="CK1" s="28" t="s">
        <v>116</v>
      </c>
      <c r="CL1" s="28" t="s">
        <v>116</v>
      </c>
      <c r="CM1" s="28" t="s">
        <v>116</v>
      </c>
      <c r="CN1" s="28" t="s">
        <v>116</v>
      </c>
      <c r="CO1" s="28" t="s">
        <v>116</v>
      </c>
      <c r="CP1" s="28" t="s">
        <v>116</v>
      </c>
      <c r="CQ1" s="28" t="s">
        <v>116</v>
      </c>
      <c r="CR1" s="28" t="s">
        <v>116</v>
      </c>
      <c r="CS1" s="28"/>
    </row>
    <row r="2" spans="1:97" x14ac:dyDescent="0.25">
      <c r="A2" s="30" t="s">
        <v>75</v>
      </c>
      <c r="B2" s="30"/>
      <c r="C2" s="30" t="s">
        <v>291</v>
      </c>
      <c r="D2" s="30" t="s">
        <v>85</v>
      </c>
      <c r="E2" s="30" t="s">
        <v>76</v>
      </c>
      <c r="F2" s="30" t="s">
        <v>76</v>
      </c>
      <c r="G2" s="30" t="s">
        <v>83</v>
      </c>
      <c r="H2" s="30" t="s">
        <v>85</v>
      </c>
      <c r="I2" s="30" t="s">
        <v>85</v>
      </c>
      <c r="J2" s="30" t="s">
        <v>83</v>
      </c>
      <c r="K2" s="30" t="s">
        <v>83</v>
      </c>
      <c r="L2" s="30" t="s">
        <v>83</v>
      </c>
      <c r="M2" s="30" t="s">
        <v>20</v>
      </c>
      <c r="N2" s="30" t="s">
        <v>105</v>
      </c>
      <c r="O2" s="30" t="s">
        <v>293</v>
      </c>
      <c r="P2" s="30" t="s">
        <v>292</v>
      </c>
      <c r="Q2" s="30" t="s">
        <v>294</v>
      </c>
      <c r="R2" s="30" t="s">
        <v>292</v>
      </c>
      <c r="S2" s="30" t="s">
        <v>108</v>
      </c>
      <c r="T2" s="30" t="s">
        <v>297</v>
      </c>
      <c r="U2" s="30" t="s">
        <v>298</v>
      </c>
      <c r="V2" s="30" t="s">
        <v>101</v>
      </c>
      <c r="W2" s="30" t="s">
        <v>101</v>
      </c>
      <c r="X2" s="30" t="s">
        <v>101</v>
      </c>
      <c r="Y2" s="30" t="s">
        <v>101</v>
      </c>
      <c r="Z2" s="30" t="s">
        <v>300</v>
      </c>
      <c r="AA2" s="30" t="s">
        <v>300</v>
      </c>
      <c r="AB2" s="30" t="s">
        <v>301</v>
      </c>
      <c r="AC2" s="30" t="s">
        <v>301</v>
      </c>
      <c r="AD2" s="30" t="s">
        <v>302</v>
      </c>
      <c r="AE2" s="30" t="s">
        <v>302</v>
      </c>
      <c r="AF2" s="30" t="s">
        <v>102</v>
      </c>
      <c r="AG2" s="30" t="s">
        <v>20</v>
      </c>
      <c r="AH2" s="30" t="s">
        <v>292</v>
      </c>
      <c r="AI2" s="30" t="s">
        <v>292</v>
      </c>
      <c r="AJ2" s="30" t="s">
        <v>316</v>
      </c>
      <c r="AK2" s="30" t="s">
        <v>20</v>
      </c>
      <c r="AL2" s="30" t="s">
        <v>303</v>
      </c>
      <c r="AM2" s="30" t="s">
        <v>304</v>
      </c>
      <c r="AN2" s="30" t="s">
        <v>305</v>
      </c>
      <c r="AO2" s="30" t="s">
        <v>100</v>
      </c>
      <c r="AP2" s="30" t="s">
        <v>108</v>
      </c>
      <c r="AQ2" s="30" t="s">
        <v>108</v>
      </c>
      <c r="AR2" s="30" t="s">
        <v>110</v>
      </c>
      <c r="AS2" s="30" t="s">
        <v>108</v>
      </c>
      <c r="AT2" s="30" t="s">
        <v>108</v>
      </c>
      <c r="AU2" s="30" t="s">
        <v>20</v>
      </c>
      <c r="AV2" s="30" t="s">
        <v>303</v>
      </c>
      <c r="AW2" s="30" t="s">
        <v>304</v>
      </c>
      <c r="AX2" s="30" t="s">
        <v>305</v>
      </c>
      <c r="AY2" s="30" t="s">
        <v>100</v>
      </c>
      <c r="AZ2" s="30" t="s">
        <v>108</v>
      </c>
      <c r="BA2" s="30" t="s">
        <v>108</v>
      </c>
      <c r="BB2" s="30" t="s">
        <v>110</v>
      </c>
      <c r="BC2" s="30" t="s">
        <v>108</v>
      </c>
      <c r="BD2" s="30" t="s">
        <v>108</v>
      </c>
      <c r="BE2" s="30" t="s">
        <v>20</v>
      </c>
      <c r="BF2" s="30" t="s">
        <v>303</v>
      </c>
      <c r="BG2" s="30" t="s">
        <v>304</v>
      </c>
      <c r="BH2" s="30" t="s">
        <v>305</v>
      </c>
      <c r="BI2" s="30" t="s">
        <v>100</v>
      </c>
      <c r="BJ2" s="30" t="s">
        <v>108</v>
      </c>
      <c r="BK2" s="30" t="s">
        <v>108</v>
      </c>
      <c r="BL2" s="30" t="s">
        <v>110</v>
      </c>
      <c r="BM2" s="30" t="s">
        <v>108</v>
      </c>
      <c r="BN2" s="30" t="s">
        <v>108</v>
      </c>
      <c r="BO2" s="30" t="s">
        <v>20</v>
      </c>
      <c r="BP2" s="30" t="s">
        <v>303</v>
      </c>
      <c r="BQ2" s="30" t="s">
        <v>304</v>
      </c>
      <c r="BR2" s="30" t="s">
        <v>305</v>
      </c>
      <c r="BS2" s="30" t="s">
        <v>100</v>
      </c>
      <c r="BT2" s="30" t="s">
        <v>108</v>
      </c>
      <c r="BU2" s="30" t="s">
        <v>108</v>
      </c>
      <c r="BV2" s="30" t="s">
        <v>110</v>
      </c>
      <c r="BW2" s="30" t="s">
        <v>108</v>
      </c>
      <c r="BX2" s="30" t="s">
        <v>108</v>
      </c>
      <c r="BY2" s="30" t="s">
        <v>20</v>
      </c>
      <c r="BZ2" s="30" t="s">
        <v>303</v>
      </c>
      <c r="CA2" s="30" t="s">
        <v>304</v>
      </c>
      <c r="CB2" s="30" t="s">
        <v>305</v>
      </c>
      <c r="CC2" s="30" t="s">
        <v>100</v>
      </c>
      <c r="CD2" s="30" t="s">
        <v>108</v>
      </c>
      <c r="CE2" s="30" t="s">
        <v>108</v>
      </c>
      <c r="CF2" s="30" t="s">
        <v>110</v>
      </c>
      <c r="CG2" s="30" t="s">
        <v>108</v>
      </c>
      <c r="CH2" s="30" t="s">
        <v>108</v>
      </c>
      <c r="CI2" s="30" t="s">
        <v>20</v>
      </c>
      <c r="CJ2" s="30" t="s">
        <v>303</v>
      </c>
      <c r="CK2" s="30" t="s">
        <v>304</v>
      </c>
      <c r="CL2" s="30" t="s">
        <v>106</v>
      </c>
      <c r="CM2" s="30" t="s">
        <v>100</v>
      </c>
      <c r="CN2" s="30" t="s">
        <v>108</v>
      </c>
      <c r="CO2" s="30" t="s">
        <v>108</v>
      </c>
      <c r="CP2" s="30" t="s">
        <v>110</v>
      </c>
      <c r="CQ2" s="30" t="s">
        <v>108</v>
      </c>
      <c r="CR2" s="30" t="s">
        <v>108</v>
      </c>
      <c r="CS2" s="30" t="s">
        <v>117</v>
      </c>
    </row>
    <row r="3" spans="1:97" x14ac:dyDescent="0.25">
      <c r="A3" s="30" t="s">
        <v>77</v>
      </c>
      <c r="B3" s="30" t="s">
        <v>36</v>
      </c>
      <c r="C3" s="30" t="s">
        <v>123</v>
      </c>
      <c r="D3" s="30" t="s">
        <v>122</v>
      </c>
      <c r="E3" s="30" t="s">
        <v>78</v>
      </c>
      <c r="F3" s="30" t="s">
        <v>37</v>
      </c>
      <c r="G3" s="30" t="s">
        <v>84</v>
      </c>
      <c r="H3" s="30" t="s">
        <v>86</v>
      </c>
      <c r="I3" s="30" t="s">
        <v>90</v>
      </c>
      <c r="J3" s="30" t="s">
        <v>16</v>
      </c>
      <c r="K3" s="30" t="s">
        <v>92</v>
      </c>
      <c r="L3" s="30" t="s">
        <v>74</v>
      </c>
      <c r="M3" s="30" t="s">
        <v>123</v>
      </c>
      <c r="N3" s="30" t="s">
        <v>20</v>
      </c>
      <c r="O3" s="30" t="s">
        <v>123</v>
      </c>
      <c r="P3" s="30" t="s">
        <v>293</v>
      </c>
      <c r="Q3" s="30" t="s">
        <v>123</v>
      </c>
      <c r="R3" s="30" t="s">
        <v>294</v>
      </c>
      <c r="S3" s="30" t="s">
        <v>84</v>
      </c>
      <c r="T3" s="30" t="s">
        <v>84</v>
      </c>
      <c r="U3" s="30" t="s">
        <v>92</v>
      </c>
      <c r="V3" s="30" t="s">
        <v>374</v>
      </c>
      <c r="W3" s="30" t="s">
        <v>374</v>
      </c>
      <c r="X3" s="30" t="s">
        <v>373</v>
      </c>
      <c r="Y3" s="30" t="s">
        <v>373</v>
      </c>
      <c r="Z3" s="30" t="s">
        <v>101</v>
      </c>
      <c r="AA3" s="30" t="s">
        <v>37</v>
      </c>
      <c r="AB3" s="30" t="s">
        <v>101</v>
      </c>
      <c r="AC3" s="30" t="s">
        <v>37</v>
      </c>
      <c r="AD3" s="30" t="s">
        <v>101</v>
      </c>
      <c r="AE3" s="30" t="s">
        <v>37</v>
      </c>
      <c r="AF3" s="30" t="s">
        <v>37</v>
      </c>
      <c r="AG3" s="30"/>
      <c r="AH3" s="30" t="s">
        <v>293</v>
      </c>
      <c r="AI3" s="30" t="s">
        <v>294</v>
      </c>
      <c r="AJ3" s="30" t="s">
        <v>317</v>
      </c>
      <c r="AK3" s="30" t="s">
        <v>105</v>
      </c>
      <c r="AL3" s="30" t="s">
        <v>105</v>
      </c>
      <c r="AM3" s="30" t="s">
        <v>105</v>
      </c>
      <c r="AN3" s="30" t="s">
        <v>306</v>
      </c>
      <c r="AO3" s="30" t="s">
        <v>95</v>
      </c>
      <c r="AP3" s="30" t="s">
        <v>109</v>
      </c>
      <c r="AQ3" s="30" t="s">
        <v>16</v>
      </c>
      <c r="AR3" s="30" t="s">
        <v>109</v>
      </c>
      <c r="AS3" s="30" t="s">
        <v>92</v>
      </c>
      <c r="AT3" s="30" t="s">
        <v>111</v>
      </c>
      <c r="AU3" s="30" t="s">
        <v>105</v>
      </c>
      <c r="AV3" s="30" t="s">
        <v>105</v>
      </c>
      <c r="AW3" s="30" t="s">
        <v>105</v>
      </c>
      <c r="AX3" s="30" t="s">
        <v>306</v>
      </c>
      <c r="AY3" s="30" t="s">
        <v>95</v>
      </c>
      <c r="AZ3" s="30" t="s">
        <v>109</v>
      </c>
      <c r="BA3" s="30" t="s">
        <v>16</v>
      </c>
      <c r="BB3" s="30" t="s">
        <v>109</v>
      </c>
      <c r="BC3" s="30" t="s">
        <v>92</v>
      </c>
      <c r="BD3" s="30" t="s">
        <v>111</v>
      </c>
      <c r="BE3" s="30" t="s">
        <v>105</v>
      </c>
      <c r="BF3" s="30" t="s">
        <v>105</v>
      </c>
      <c r="BG3" s="30" t="s">
        <v>105</v>
      </c>
      <c r="BH3" s="30" t="s">
        <v>306</v>
      </c>
      <c r="BI3" s="30" t="s">
        <v>95</v>
      </c>
      <c r="BJ3" s="30" t="s">
        <v>109</v>
      </c>
      <c r="BK3" s="30" t="s">
        <v>16</v>
      </c>
      <c r="BL3" s="30" t="s">
        <v>109</v>
      </c>
      <c r="BM3" s="30" t="s">
        <v>92</v>
      </c>
      <c r="BN3" s="30" t="s">
        <v>111</v>
      </c>
      <c r="BO3" s="30" t="s">
        <v>105</v>
      </c>
      <c r="BP3" s="30" t="s">
        <v>105</v>
      </c>
      <c r="BQ3" s="30" t="s">
        <v>105</v>
      </c>
      <c r="BR3" s="30" t="s">
        <v>306</v>
      </c>
      <c r="BS3" s="30" t="s">
        <v>95</v>
      </c>
      <c r="BT3" s="30" t="s">
        <v>109</v>
      </c>
      <c r="BU3" s="30" t="s">
        <v>16</v>
      </c>
      <c r="BV3" s="30" t="s">
        <v>109</v>
      </c>
      <c r="BW3" s="30" t="s">
        <v>92</v>
      </c>
      <c r="BX3" s="30" t="s">
        <v>111</v>
      </c>
      <c r="BY3" s="30" t="s">
        <v>105</v>
      </c>
      <c r="BZ3" s="30" t="s">
        <v>105</v>
      </c>
      <c r="CA3" s="30" t="s">
        <v>105</v>
      </c>
      <c r="CB3" s="30" t="s">
        <v>306</v>
      </c>
      <c r="CC3" s="30" t="s">
        <v>95</v>
      </c>
      <c r="CD3" s="30" t="s">
        <v>109</v>
      </c>
      <c r="CE3" s="30" t="s">
        <v>16</v>
      </c>
      <c r="CF3" s="30" t="s">
        <v>109</v>
      </c>
      <c r="CG3" s="30" t="s">
        <v>92</v>
      </c>
      <c r="CH3" s="30" t="s">
        <v>111</v>
      </c>
      <c r="CI3" s="30" t="s">
        <v>105</v>
      </c>
      <c r="CJ3" s="30" t="s">
        <v>105</v>
      </c>
      <c r="CK3" s="30" t="s">
        <v>105</v>
      </c>
      <c r="CL3" s="30" t="s">
        <v>100</v>
      </c>
      <c r="CM3" s="30" t="s">
        <v>95</v>
      </c>
      <c r="CN3" s="30" t="s">
        <v>109</v>
      </c>
      <c r="CO3" s="30" t="s">
        <v>16</v>
      </c>
      <c r="CP3" s="30" t="s">
        <v>109</v>
      </c>
      <c r="CQ3" s="30" t="s">
        <v>92</v>
      </c>
      <c r="CR3" s="30" t="s">
        <v>111</v>
      </c>
      <c r="CS3" s="30" t="s">
        <v>118</v>
      </c>
    </row>
    <row r="4" spans="1:97" x14ac:dyDescent="0.25">
      <c r="A4" s="31" t="s">
        <v>79</v>
      </c>
      <c r="B4" s="31" t="s">
        <v>80</v>
      </c>
      <c r="C4" s="31"/>
      <c r="D4" s="31"/>
      <c r="E4" s="31" t="s">
        <v>79</v>
      </c>
      <c r="F4" s="31" t="s">
        <v>87</v>
      </c>
      <c r="G4" s="31" t="s">
        <v>88</v>
      </c>
      <c r="H4" s="31" t="s">
        <v>89</v>
      </c>
      <c r="I4" s="31" t="s">
        <v>91</v>
      </c>
      <c r="J4" s="31" t="s">
        <v>93</v>
      </c>
      <c r="K4" s="31" t="s">
        <v>94</v>
      </c>
      <c r="L4" s="31" t="s">
        <v>94</v>
      </c>
      <c r="M4" s="31"/>
      <c r="N4" s="31"/>
      <c r="O4" s="31"/>
      <c r="P4" s="31"/>
      <c r="Q4" s="31"/>
      <c r="R4" s="31"/>
      <c r="S4" s="31"/>
      <c r="T4" s="31"/>
      <c r="U4" s="31"/>
      <c r="V4" s="31" t="s">
        <v>15</v>
      </c>
      <c r="W4" s="31" t="s">
        <v>103</v>
      </c>
      <c r="X4" s="31" t="s">
        <v>15</v>
      </c>
      <c r="Y4" s="31" t="s">
        <v>103</v>
      </c>
      <c r="Z4" s="31" t="s">
        <v>15</v>
      </c>
      <c r="AA4" s="31" t="s">
        <v>103</v>
      </c>
      <c r="AB4" s="31" t="s">
        <v>15</v>
      </c>
      <c r="AC4" s="31" t="s">
        <v>103</v>
      </c>
      <c r="AD4" s="31" t="s">
        <v>15</v>
      </c>
      <c r="AE4" s="31" t="s">
        <v>103</v>
      </c>
      <c r="AF4" s="31" t="s">
        <v>103</v>
      </c>
      <c r="AG4" s="31" t="s">
        <v>314</v>
      </c>
      <c r="AH4" s="31" t="s">
        <v>314</v>
      </c>
      <c r="AI4" s="31" t="s">
        <v>314</v>
      </c>
      <c r="AJ4" s="31" t="s">
        <v>99</v>
      </c>
      <c r="AK4" s="31" t="s">
        <v>94</v>
      </c>
      <c r="AL4" s="31" t="s">
        <v>94</v>
      </c>
      <c r="AM4" s="31" t="s">
        <v>94</v>
      </c>
      <c r="AN4" s="31" t="s">
        <v>103</v>
      </c>
      <c r="AO4" s="31" t="s">
        <v>107</v>
      </c>
      <c r="AP4" s="31" t="s">
        <v>88</v>
      </c>
      <c r="AQ4" s="31" t="s">
        <v>93</v>
      </c>
      <c r="AR4" s="31" t="s">
        <v>88</v>
      </c>
      <c r="AS4" s="31" t="s">
        <v>94</v>
      </c>
      <c r="AT4" s="31" t="s">
        <v>307</v>
      </c>
      <c r="AU4" s="31" t="s">
        <v>94</v>
      </c>
      <c r="AV4" s="31" t="s">
        <v>94</v>
      </c>
      <c r="AW4" s="31" t="s">
        <v>94</v>
      </c>
      <c r="AX4" s="31" t="s">
        <v>103</v>
      </c>
      <c r="AY4" s="31" t="s">
        <v>107</v>
      </c>
      <c r="AZ4" s="31" t="s">
        <v>88</v>
      </c>
      <c r="BA4" s="31" t="s">
        <v>93</v>
      </c>
      <c r="BB4" s="31" t="s">
        <v>88</v>
      </c>
      <c r="BC4" s="31" t="s">
        <v>94</v>
      </c>
      <c r="BD4" s="31" t="s">
        <v>307</v>
      </c>
      <c r="BE4" s="31" t="s">
        <v>94</v>
      </c>
      <c r="BF4" s="31" t="s">
        <v>94</v>
      </c>
      <c r="BG4" s="31" t="s">
        <v>94</v>
      </c>
      <c r="BH4" s="31" t="s">
        <v>103</v>
      </c>
      <c r="BI4" s="31" t="s">
        <v>107</v>
      </c>
      <c r="BJ4" s="31" t="s">
        <v>88</v>
      </c>
      <c r="BK4" s="31" t="s">
        <v>93</v>
      </c>
      <c r="BL4" s="31" t="s">
        <v>88</v>
      </c>
      <c r="BM4" s="31" t="s">
        <v>94</v>
      </c>
      <c r="BN4" s="31" t="s">
        <v>307</v>
      </c>
      <c r="BO4" s="31" t="s">
        <v>94</v>
      </c>
      <c r="BP4" s="31" t="s">
        <v>94</v>
      </c>
      <c r="BQ4" s="31" t="s">
        <v>94</v>
      </c>
      <c r="BR4" s="31" t="s">
        <v>103</v>
      </c>
      <c r="BS4" s="31" t="s">
        <v>107</v>
      </c>
      <c r="BT4" s="31" t="s">
        <v>88</v>
      </c>
      <c r="BU4" s="31" t="s">
        <v>93</v>
      </c>
      <c r="BV4" s="31" t="s">
        <v>88</v>
      </c>
      <c r="BW4" s="31" t="s">
        <v>94</v>
      </c>
      <c r="BX4" s="31" t="s">
        <v>307</v>
      </c>
      <c r="BY4" s="31" t="s">
        <v>94</v>
      </c>
      <c r="BZ4" s="31" t="s">
        <v>94</v>
      </c>
      <c r="CA4" s="31" t="s">
        <v>94</v>
      </c>
      <c r="CB4" s="31" t="s">
        <v>103</v>
      </c>
      <c r="CC4" s="31" t="s">
        <v>107</v>
      </c>
      <c r="CD4" s="31" t="s">
        <v>88</v>
      </c>
      <c r="CE4" s="31" t="s">
        <v>93</v>
      </c>
      <c r="CF4" s="31" t="s">
        <v>88</v>
      </c>
      <c r="CG4" s="31" t="s">
        <v>94</v>
      </c>
      <c r="CH4" s="31" t="s">
        <v>307</v>
      </c>
      <c r="CI4" s="31" t="s">
        <v>94</v>
      </c>
      <c r="CJ4" s="31" t="s">
        <v>94</v>
      </c>
      <c r="CK4" s="31" t="s">
        <v>94</v>
      </c>
      <c r="CL4" s="31" t="s">
        <v>103</v>
      </c>
      <c r="CM4" s="31" t="s">
        <v>107</v>
      </c>
      <c r="CN4" s="31" t="s">
        <v>88</v>
      </c>
      <c r="CO4" s="31" t="s">
        <v>93</v>
      </c>
      <c r="CP4" s="31" t="s">
        <v>88</v>
      </c>
      <c r="CQ4" s="31" t="s">
        <v>94</v>
      </c>
      <c r="CR4" s="31" t="s">
        <v>307</v>
      </c>
      <c r="CS4" s="31"/>
    </row>
    <row r="5" spans="1:97" x14ac:dyDescent="0.2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  <c r="O5" s="31">
        <v>15</v>
      </c>
      <c r="P5" s="31">
        <v>16</v>
      </c>
      <c r="Q5" s="31">
        <v>17</v>
      </c>
      <c r="R5" s="31">
        <v>18</v>
      </c>
      <c r="S5" s="31">
        <v>19</v>
      </c>
      <c r="T5" s="31">
        <v>20</v>
      </c>
      <c r="U5" s="31">
        <v>21</v>
      </c>
      <c r="V5" s="31">
        <v>22</v>
      </c>
      <c r="W5" s="31">
        <v>23</v>
      </c>
      <c r="X5" s="31">
        <v>24</v>
      </c>
      <c r="Y5" s="31">
        <v>25</v>
      </c>
      <c r="Z5" s="31">
        <v>26</v>
      </c>
      <c r="AA5" s="31">
        <v>27</v>
      </c>
      <c r="AB5" s="31">
        <v>28</v>
      </c>
      <c r="AC5" s="31">
        <v>29</v>
      </c>
      <c r="AD5" s="31">
        <v>30</v>
      </c>
      <c r="AE5" s="31">
        <v>31</v>
      </c>
      <c r="AF5" s="31">
        <v>32</v>
      </c>
      <c r="AG5" s="31">
        <v>33</v>
      </c>
      <c r="AH5" s="31">
        <v>34</v>
      </c>
      <c r="AI5" s="31">
        <v>35</v>
      </c>
      <c r="AJ5" s="31">
        <v>36</v>
      </c>
      <c r="AK5" s="31">
        <v>37</v>
      </c>
      <c r="AL5" s="31">
        <v>38</v>
      </c>
      <c r="AM5" s="31">
        <v>39</v>
      </c>
      <c r="AN5" s="31">
        <v>40</v>
      </c>
      <c r="AO5" s="31">
        <v>41</v>
      </c>
      <c r="AP5" s="31">
        <v>42</v>
      </c>
      <c r="AQ5" s="31">
        <v>43</v>
      </c>
      <c r="AR5" s="31">
        <v>44</v>
      </c>
      <c r="AS5" s="31">
        <v>45</v>
      </c>
      <c r="AT5" s="31">
        <v>46</v>
      </c>
      <c r="AU5" s="31">
        <v>47</v>
      </c>
      <c r="AV5" s="31">
        <v>48</v>
      </c>
      <c r="AW5" s="31">
        <v>49</v>
      </c>
      <c r="AX5" s="31">
        <v>50</v>
      </c>
      <c r="AY5" s="31">
        <v>51</v>
      </c>
      <c r="AZ5" s="31">
        <v>52</v>
      </c>
      <c r="BA5" s="31">
        <v>53</v>
      </c>
      <c r="BB5" s="31">
        <v>54</v>
      </c>
      <c r="BC5" s="31">
        <v>55</v>
      </c>
      <c r="BD5" s="31">
        <v>56</v>
      </c>
      <c r="BE5" s="31">
        <v>57</v>
      </c>
      <c r="BF5" s="31">
        <v>58</v>
      </c>
      <c r="BG5" s="31">
        <v>59</v>
      </c>
      <c r="BH5" s="31">
        <v>60</v>
      </c>
      <c r="BI5" s="31">
        <v>61</v>
      </c>
      <c r="BJ5" s="31">
        <v>62</v>
      </c>
      <c r="BK5" s="31">
        <v>63</v>
      </c>
      <c r="BL5" s="31">
        <v>64</v>
      </c>
      <c r="BM5" s="31">
        <v>65</v>
      </c>
      <c r="BN5" s="31">
        <v>66</v>
      </c>
      <c r="BO5" s="31">
        <v>67</v>
      </c>
      <c r="BP5" s="31">
        <v>68</v>
      </c>
      <c r="BQ5" s="31">
        <v>69</v>
      </c>
      <c r="BR5" s="31">
        <v>70</v>
      </c>
      <c r="BS5" s="31">
        <v>71</v>
      </c>
      <c r="BT5" s="31">
        <v>72</v>
      </c>
      <c r="BU5" s="31">
        <v>73</v>
      </c>
      <c r="BV5" s="31">
        <v>74</v>
      </c>
      <c r="BW5" s="31">
        <v>75</v>
      </c>
      <c r="BX5" s="31">
        <v>76</v>
      </c>
      <c r="BY5" s="31">
        <v>77</v>
      </c>
      <c r="BZ5" s="31">
        <v>78</v>
      </c>
      <c r="CA5" s="31">
        <v>79</v>
      </c>
      <c r="CB5" s="31">
        <v>80</v>
      </c>
      <c r="CC5" s="31">
        <v>81</v>
      </c>
      <c r="CD5" s="31">
        <v>82</v>
      </c>
      <c r="CE5" s="31">
        <v>83</v>
      </c>
      <c r="CF5" s="31">
        <v>84</v>
      </c>
      <c r="CG5" s="31">
        <v>85</v>
      </c>
      <c r="CH5" s="31">
        <v>86</v>
      </c>
      <c r="CI5" s="31">
        <v>87</v>
      </c>
      <c r="CJ5" s="31">
        <v>88</v>
      </c>
      <c r="CK5" s="31">
        <v>89</v>
      </c>
      <c r="CL5" s="31">
        <v>90</v>
      </c>
      <c r="CM5" s="31">
        <v>91</v>
      </c>
      <c r="CN5" s="31">
        <v>92</v>
      </c>
      <c r="CO5" s="31">
        <v>93</v>
      </c>
      <c r="CP5" s="31">
        <v>94</v>
      </c>
      <c r="CQ5" s="31">
        <v>95</v>
      </c>
      <c r="CR5" s="31">
        <v>96</v>
      </c>
      <c r="CS5" s="31">
        <v>97</v>
      </c>
    </row>
    <row r="6" spans="1:97" x14ac:dyDescent="0.25">
      <c r="A6" s="32">
        <f>ROUND(B6+E6/100,2)</f>
        <v>0</v>
      </c>
      <c r="B6" s="33">
        <f>DataEntry!C4</f>
        <v>0</v>
      </c>
      <c r="C6" s="36">
        <f>DataEntry!B4</f>
        <v>0</v>
      </c>
      <c r="D6" s="36">
        <f>DataEntry!B6</f>
        <v>0</v>
      </c>
      <c r="E6" s="34">
        <f>DataEntry!$D$4</f>
        <v>0</v>
      </c>
      <c r="F6" s="35">
        <f>DataEntry!E4</f>
        <v>0</v>
      </c>
      <c r="G6" s="34">
        <f>DataEntry!D6</f>
        <v>0</v>
      </c>
      <c r="H6" s="34">
        <f>DataEntry!E6</f>
        <v>0</v>
      </c>
      <c r="I6" s="32">
        <f>DataEntry!C6</f>
        <v>0</v>
      </c>
      <c r="J6" s="36">
        <f>DataEntry!F6</f>
        <v>0</v>
      </c>
      <c r="K6" s="36">
        <f>DataEntry!H6</f>
        <v>0</v>
      </c>
      <c r="L6" s="34">
        <f>DataEntry!G6</f>
        <v>0</v>
      </c>
      <c r="M6" s="36">
        <f>DataEntry!C8</f>
        <v>0</v>
      </c>
      <c r="N6" s="36">
        <f>DataEntry!C9</f>
        <v>0</v>
      </c>
      <c r="O6" s="37">
        <f>DataEntry!D8</f>
        <v>0</v>
      </c>
      <c r="P6" s="37">
        <f>DataEntry!D9</f>
        <v>0</v>
      </c>
      <c r="Q6" s="37">
        <f>DataEntry!E8</f>
        <v>0</v>
      </c>
      <c r="R6" s="268">
        <f>DataEntry!E9</f>
        <v>0</v>
      </c>
      <c r="S6" s="32">
        <f>DataEntry!F8</f>
        <v>0</v>
      </c>
      <c r="T6" s="32">
        <f>DataEntry!G8</f>
        <v>0</v>
      </c>
      <c r="U6" s="36">
        <f>DataEntry!H8</f>
        <v>0</v>
      </c>
      <c r="V6" s="36">
        <f>DataEntry!C13</f>
        <v>0</v>
      </c>
      <c r="W6" s="36">
        <f>DataEntry!C14</f>
        <v>0</v>
      </c>
      <c r="X6" s="36">
        <f>DataEntry!D13</f>
        <v>0</v>
      </c>
      <c r="Y6" s="36">
        <f>DataEntry!D14</f>
        <v>0</v>
      </c>
      <c r="Z6" s="36">
        <f>DataEntry!E13</f>
        <v>0</v>
      </c>
      <c r="AA6" s="34">
        <f>DataEntry!E14</f>
        <v>0</v>
      </c>
      <c r="AB6" s="36">
        <f>DataEntry!F13</f>
        <v>0</v>
      </c>
      <c r="AC6" s="36">
        <f>DataEntry!F14</f>
        <v>0</v>
      </c>
      <c r="AD6" s="36">
        <f>DataEntry!G13</f>
        <v>0</v>
      </c>
      <c r="AE6" s="36">
        <f>DataEntry!G14</f>
        <v>0</v>
      </c>
      <c r="AF6" s="32">
        <f>DataEntry!H14</f>
        <v>0</v>
      </c>
      <c r="AG6" s="32">
        <f>DataEntry!C21</f>
        <v>0</v>
      </c>
      <c r="AH6" s="32">
        <f>DataEntry!D21</f>
        <v>0</v>
      </c>
      <c r="AI6" s="32">
        <f>DataEntry!E21</f>
        <v>0</v>
      </c>
      <c r="AJ6" s="32">
        <f>DataEntry!F21</f>
        <v>0</v>
      </c>
      <c r="AK6" s="32">
        <f>DataEntry!C23</f>
        <v>0</v>
      </c>
      <c r="AL6" s="32">
        <f>DataEntry!C26</f>
        <v>0</v>
      </c>
      <c r="AM6" s="32">
        <f>DataEntry!C29</f>
        <v>0</v>
      </c>
      <c r="AN6" s="32">
        <f>DataEntry!C37</f>
        <v>0</v>
      </c>
      <c r="AO6" s="32">
        <f>DataEntry!C38</f>
        <v>0</v>
      </c>
      <c r="AP6" s="32">
        <f>DataEntry!C39</f>
        <v>0</v>
      </c>
      <c r="AQ6" s="32">
        <f>DataEntry!C40</f>
        <v>0</v>
      </c>
      <c r="AR6" s="38">
        <f>DataEntry!C41</f>
        <v>0</v>
      </c>
      <c r="AS6" s="269">
        <f>DataEntry!C42</f>
        <v>0</v>
      </c>
      <c r="AT6" s="32">
        <f>DataEntry!C43</f>
        <v>0</v>
      </c>
      <c r="AU6" s="32">
        <f>DataEntry!D23</f>
        <v>0</v>
      </c>
      <c r="AV6" s="32">
        <f>DataEntry!D26</f>
        <v>0</v>
      </c>
      <c r="AW6" s="32">
        <f>DataEntry!D29</f>
        <v>0</v>
      </c>
      <c r="AX6" s="32">
        <f>DataEntry!D37</f>
        <v>0</v>
      </c>
      <c r="AY6" s="32">
        <f>DataEntry!D38</f>
        <v>0</v>
      </c>
      <c r="AZ6" s="32">
        <f>DataEntry!D39</f>
        <v>0</v>
      </c>
      <c r="BA6" s="32">
        <f>DataEntry!D40</f>
        <v>0</v>
      </c>
      <c r="BB6" s="38">
        <f>DataEntry!D41</f>
        <v>0</v>
      </c>
      <c r="BC6" s="269">
        <f>DataEntry!D42</f>
        <v>0</v>
      </c>
      <c r="BD6" s="32">
        <f>DataEntry!D43</f>
        <v>0</v>
      </c>
      <c r="BE6" s="32">
        <f>DataEntry!E23</f>
        <v>0</v>
      </c>
      <c r="BF6" s="32">
        <f>DataEntry!E26</f>
        <v>0</v>
      </c>
      <c r="BG6" s="32">
        <f>DataEntry!D29</f>
        <v>0</v>
      </c>
      <c r="BH6" s="32">
        <f>DataEntry!E37</f>
        <v>0</v>
      </c>
      <c r="BI6" s="32">
        <f>DataEntry!E38</f>
        <v>0</v>
      </c>
      <c r="BJ6" s="32">
        <f>DataEntry!E39</f>
        <v>0</v>
      </c>
      <c r="BK6" s="32">
        <f>DataEntry!E40</f>
        <v>0</v>
      </c>
      <c r="BL6" s="38">
        <f>DataEntry!E41</f>
        <v>0</v>
      </c>
      <c r="BM6" s="269">
        <f>DataEntry!E42</f>
        <v>0</v>
      </c>
      <c r="BN6" s="32">
        <f>DataEntry!E43</f>
        <v>0</v>
      </c>
      <c r="BO6" s="32">
        <f>DataEntry!F23</f>
        <v>0</v>
      </c>
      <c r="BP6" s="32">
        <f>DataEntry!F26</f>
        <v>0</v>
      </c>
      <c r="BQ6" s="32">
        <f>DataEntry!F29</f>
        <v>0</v>
      </c>
      <c r="BR6" s="32">
        <f>DataEntry!F37</f>
        <v>0</v>
      </c>
      <c r="BS6" s="32">
        <f>DataEntry!F38</f>
        <v>0</v>
      </c>
      <c r="BT6" s="32">
        <f>DataEntry!F39</f>
        <v>0</v>
      </c>
      <c r="BU6" s="32">
        <f>DataEntry!F40</f>
        <v>0</v>
      </c>
      <c r="BV6" s="38">
        <f>DataEntry!F41</f>
        <v>0</v>
      </c>
      <c r="BW6" s="269">
        <f>DataEntry!F42</f>
        <v>0</v>
      </c>
      <c r="BX6" s="32">
        <f>DataEntry!F43</f>
        <v>0</v>
      </c>
      <c r="BY6" s="32">
        <f>DataEntry!G23</f>
        <v>0</v>
      </c>
      <c r="BZ6" s="32">
        <f>DataEntry!G26</f>
        <v>0</v>
      </c>
      <c r="CA6" s="32">
        <f>DataEntry!G29</f>
        <v>0</v>
      </c>
      <c r="CB6" s="32">
        <f>DataEntry!G37</f>
        <v>0</v>
      </c>
      <c r="CC6" s="32">
        <f>DataEntry!G38</f>
        <v>0</v>
      </c>
      <c r="CD6" s="32">
        <f>DataEntry!G39</f>
        <v>0</v>
      </c>
      <c r="CE6" s="32">
        <f>DataEntry!G40</f>
        <v>0</v>
      </c>
      <c r="CF6" s="38">
        <f>DataEntry!G41</f>
        <v>0</v>
      </c>
      <c r="CG6" s="269">
        <f>DataEntry!G42</f>
        <v>0</v>
      </c>
      <c r="CH6" s="32">
        <f>DataEntry!G43</f>
        <v>0</v>
      </c>
      <c r="CI6" s="32">
        <f>DataEntry!H23</f>
        <v>0</v>
      </c>
      <c r="CJ6" s="32">
        <f>DataEntry!H26</f>
        <v>0</v>
      </c>
      <c r="CK6" s="32">
        <f>DataEntry!H29</f>
        <v>0</v>
      </c>
      <c r="CL6" s="32">
        <f>DataEntry!H37</f>
        <v>0</v>
      </c>
      <c r="CM6" s="32">
        <f>DataEntry!H38</f>
        <v>0</v>
      </c>
      <c r="CN6" s="32">
        <f>DataEntry!H39</f>
        <v>0</v>
      </c>
      <c r="CO6" s="32">
        <f>DataEntry!H40</f>
        <v>0</v>
      </c>
      <c r="CP6" s="38">
        <f>DataEntry!H41</f>
        <v>0</v>
      </c>
      <c r="CQ6" s="269">
        <f>DataEntry!H42</f>
        <v>0</v>
      </c>
      <c r="CR6" s="32">
        <f>DataEntry!H43</f>
        <v>0</v>
      </c>
      <c r="CS6" s="270"/>
    </row>
    <row r="8" spans="1:97" ht="15.6" x14ac:dyDescent="0.35"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97" ht="15.6" x14ac:dyDescent="0.35"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97" ht="15.6" x14ac:dyDescent="0.35">
      <c r="N10"/>
      <c r="O10"/>
      <c r="P10"/>
      <c r="Q10"/>
      <c r="R10"/>
      <c r="S10"/>
      <c r="T10"/>
      <c r="AF10"/>
      <c r="AG10"/>
      <c r="AH10"/>
      <c r="AI10"/>
      <c r="AJ10"/>
    </row>
    <row r="11" spans="1:97" ht="15.6" x14ac:dyDescent="0.35">
      <c r="N11"/>
      <c r="O11"/>
      <c r="P11"/>
      <c r="Q11"/>
      <c r="R11"/>
      <c r="S11"/>
      <c r="T11"/>
    </row>
    <row r="12" spans="1:97" ht="15.6" x14ac:dyDescent="0.35">
      <c r="N12"/>
      <c r="O12"/>
      <c r="P12"/>
      <c r="Q12"/>
      <c r="R12"/>
      <c r="S12"/>
      <c r="T12"/>
    </row>
    <row r="13" spans="1:97" ht="15.6" x14ac:dyDescent="0.35">
      <c r="N13"/>
      <c r="O13"/>
      <c r="P13"/>
      <c r="Q13"/>
      <c r="R13"/>
      <c r="S13"/>
      <c r="T13"/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6"/>
  <sheetViews>
    <sheetView topLeftCell="B1" zoomScale="75" workbookViewId="0">
      <selection activeCell="Q18" sqref="Q18"/>
    </sheetView>
  </sheetViews>
  <sheetFormatPr defaultRowHeight="15.6" x14ac:dyDescent="0.35"/>
  <cols>
    <col min="1" max="1" width="13.8984375" customWidth="1"/>
    <col min="2" max="2" width="11.5" customWidth="1"/>
    <col min="3" max="3" width="11.3984375" bestFit="1" customWidth="1"/>
    <col min="4" max="6" width="9" bestFit="1" customWidth="1"/>
    <col min="7" max="7" width="10.5" bestFit="1" customWidth="1"/>
    <col min="8" max="8" width="10.59765625" customWidth="1"/>
    <col min="9" max="9" width="9" bestFit="1" customWidth="1"/>
    <col min="14" max="14" width="13.59765625" customWidth="1"/>
  </cols>
  <sheetData>
    <row r="1" spans="1:18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8" x14ac:dyDescent="0.35">
      <c r="A2" s="20"/>
      <c r="B2" s="20" t="s">
        <v>24</v>
      </c>
      <c r="C2" s="20"/>
      <c r="D2" s="20"/>
      <c r="E2" s="20"/>
      <c r="F2" s="20"/>
      <c r="G2" s="20"/>
      <c r="H2" s="20"/>
      <c r="I2" s="20"/>
      <c r="J2" s="20"/>
      <c r="K2" s="20"/>
    </row>
    <row r="3" spans="1:18" x14ac:dyDescent="0.35">
      <c r="A3" s="20"/>
      <c r="B3" s="20"/>
      <c r="C3" s="20"/>
      <c r="D3" s="20" t="s">
        <v>508</v>
      </c>
      <c r="E3" s="20"/>
      <c r="F3" s="20"/>
      <c r="G3" s="20"/>
      <c r="H3" s="20">
        <f>25.4*76</f>
        <v>1930.3999999999999</v>
      </c>
      <c r="I3" s="20"/>
      <c r="J3" s="20"/>
      <c r="K3" s="20"/>
      <c r="O3" t="s">
        <v>507</v>
      </c>
      <c r="R3">
        <f>40*60</f>
        <v>2400</v>
      </c>
    </row>
    <row r="4" spans="1:18" x14ac:dyDescent="0.35">
      <c r="A4" s="20"/>
      <c r="B4" s="20" t="s">
        <v>505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 t="s">
        <v>525</v>
      </c>
      <c r="N4" s="20"/>
      <c r="O4" s="20"/>
    </row>
    <row r="5" spans="1:18" x14ac:dyDescent="0.35">
      <c r="A5" s="20" t="s">
        <v>64</v>
      </c>
      <c r="B5" s="20" t="s">
        <v>25</v>
      </c>
      <c r="C5" s="21">
        <f>7.5/2.54/12</f>
        <v>0.24606299212598426</v>
      </c>
      <c r="D5" s="20" t="s">
        <v>26</v>
      </c>
      <c r="E5" s="20"/>
      <c r="F5" s="20"/>
      <c r="G5" s="20"/>
      <c r="H5" s="20"/>
      <c r="I5" s="20"/>
      <c r="J5" s="20"/>
      <c r="K5" s="20"/>
      <c r="L5" s="20" t="s">
        <v>64</v>
      </c>
      <c r="M5" s="20" t="s">
        <v>25</v>
      </c>
      <c r="N5" s="21">
        <f>7.7/2.54/12</f>
        <v>0.25262467191601051</v>
      </c>
      <c r="O5" s="20" t="s">
        <v>26</v>
      </c>
      <c r="P5" s="20" t="s">
        <v>506</v>
      </c>
    </row>
    <row r="6" spans="1:18" x14ac:dyDescent="0.35">
      <c r="A6" s="20"/>
      <c r="B6" s="20" t="s">
        <v>27</v>
      </c>
      <c r="C6" s="20">
        <v>3</v>
      </c>
      <c r="D6" s="20" t="s">
        <v>28</v>
      </c>
      <c r="E6" s="20" t="s">
        <v>29</v>
      </c>
      <c r="F6" s="20"/>
      <c r="G6" s="20"/>
      <c r="H6" s="20"/>
      <c r="I6" s="20"/>
      <c r="J6" s="20"/>
      <c r="K6" s="20"/>
      <c r="L6" s="20"/>
      <c r="M6" s="20" t="s">
        <v>27</v>
      </c>
      <c r="N6" s="20">
        <v>3</v>
      </c>
      <c r="O6" s="20" t="s">
        <v>28</v>
      </c>
    </row>
    <row r="7" spans="1:18" x14ac:dyDescent="0.35">
      <c r="A7" s="20" t="s">
        <v>65</v>
      </c>
      <c r="B7" s="20" t="s">
        <v>30</v>
      </c>
      <c r="C7" s="20">
        <v>1</v>
      </c>
      <c r="D7" s="20"/>
      <c r="E7" s="20"/>
      <c r="F7" s="20"/>
      <c r="G7" s="20"/>
      <c r="H7" s="20"/>
      <c r="I7" s="20"/>
      <c r="J7" s="20"/>
      <c r="K7" s="20"/>
      <c r="L7" s="20" t="s">
        <v>65</v>
      </c>
      <c r="M7" s="20" t="s">
        <v>30</v>
      </c>
      <c r="N7" s="20">
        <v>1</v>
      </c>
      <c r="O7" s="20"/>
    </row>
    <row r="8" spans="1:18" x14ac:dyDescent="0.35">
      <c r="A8" s="20" t="s">
        <v>66</v>
      </c>
      <c r="B8" s="20" t="s">
        <v>31</v>
      </c>
      <c r="C8" s="21">
        <f>2/3.785/7.48</f>
        <v>7.0641923155715977E-2</v>
      </c>
      <c r="D8" s="20" t="s">
        <v>32</v>
      </c>
      <c r="E8" s="20"/>
      <c r="F8" s="20"/>
      <c r="G8" s="20"/>
      <c r="H8" s="20"/>
      <c r="I8" s="20"/>
      <c r="J8" s="20"/>
      <c r="K8" s="20"/>
      <c r="L8" s="20" t="s">
        <v>66</v>
      </c>
      <c r="M8" s="20" t="s">
        <v>31</v>
      </c>
      <c r="N8" s="21">
        <f>1/3.785/7.48</f>
        <v>3.5320961577857989E-2</v>
      </c>
      <c r="O8" s="20" t="s">
        <v>32</v>
      </c>
    </row>
    <row r="9" spans="1:18" x14ac:dyDescent="0.35">
      <c r="A9" s="20" t="s">
        <v>67</v>
      </c>
      <c r="B9" s="20" t="s">
        <v>33</v>
      </c>
      <c r="C9" s="20">
        <v>3.7459999999999997E-5</v>
      </c>
      <c r="D9" s="20" t="s">
        <v>60</v>
      </c>
      <c r="E9" s="20"/>
      <c r="F9" s="20"/>
      <c r="G9" s="20"/>
      <c r="H9" s="20"/>
      <c r="I9" s="20"/>
      <c r="J9" s="20"/>
      <c r="K9" s="20"/>
      <c r="M9" s="20" t="s">
        <v>33</v>
      </c>
      <c r="N9" s="20">
        <v>3.7459999999999997E-5</v>
      </c>
      <c r="O9" s="20" t="s">
        <v>60</v>
      </c>
      <c r="P9" s="20"/>
    </row>
    <row r="10" spans="1:18" x14ac:dyDescent="0.35">
      <c r="A10" s="20"/>
      <c r="B10" s="20" t="s">
        <v>33</v>
      </c>
      <c r="C10" s="20">
        <f>0.00003229</f>
        <v>3.2289999999999997E-5</v>
      </c>
      <c r="D10" s="20" t="s">
        <v>34</v>
      </c>
      <c r="E10" s="20"/>
      <c r="F10" s="20"/>
      <c r="G10" s="20"/>
      <c r="H10" s="20"/>
      <c r="I10" s="20"/>
      <c r="J10" s="20"/>
      <c r="K10" s="20"/>
      <c r="M10" s="20" t="s">
        <v>33</v>
      </c>
      <c r="N10" s="20">
        <f>0.00003229</f>
        <v>3.2289999999999997E-5</v>
      </c>
      <c r="O10" s="20" t="s">
        <v>34</v>
      </c>
      <c r="P10" s="20"/>
    </row>
    <row r="11" spans="1:18" x14ac:dyDescent="0.35">
      <c r="A11" s="20"/>
      <c r="B11" s="20" t="s">
        <v>33</v>
      </c>
      <c r="C11" s="20">
        <v>2.7350000000000001E-5</v>
      </c>
      <c r="D11" s="20" t="s">
        <v>57</v>
      </c>
      <c r="E11" s="20"/>
      <c r="F11" s="20"/>
      <c r="G11" s="20"/>
      <c r="H11" s="20"/>
      <c r="I11" s="20"/>
      <c r="J11" s="20"/>
      <c r="K11" s="20"/>
      <c r="M11" s="20" t="s">
        <v>33</v>
      </c>
      <c r="N11" s="20">
        <v>2.7350000000000001E-5</v>
      </c>
      <c r="O11" s="20" t="s">
        <v>57</v>
      </c>
      <c r="P11" s="20"/>
    </row>
    <row r="12" spans="1:18" x14ac:dyDescent="0.35">
      <c r="A12" s="20"/>
      <c r="B12" s="20" t="s">
        <v>33</v>
      </c>
      <c r="C12" s="20">
        <v>2.3589999999999999E-5</v>
      </c>
      <c r="D12" s="20" t="s">
        <v>58</v>
      </c>
      <c r="E12" s="20"/>
      <c r="F12" s="20"/>
      <c r="G12" s="20"/>
      <c r="H12" s="20"/>
      <c r="I12" s="20"/>
      <c r="J12" s="20"/>
      <c r="K12" s="20"/>
      <c r="M12" s="20" t="s">
        <v>33</v>
      </c>
      <c r="N12" s="20">
        <v>2.3589999999999999E-5</v>
      </c>
      <c r="O12" s="20" t="s">
        <v>58</v>
      </c>
      <c r="P12" s="20"/>
    </row>
    <row r="13" spans="1:18" x14ac:dyDescent="0.35">
      <c r="A13" s="20"/>
      <c r="B13" s="20" t="s">
        <v>33</v>
      </c>
      <c r="C13" s="20">
        <v>2.05E-5</v>
      </c>
      <c r="D13" s="20" t="s">
        <v>59</v>
      </c>
      <c r="E13" s="20"/>
      <c r="F13" s="20"/>
      <c r="G13" s="20"/>
      <c r="H13" s="20"/>
      <c r="I13" s="20"/>
      <c r="J13" s="20"/>
      <c r="K13" s="20"/>
      <c r="M13" s="20" t="s">
        <v>33</v>
      </c>
      <c r="N13" s="20">
        <v>2.05E-5</v>
      </c>
      <c r="O13" s="20" t="s">
        <v>59</v>
      </c>
      <c r="P13" s="20"/>
    </row>
    <row r="14" spans="1:18" x14ac:dyDescent="0.35">
      <c r="A14" s="20"/>
      <c r="B14" s="20" t="s">
        <v>33</v>
      </c>
      <c r="C14" s="20">
        <f>0.00001799</f>
        <v>1.7989999999999999E-5</v>
      </c>
      <c r="D14" s="20" t="s">
        <v>35</v>
      </c>
      <c r="E14" s="20"/>
      <c r="F14" s="20"/>
      <c r="G14" s="20"/>
      <c r="H14" s="20"/>
      <c r="I14" s="20"/>
      <c r="J14" s="20"/>
      <c r="K14" s="20"/>
      <c r="M14" s="20" t="s">
        <v>33</v>
      </c>
      <c r="N14" s="20">
        <f>0.00001799</f>
        <v>1.7989999999999999E-5</v>
      </c>
      <c r="O14" s="20" t="s">
        <v>35</v>
      </c>
      <c r="P14" s="20"/>
    </row>
    <row r="15" spans="1:18" x14ac:dyDescent="0.35">
      <c r="A15" s="20"/>
      <c r="B15" s="20" t="s">
        <v>33</v>
      </c>
      <c r="C15" s="20">
        <v>1.5950000000000001E-5</v>
      </c>
      <c r="D15" s="20" t="s">
        <v>61</v>
      </c>
      <c r="E15" s="20"/>
      <c r="F15" s="20"/>
      <c r="G15" s="20"/>
      <c r="H15" s="20"/>
      <c r="I15" s="20"/>
      <c r="J15" s="20"/>
      <c r="K15" s="20"/>
      <c r="M15" s="20" t="s">
        <v>33</v>
      </c>
      <c r="N15" s="20">
        <v>1.5950000000000001E-5</v>
      </c>
      <c r="O15" s="20" t="s">
        <v>61</v>
      </c>
      <c r="P15" s="20"/>
    </row>
    <row r="16" spans="1:18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9" x14ac:dyDescent="0.35">
      <c r="A17" s="20"/>
      <c r="B17" s="22"/>
      <c r="C17" s="790" t="s">
        <v>62</v>
      </c>
      <c r="D17" s="791"/>
      <c r="E17" s="791"/>
      <c r="F17" s="791"/>
      <c r="G17" s="791"/>
      <c r="H17" s="791"/>
      <c r="I17" s="792"/>
      <c r="J17" s="20"/>
      <c r="K17" s="20"/>
      <c r="L17" s="22"/>
      <c r="M17" s="790" t="s">
        <v>62</v>
      </c>
      <c r="N17" s="791"/>
      <c r="O17" s="791"/>
      <c r="P17" s="791"/>
      <c r="Q17" s="791"/>
      <c r="R17" s="791"/>
      <c r="S17" s="792"/>
    </row>
    <row r="18" spans="1:19" x14ac:dyDescent="0.35">
      <c r="A18" s="20"/>
      <c r="B18" s="23" t="s">
        <v>15</v>
      </c>
      <c r="C18" s="24">
        <v>0</v>
      </c>
      <c r="D18" s="24">
        <v>4</v>
      </c>
      <c r="E18" s="24">
        <v>10</v>
      </c>
      <c r="F18" s="24">
        <v>16</v>
      </c>
      <c r="G18" s="24">
        <v>21</v>
      </c>
      <c r="H18" s="24">
        <v>27</v>
      </c>
      <c r="I18" s="24">
        <v>32</v>
      </c>
      <c r="J18" s="20"/>
      <c r="K18" s="20"/>
      <c r="L18" s="23" t="s">
        <v>15</v>
      </c>
      <c r="M18" s="24">
        <v>0</v>
      </c>
      <c r="N18" s="24">
        <v>4</v>
      </c>
      <c r="O18" s="24">
        <v>10</v>
      </c>
      <c r="P18" s="24">
        <v>16</v>
      </c>
      <c r="Q18" s="24">
        <v>20</v>
      </c>
      <c r="R18" s="24">
        <v>27</v>
      </c>
      <c r="S18" s="24">
        <v>32</v>
      </c>
    </row>
    <row r="19" spans="1:19" x14ac:dyDescent="0.35">
      <c r="A19" s="20"/>
      <c r="B19" s="25">
        <v>10</v>
      </c>
      <c r="C19" s="26">
        <f>((550*$C$6*$C$5^5*B19^3*$C$7/(6.12*10^7))/($C$9*$C$8))^0.5</f>
        <v>3.0315648948300629</v>
      </c>
      <c r="D19" s="26">
        <f>((550*$C$6*$C$5^5*B19^3*$C$7/(6.12*10^7))/($C$10*$C$8))^0.5</f>
        <v>3.2652522196724179</v>
      </c>
      <c r="E19" s="26">
        <f>((550*$C$6*$C$5^5*B19^3*$C$7/(6.12*10^7))/($C$11*$C$8))^0.5</f>
        <v>3.547905882619939</v>
      </c>
      <c r="F19" s="26">
        <f>((550*$C$6*$C$5^5*B19^3*$C$7/(6.12*10^7))/($C$12*$C$8))^0.5</f>
        <v>3.8202060270121501</v>
      </c>
      <c r="G19" s="26">
        <f>((550*$C$6*$C$5^5*B19^3*$C$7/(6.12*10^7))/($C$13*$C$8))^0.5</f>
        <v>4.098017657327615</v>
      </c>
      <c r="H19" s="26">
        <f>((550*$C$6*$C$5^5*B19^3*$C$7/(6.12*10^7))/($C$14*$C$8))^0.5</f>
        <v>4.374568024447087</v>
      </c>
      <c r="I19" s="26">
        <f>((550*$C$6*$C$5^5*B19^3*$C$7/(6.12*10^7))/($C$15*$C$8))^0.5</f>
        <v>4.645905931917869</v>
      </c>
      <c r="J19" s="20"/>
      <c r="K19" s="20"/>
      <c r="L19" s="25">
        <v>10</v>
      </c>
      <c r="M19" s="26">
        <f>((550*$N$6*$N$5^5*L19^3*$N$7/(6.12*10^7))/($N$9*$N$8))^0.5</f>
        <v>4.5788405644555512</v>
      </c>
      <c r="N19" s="26">
        <f>((550*$N$6*$N$5^5*L19^3*$N$7/(6.12*10^7))/($N$10*$N$8))^0.5</f>
        <v>4.9317991978702764</v>
      </c>
      <c r="O19" s="26">
        <f>((550*$N$6*$N$5^5*L19^3*$N$7/(6.12*10^7))/($N$11*$N$8))^0.5</f>
        <v>5.3587160221821</v>
      </c>
      <c r="P19" s="26">
        <f>((550*$N$6*$N$5^5*L19^3*$N$7/(6.12*10^7))/($N$12*$N$8))^0.5</f>
        <v>5.7699950117813152</v>
      </c>
      <c r="Q19" s="26">
        <f>((550*$N$6*$N$5^5*L19^3*$N$7/(6.12*10^7))/($N$13*$N$8))^0.5</f>
        <v>6.1895984859920459</v>
      </c>
      <c r="R19" s="26">
        <f>((550*$N$6*$N$5^5*L19^3*$N$7/(6.12*10^7))/($N$14*$N$8))^0.5</f>
        <v>6.6072969628549973</v>
      </c>
      <c r="S19" s="26">
        <f>((550*$N$6*$N$5^5*L19^3*$N$7/(6.12*10^7))/($N$15*$N$8))^0.5</f>
        <v>7.0171226009340222</v>
      </c>
    </row>
    <row r="20" spans="1:19" x14ac:dyDescent="0.35">
      <c r="A20" s="20"/>
      <c r="B20" s="25">
        <v>30</v>
      </c>
      <c r="C20" s="26">
        <f>((550*$C$6*$C$5^5*B20^3*$C$7/(6.12*10^7))/($C$9*$C$8))^0.5</f>
        <v>15.752473272863607</v>
      </c>
      <c r="D20" s="26">
        <f>((550*$C$6*$C$5^5*B20^3*$C$7/(6.12*10^7))/($C$10*$C$8))^0.5</f>
        <v>16.966748231999041</v>
      </c>
      <c r="E20" s="26">
        <f>((550*$C$6*$C$5^5*B20^3*$C$7/(6.12*10^7))/($C$11*$C$8))^0.5</f>
        <v>18.435459747510706</v>
      </c>
      <c r="F20" s="26">
        <f>((550*$C$6*$C$5^5*B20^3*$C$7/(6.12*10^7))/($C$12*$C$8))^0.5</f>
        <v>19.85037280249766</v>
      </c>
      <c r="G20" s="26">
        <f>((550*$C$6*$C$5^5*B20^3*$C$7/(6.12*10^7))/($C$13*$C$8))^0.5</f>
        <v>21.293924378417444</v>
      </c>
      <c r="H20" s="26">
        <f>((550*$C$6*$C$5^5*B20^3*$C$7/(6.12*10^7))/($C$14*$C$8))^0.5</f>
        <v>22.730922238525693</v>
      </c>
      <c r="I20" s="26">
        <f>((550*$C$6*$C$5^5*B20^3*$C$7/(6.12*10^7))/($C$15*$C$8))^0.5</f>
        <v>24.140835363802147</v>
      </c>
      <c r="J20" s="20"/>
      <c r="K20" s="20"/>
      <c r="L20" s="25">
        <v>30</v>
      </c>
      <c r="M20" s="26">
        <f t="shared" ref="M20:M23" si="0">((550*$N$6*$N$5^5*L20^3*$N$7/(6.12*10^7))/($N$9*$N$8))^0.5</f>
        <v>23.792353492183114</v>
      </c>
      <c r="N20" s="26">
        <f t="shared" ref="N20:N23" si="1">((550*$N$6*$N$5^5*L20^3*$N$7/(6.12*10^7))/($N$10*$N$8))^0.5</f>
        <v>25.626380350316261</v>
      </c>
      <c r="O20" s="26">
        <f t="shared" ref="O20:O23" si="2">((550*$N$6*$N$5^5*L20^3*$N$7/(6.12*10^7))/($N$11*$N$8))^0.5</f>
        <v>27.844705241258364</v>
      </c>
      <c r="P20" s="26">
        <f t="shared" ref="P20:P23" si="3">((550*$N$6*$N$5^5*L20^3*$N$7/(6.12*10^7))/($N$12*$N$8))^0.5</f>
        <v>29.981773559472664</v>
      </c>
      <c r="Q20" s="26">
        <f t="shared" ref="Q20:Q23" si="4">((550*$N$6*$N$5^5*L20^3*$N$7/(6.12*10^7))/($N$13*$N$8))^0.5</f>
        <v>32.16209716856887</v>
      </c>
      <c r="R20" s="26">
        <f t="shared" ref="R20:R23" si="5">((550*$N$6*$N$5^5*L20^3*$N$7/(6.12*10^7))/($N$14*$N$8))^0.5</f>
        <v>34.332522121081162</v>
      </c>
      <c r="S20" s="26">
        <f t="shared" ref="S20:S23" si="6">((550*$N$6*$N$5^5*L20^3*$N$7/(6.12*10^7))/($N$15*$N$8))^0.5</f>
        <v>36.462038603272781</v>
      </c>
    </row>
    <row r="21" spans="1:19" x14ac:dyDescent="0.35">
      <c r="A21" s="20"/>
      <c r="B21" s="25">
        <v>50</v>
      </c>
      <c r="C21" s="26">
        <f>((550*$C$6*$C$5^5*B21^3*$C$7/(6.12*10^7))/($C$9*$C$8))^0.5</f>
        <v>33.893925915210104</v>
      </c>
      <c r="D21" s="26">
        <f>((550*$C$6*$C$5^5*B21^3*$C$7/(6.12*10^7))/($C$10*$C$8))^0.5</f>
        <v>36.506629634348009</v>
      </c>
      <c r="E21" s="26">
        <f>((550*$C$6*$C$5^5*B21^3*$C$7/(6.12*10^7))/($C$11*$C$8))^0.5</f>
        <v>39.66679365654786</v>
      </c>
      <c r="F21" s="26">
        <f>((550*$C$6*$C$5^5*B21^3*$C$7/(6.12*10^7))/($C$12*$C$8))^0.5</f>
        <v>42.711201822267824</v>
      </c>
      <c r="G21" s="26">
        <f>((550*$C$6*$C$5^5*B21^3*$C$7/(6.12*10^7))/($C$13*$C$8))^0.5</f>
        <v>45.817230273894928</v>
      </c>
      <c r="H21" s="26">
        <f>((550*$C$6*$C$5^5*B21^3*$C$7/(6.12*10^7))/($C$14*$C$8))^0.5</f>
        <v>48.909157374303234</v>
      </c>
      <c r="I21" s="26">
        <f>((550*$C$6*$C$5^5*B21^3*$C$7/(6.12*10^7))/($C$15*$C$8))^0.5</f>
        <v>51.942807404189317</v>
      </c>
      <c r="J21" s="20"/>
      <c r="K21" s="20"/>
      <c r="L21" s="25">
        <v>50</v>
      </c>
      <c r="M21" s="26">
        <f t="shared" si="0"/>
        <v>51.192993801280601</v>
      </c>
      <c r="N21" s="26">
        <f t="shared" si="1"/>
        <v>55.13919128908438</v>
      </c>
      <c r="O21" s="26">
        <f t="shared" si="2"/>
        <v>59.912266488582233</v>
      </c>
      <c r="P21" s="26">
        <f t="shared" si="3"/>
        <v>64.510505380888603</v>
      </c>
      <c r="Q21" s="26">
        <f t="shared" si="4"/>
        <v>69.201814840539967</v>
      </c>
      <c r="R21" s="26">
        <f t="shared" si="5"/>
        <v>73.871825782358371</v>
      </c>
      <c r="S21" s="26">
        <f t="shared" si="6"/>
        <v>78.453815710693021</v>
      </c>
    </row>
    <row r="22" spans="1:19" x14ac:dyDescent="0.35">
      <c r="A22" s="20"/>
      <c r="B22" s="25">
        <v>100</v>
      </c>
      <c r="C22" s="26">
        <f>((550*$C$6*$C$5^5*B22^3*$C$7/(6.12*10^7))/($C$9*$C$8))^0.5</f>
        <v>95.866499422718107</v>
      </c>
      <c r="D22" s="26">
        <f>((550*$C$6*$C$5^5*B22^3*$C$7/(6.12*10^7))/($C$10*$C$8))^0.5</f>
        <v>103.25634149085299</v>
      </c>
      <c r="E22" s="26">
        <f>((550*$C$6*$C$5^5*B22^3*$C$7/(6.12*10^7))/($C$11*$C$8))^0.5</f>
        <v>112.19463512989009</v>
      </c>
      <c r="F22" s="26">
        <f>((550*$C$6*$C$5^5*B22^3*$C$7/(6.12*10^7))/($C$12*$C$8))^0.5</f>
        <v>120.80552176461121</v>
      </c>
      <c r="G22" s="26">
        <f>((550*$C$6*$C$5^5*B22^3*$C$7/(6.12*10^7))/($C$13*$C$8))^0.5</f>
        <v>129.59069688742673</v>
      </c>
      <c r="H22" s="26">
        <f>((550*$C$6*$C$5^5*B22^3*$C$7/(6.12*10^7))/($C$14*$C$8))^0.5</f>
        <v>138.3359873659594</v>
      </c>
      <c r="I22" s="26">
        <f>((550*$C$6*$C$5^5*B22^3*$C$7/(6.12*10^7))/($C$15*$C$8))^0.5</f>
        <v>146.91644539747631</v>
      </c>
      <c r="J22" s="20"/>
      <c r="K22" s="20"/>
      <c r="L22" s="25">
        <v>100</v>
      </c>
      <c r="M22" s="26">
        <f t="shared" si="0"/>
        <v>144.79565226450563</v>
      </c>
      <c r="N22" s="26">
        <f t="shared" si="1"/>
        <v>155.9571842786151</v>
      </c>
      <c r="O22" s="26">
        <f t="shared" si="2"/>
        <v>169.45747964132818</v>
      </c>
      <c r="P22" s="26">
        <f t="shared" si="3"/>
        <v>182.46326325039038</v>
      </c>
      <c r="Q22" s="26">
        <f t="shared" si="4"/>
        <v>195.7322901766467</v>
      </c>
      <c r="R22" s="26">
        <f t="shared" si="5"/>
        <v>208.94107579734737</v>
      </c>
      <c r="S22" s="26">
        <f t="shared" si="6"/>
        <v>221.90090039596294</v>
      </c>
    </row>
    <row r="23" spans="1:19" x14ac:dyDescent="0.35">
      <c r="A23" s="20"/>
      <c r="B23" s="25">
        <v>300</v>
      </c>
      <c r="C23" s="26">
        <f>((550*$C$6*$C$5^5*B23^3*$C$7/(6.12*10^7))/($C$9*$C$8))^0.5</f>
        <v>498.13694323176065</v>
      </c>
      <c r="D23" s="26">
        <f>((550*$C$6*$C$5^5*B23^3*$C$7/(6.12*10^7))/($C$10*$C$8))^0.5</f>
        <v>536.53568899751917</v>
      </c>
      <c r="E23" s="26">
        <f>((550*$C$6*$C$5^5*B23^3*$C$7/(6.12*10^7))/($C$11*$C$8))^0.5</f>
        <v>582.98042514486497</v>
      </c>
      <c r="F23" s="26">
        <f>((550*$C$6*$C$5^5*B23^3*$C$7/(6.12*10^7))/($C$12*$C$8))^0.5</f>
        <v>627.72390459352334</v>
      </c>
      <c r="G23" s="26">
        <f>((550*$C$6*$C$5^5*B23^3*$C$7/(6.12*10^7))/($C$13*$C$8))^0.5</f>
        <v>673.37301359184323</v>
      </c>
      <c r="H23" s="26">
        <f>((550*$C$6*$C$5^5*B23^3*$C$7/(6.12*10^7))/($C$14*$C$8))^0.5</f>
        <v>718.81487589914411</v>
      </c>
      <c r="I23" s="26">
        <f>((550*$C$6*$C$5^5*B23^3*$C$7/(6.12*10^7))/($C$15*$C$8))^0.5</f>
        <v>763.40024368754314</v>
      </c>
      <c r="J23" s="20"/>
      <c r="K23" s="20"/>
      <c r="L23" s="25">
        <v>300</v>
      </c>
      <c r="M23" s="26">
        <f t="shared" si="0"/>
        <v>752.38027931159786</v>
      </c>
      <c r="N23" s="26">
        <f t="shared" si="1"/>
        <v>810.37730092783045</v>
      </c>
      <c r="O23" s="26">
        <f t="shared" si="2"/>
        <v>880.52689338404718</v>
      </c>
      <c r="P23" s="26">
        <f t="shared" si="3"/>
        <v>948.10692739347394</v>
      </c>
      <c r="Q23" s="26">
        <f t="shared" si="4"/>
        <v>1017.0548138033002</v>
      </c>
      <c r="R23" s="26">
        <f t="shared" si="5"/>
        <v>1085.6896772073167</v>
      </c>
      <c r="S23" s="26">
        <f t="shared" si="6"/>
        <v>1153.0309011932657</v>
      </c>
    </row>
    <row r="24" spans="1:19" x14ac:dyDescent="0.3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9" x14ac:dyDescent="0.3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529"/>
      <c r="M25" s="529"/>
      <c r="N25" s="529"/>
      <c r="O25" s="529"/>
      <c r="P25" s="529"/>
      <c r="Q25" s="529"/>
      <c r="R25" s="529"/>
      <c r="S25" s="529"/>
    </row>
    <row r="26" spans="1:19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82"/>
      <c r="M26" s="606"/>
      <c r="N26" s="529"/>
      <c r="O26" s="529"/>
      <c r="P26" s="529"/>
      <c r="Q26" s="529"/>
      <c r="R26" s="529"/>
      <c r="S26" s="529"/>
    </row>
    <row r="27" spans="1:19" x14ac:dyDescent="0.35">
      <c r="A27" s="20"/>
      <c r="B27" s="20"/>
      <c r="C27" s="20"/>
      <c r="D27" s="20"/>
      <c r="E27" s="20"/>
      <c r="F27" s="20"/>
      <c r="G27" s="20" t="s">
        <v>170</v>
      </c>
      <c r="H27" s="20"/>
      <c r="I27" s="20"/>
      <c r="J27" s="20"/>
      <c r="K27" s="20"/>
      <c r="L27" s="82"/>
      <c r="M27" s="606"/>
      <c r="N27" s="529"/>
      <c r="O27" s="529"/>
      <c r="P27" s="529"/>
      <c r="Q27" s="529"/>
      <c r="R27" s="529"/>
      <c r="S27" s="529"/>
    </row>
    <row r="28" spans="1:19" x14ac:dyDescent="0.35">
      <c r="A28" s="20"/>
      <c r="B28" s="20"/>
      <c r="C28" s="20"/>
      <c r="D28" s="20"/>
      <c r="E28" s="20"/>
      <c r="F28" s="20"/>
      <c r="G28" s="25">
        <v>0</v>
      </c>
      <c r="H28" s="27">
        <v>3.7459999999999997E-5</v>
      </c>
      <c r="I28" s="20"/>
      <c r="J28" s="20"/>
      <c r="K28" s="20"/>
      <c r="L28" s="82"/>
      <c r="M28" s="606"/>
      <c r="N28" s="529"/>
      <c r="O28" s="529"/>
      <c r="P28" s="529"/>
      <c r="Q28" s="529"/>
      <c r="R28" s="529"/>
      <c r="S28" s="529"/>
    </row>
    <row r="29" spans="1:19" x14ac:dyDescent="0.35">
      <c r="A29" s="20"/>
      <c r="B29" s="20"/>
      <c r="C29" s="20"/>
      <c r="D29" s="20"/>
      <c r="E29" s="20"/>
      <c r="F29" s="20"/>
      <c r="G29" s="25">
        <v>4.4000000000000004</v>
      </c>
      <c r="H29" s="27">
        <f>0.00003229</f>
        <v>3.2289999999999997E-5</v>
      </c>
      <c r="I29" s="20"/>
      <c r="J29" s="20"/>
      <c r="K29" s="20"/>
      <c r="L29" s="82"/>
      <c r="M29" s="606"/>
      <c r="N29" s="529"/>
      <c r="O29" s="529"/>
      <c r="P29" s="529"/>
      <c r="Q29" s="529"/>
      <c r="R29" s="529"/>
      <c r="S29" s="529"/>
    </row>
    <row r="30" spans="1:19" x14ac:dyDescent="0.35">
      <c r="A30" s="20"/>
      <c r="B30" s="20"/>
      <c r="C30" s="20"/>
      <c r="D30" s="20"/>
      <c r="E30" s="20"/>
      <c r="F30" s="20"/>
      <c r="G30" s="25">
        <v>10</v>
      </c>
      <c r="H30" s="27">
        <v>2.7350000000000001E-5</v>
      </c>
      <c r="I30" s="20"/>
      <c r="J30" s="20"/>
      <c r="K30" s="20"/>
      <c r="L30" s="529"/>
      <c r="M30" s="529"/>
      <c r="N30" s="529"/>
      <c r="O30" s="529"/>
      <c r="P30" s="529"/>
      <c r="Q30" s="529"/>
      <c r="R30" s="529"/>
      <c r="S30" s="529"/>
    </row>
    <row r="31" spans="1:19" x14ac:dyDescent="0.35">
      <c r="A31" s="20"/>
      <c r="B31" s="25" t="s">
        <v>86</v>
      </c>
      <c r="C31" s="25" t="s">
        <v>152</v>
      </c>
      <c r="D31" s="82"/>
      <c r="E31" s="82"/>
      <c r="F31" s="20"/>
      <c r="G31" s="25">
        <v>15.6</v>
      </c>
      <c r="H31" s="27">
        <v>2.3589999999999999E-5</v>
      </c>
      <c r="I31" s="20"/>
      <c r="J31" s="20"/>
      <c r="K31" s="20"/>
    </row>
    <row r="32" spans="1:19" x14ac:dyDescent="0.35">
      <c r="A32" s="20"/>
      <c r="B32" s="24">
        <f>DataEntry!E6</f>
        <v>0</v>
      </c>
      <c r="C32" s="27">
        <f>1.3391*10^-8*B32^2-1.0818*10^-6*B32+3.7125*10^-5</f>
        <v>3.7125000000000001E-5</v>
      </c>
      <c r="D32" s="83"/>
      <c r="E32" s="84"/>
      <c r="F32" s="20"/>
      <c r="G32" s="25">
        <v>21.1</v>
      </c>
      <c r="H32" s="27">
        <v>2.05E-5</v>
      </c>
      <c r="I32" s="20"/>
      <c r="J32" s="20"/>
      <c r="K32" s="20"/>
    </row>
    <row r="33" spans="1:11" x14ac:dyDescent="0.35">
      <c r="A33" s="20"/>
      <c r="B33" s="20"/>
      <c r="C33" s="20"/>
      <c r="D33" s="20"/>
      <c r="E33" s="20"/>
      <c r="F33" s="20"/>
      <c r="G33" s="25">
        <v>26.7</v>
      </c>
      <c r="H33" s="27">
        <f>0.00001799</f>
        <v>1.7989999999999999E-5</v>
      </c>
      <c r="I33" s="20"/>
      <c r="J33" s="20"/>
      <c r="K33" s="20"/>
    </row>
    <row r="34" spans="1:11" x14ac:dyDescent="0.35">
      <c r="A34" s="20"/>
      <c r="B34" s="20"/>
      <c r="C34" s="20"/>
      <c r="D34" s="20"/>
      <c r="E34" s="20"/>
      <c r="F34" s="20"/>
      <c r="G34" s="25">
        <v>32.200000000000003</v>
      </c>
      <c r="H34" s="27">
        <v>1.5950000000000001E-5</v>
      </c>
      <c r="I34" s="20"/>
      <c r="J34" s="20"/>
      <c r="K34" s="20"/>
    </row>
    <row r="35" spans="1:11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</sheetData>
  <mergeCells count="2">
    <mergeCell ref="C17:I17"/>
    <mergeCell ref="M17:S17"/>
  </mergeCells>
  <phoneticPr fontId="0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S74"/>
  <sheetViews>
    <sheetView showGridLines="0" showZeros="0" tabSelected="1" zoomScale="90" zoomScaleNormal="90" workbookViewId="0"/>
  </sheetViews>
  <sheetFormatPr defaultColWidth="8.8984375" defaultRowHeight="13.8" x14ac:dyDescent="0.25"/>
  <cols>
    <col min="1" max="2" width="1.796875" style="618" customWidth="1"/>
    <col min="3" max="3" width="18.796875" style="618" customWidth="1"/>
    <col min="4" max="8" width="12.796875" style="618" customWidth="1"/>
    <col min="9" max="9" width="12.796875" style="619" customWidth="1"/>
    <col min="10" max="10" width="3.59765625" style="618" customWidth="1"/>
    <col min="11" max="16384" width="8.8984375" style="618"/>
  </cols>
  <sheetData>
    <row r="1" spans="2:16" ht="9.9" customHeight="1" thickBot="1" x14ac:dyDescent="0.3"/>
    <row r="2" spans="2:16" x14ac:dyDescent="0.25">
      <c r="B2" s="620"/>
      <c r="C2" s="621" t="s">
        <v>119</v>
      </c>
      <c r="D2" s="622"/>
      <c r="E2" s="622"/>
      <c r="F2" s="622"/>
      <c r="G2" s="622"/>
      <c r="H2" s="622"/>
      <c r="I2" s="622"/>
      <c r="J2" s="623"/>
    </row>
    <row r="3" spans="2:16" x14ac:dyDescent="0.25">
      <c r="B3" s="624"/>
      <c r="C3" s="625" t="s">
        <v>287</v>
      </c>
      <c r="D3" s="626"/>
      <c r="E3" s="626"/>
      <c r="F3" s="626"/>
      <c r="G3" s="626"/>
      <c r="H3" s="626"/>
      <c r="I3" s="626"/>
      <c r="J3" s="627"/>
    </row>
    <row r="4" spans="2:16" x14ac:dyDescent="0.25">
      <c r="B4" s="628"/>
      <c r="C4" s="629" t="s">
        <v>288</v>
      </c>
      <c r="D4" s="630"/>
      <c r="E4" s="630"/>
      <c r="F4" s="630"/>
      <c r="G4" s="630"/>
      <c r="H4" s="630"/>
      <c r="I4" s="630"/>
      <c r="J4" s="631"/>
    </row>
    <row r="5" spans="2:16" x14ac:dyDescent="0.25">
      <c r="B5" s="624"/>
      <c r="C5" s="632"/>
      <c r="D5" s="633" t="s">
        <v>518</v>
      </c>
      <c r="E5" s="634"/>
      <c r="F5" s="619" t="s">
        <v>517</v>
      </c>
      <c r="G5" s="619"/>
      <c r="H5" s="619"/>
      <c r="J5" s="627"/>
    </row>
    <row r="6" spans="2:16" ht="14.4" thickBot="1" x14ac:dyDescent="0.3">
      <c r="B6" s="624"/>
      <c r="C6" s="635"/>
      <c r="D6" s="636" t="s">
        <v>516</v>
      </c>
      <c r="E6" s="619"/>
      <c r="F6" s="619"/>
      <c r="G6" s="619"/>
      <c r="H6" s="619"/>
      <c r="J6" s="627"/>
      <c r="L6" s="618" t="s">
        <v>519</v>
      </c>
    </row>
    <row r="7" spans="2:16" ht="15.75" customHeight="1" thickTop="1" x14ac:dyDescent="0.25">
      <c r="B7" s="624"/>
      <c r="C7" s="637" t="s">
        <v>364</v>
      </c>
      <c r="D7" s="638" t="s">
        <v>12</v>
      </c>
      <c r="E7" s="638" t="s">
        <v>13</v>
      </c>
      <c r="F7" s="639" t="s">
        <v>14</v>
      </c>
      <c r="G7" s="640"/>
      <c r="H7" s="640"/>
      <c r="I7" s="640"/>
      <c r="J7" s="627"/>
    </row>
    <row r="8" spans="2:16" x14ac:dyDescent="0.25">
      <c r="B8" s="624"/>
      <c r="C8" s="641" t="s">
        <v>404</v>
      </c>
      <c r="D8" s="760"/>
      <c r="E8" s="642"/>
      <c r="F8" s="761"/>
      <c r="G8" s="619"/>
      <c r="H8" s="640"/>
      <c r="I8" s="640"/>
      <c r="J8" s="627"/>
      <c r="M8" s="643" t="s">
        <v>490</v>
      </c>
      <c r="N8" s="643"/>
      <c r="O8" s="643" t="s">
        <v>491</v>
      </c>
      <c r="P8" s="643"/>
    </row>
    <row r="9" spans="2:16" x14ac:dyDescent="0.25">
      <c r="B9" s="624"/>
      <c r="C9" s="644" t="s">
        <v>256</v>
      </c>
      <c r="D9" s="645"/>
      <c r="E9" s="645"/>
      <c r="F9" s="646"/>
      <c r="G9" s="619"/>
      <c r="H9" s="640"/>
      <c r="I9" s="640"/>
      <c r="J9" s="627"/>
      <c r="M9" s="647" t="s">
        <v>488</v>
      </c>
      <c r="N9" s="648" t="s">
        <v>489</v>
      </c>
      <c r="O9" s="647" t="s">
        <v>488</v>
      </c>
      <c r="P9" s="648" t="s">
        <v>489</v>
      </c>
    </row>
    <row r="10" spans="2:16" x14ac:dyDescent="0.25">
      <c r="B10" s="624"/>
      <c r="C10" s="649" t="s">
        <v>447</v>
      </c>
      <c r="D10" s="650" t="str">
        <f>IF(D9="","CALCULATION",D8*7.48*1440*60/D9/1000000)</f>
        <v>CALCULATION</v>
      </c>
      <c r="E10" s="650" t="str">
        <f>IF(E9="","CALCULATION",E8*7.48*1440*60/E9/1000000)</f>
        <v>CALCULATION</v>
      </c>
      <c r="F10" s="651" t="str">
        <f>IF(F9="","CALCULATION",F8*7.48*1440*60/F9/1000000)</f>
        <v>CALCULATION</v>
      </c>
      <c r="G10" s="619"/>
      <c r="H10" s="640"/>
      <c r="I10" s="640"/>
      <c r="J10" s="627"/>
      <c r="L10" s="618" t="s">
        <v>486</v>
      </c>
      <c r="M10" s="652" t="str">
        <f>D10</f>
        <v>CALCULATION</v>
      </c>
      <c r="N10" s="653" t="e">
        <f>N12/N11</f>
        <v>#VALUE!</v>
      </c>
      <c r="O10" s="652" t="str">
        <f>F10</f>
        <v>CALCULATION</v>
      </c>
      <c r="P10" s="653" t="e">
        <f>P12/P11</f>
        <v>#VALUE!</v>
      </c>
    </row>
    <row r="11" spans="2:16" ht="16.2" x14ac:dyDescent="0.35">
      <c r="B11" s="624"/>
      <c r="C11" s="654" t="s">
        <v>463</v>
      </c>
      <c r="D11" s="655"/>
      <c r="E11" s="655"/>
      <c r="F11" s="656"/>
      <c r="G11" s="619"/>
      <c r="H11" s="640"/>
      <c r="I11" s="640"/>
      <c r="J11" s="627"/>
      <c r="L11" s="618" t="s">
        <v>504</v>
      </c>
      <c r="M11" s="657">
        <f>D11</f>
        <v>0</v>
      </c>
      <c r="N11" s="658">
        <v>600</v>
      </c>
      <c r="O11" s="657">
        <f>F11</f>
        <v>0</v>
      </c>
      <c r="P11" s="659">
        <v>600</v>
      </c>
    </row>
    <row r="12" spans="2:16" ht="14.4" thickBot="1" x14ac:dyDescent="0.3">
      <c r="B12" s="624"/>
      <c r="C12" s="660" t="s">
        <v>21</v>
      </c>
      <c r="D12" s="661" t="str">
        <f>IF(D11=0,"CALCULATION",IF($E$5=2,((D11^2*JarG!$C$32*JarG!$C$8*6.12*10^7)/(550*JarG!$C$6*diameter^5*JarG!$C$7))^(1/3),((D11^2*JarG!$C$32*JarG!$N$8*6.12*10^7)/(550*JarG!$C$6*diameter1^5*JarG!$C$7))^(1/3)))</f>
        <v>CALCULATION</v>
      </c>
      <c r="E12" s="661" t="str">
        <f>IF(E11=0,"CALCULATION",IF($E$5=2,((E11^2*JarG!$C$32*JarG!$C$8*6.12*10^7)/(550*JarG!$C$6*diameter^5*JarG!$C$7))^(1/3),((E11^2*JarG!$C$32*JarG!$N$8*6.12*10^7)/(550*JarG!$C$6*diameter1^5*JarG!$C$7))^(1/3)))</f>
        <v>CALCULATION</v>
      </c>
      <c r="F12" s="662" t="str">
        <f>IF(F11=0,"CALCULATION",IF($E$5=2,((F11^2*JarG!$C$32*JarG!$C$8*6.12*10^7)/(550*JarG!$C$6*diameter^5*JarG!$C$7))^(1/3),((F11^2*JarG!$C$32*JarG!$N$8*6.12*10^7)/(550*JarG!$C$6*diameter1^5*JarG!$C$7))^(1/3)))</f>
        <v>CALCULATION</v>
      </c>
      <c r="G12" s="619"/>
      <c r="H12" s="640"/>
      <c r="I12" s="640"/>
      <c r="J12" s="627"/>
      <c r="L12" s="618" t="s">
        <v>487</v>
      </c>
      <c r="M12" s="663" t="e">
        <f>M10*M11</f>
        <v>#VALUE!</v>
      </c>
      <c r="N12" s="663" t="e">
        <f>M12</f>
        <v>#VALUE!</v>
      </c>
      <c r="O12" s="663" t="e">
        <f>O11*O10</f>
        <v>#VALUE!</v>
      </c>
      <c r="P12" s="663" t="e">
        <f>O12</f>
        <v>#VALUE!</v>
      </c>
    </row>
    <row r="13" spans="2:16" ht="8.1" customHeight="1" thickTop="1" x14ac:dyDescent="0.25">
      <c r="B13" s="628"/>
      <c r="C13" s="664"/>
      <c r="D13" s="664"/>
      <c r="E13" s="664"/>
      <c r="F13" s="664"/>
      <c r="G13" s="664"/>
      <c r="H13" s="664"/>
      <c r="I13" s="664"/>
      <c r="J13" s="631"/>
    </row>
    <row r="14" spans="2:16" x14ac:dyDescent="0.25">
      <c r="B14" s="624"/>
      <c r="C14" s="625" t="s">
        <v>289</v>
      </c>
      <c r="D14" s="626"/>
      <c r="E14" s="626"/>
      <c r="F14" s="626"/>
      <c r="G14" s="626"/>
      <c r="H14" s="626"/>
      <c r="I14" s="626"/>
      <c r="J14" s="627"/>
    </row>
    <row r="15" spans="2:16" x14ac:dyDescent="0.25">
      <c r="B15" s="628"/>
      <c r="C15" s="665" t="s">
        <v>185</v>
      </c>
      <c r="D15" s="666"/>
      <c r="E15" s="666"/>
      <c r="F15" s="666"/>
      <c r="G15" s="666"/>
      <c r="H15" s="666"/>
      <c r="I15" s="666"/>
      <c r="J15" s="631"/>
    </row>
    <row r="16" spans="2:16" ht="8.1" customHeight="1" thickBot="1" x14ac:dyDescent="0.3">
      <c r="B16" s="624"/>
      <c r="C16" s="640"/>
      <c r="D16" s="640"/>
      <c r="E16" s="640"/>
      <c r="F16" s="640"/>
      <c r="G16" s="640"/>
      <c r="H16" s="640"/>
      <c r="I16" s="640"/>
      <c r="J16" s="627"/>
    </row>
    <row r="17" spans="2:19" ht="15" thickTop="1" thickBot="1" x14ac:dyDescent="0.3">
      <c r="B17" s="624"/>
      <c r="C17" s="667" t="s">
        <v>10</v>
      </c>
      <c r="D17" s="668"/>
      <c r="E17" s="668"/>
      <c r="F17" s="668"/>
      <c r="G17" s="669"/>
      <c r="H17" s="640"/>
      <c r="I17" s="640"/>
      <c r="J17" s="627"/>
      <c r="L17" s="618" t="s">
        <v>520</v>
      </c>
    </row>
    <row r="18" spans="2:19" ht="14.4" thickTop="1" x14ac:dyDescent="0.25">
      <c r="B18" s="624"/>
      <c r="C18" s="670" t="s">
        <v>11</v>
      </c>
      <c r="D18" s="671" t="s">
        <v>12</v>
      </c>
      <c r="E18" s="672" t="s">
        <v>13</v>
      </c>
      <c r="F18" s="672" t="s">
        <v>14</v>
      </c>
      <c r="G18" s="673" t="s">
        <v>497</v>
      </c>
      <c r="H18" s="674" t="s">
        <v>501</v>
      </c>
      <c r="I18" s="640"/>
      <c r="J18" s="627"/>
      <c r="L18" s="675" t="s">
        <v>502</v>
      </c>
      <c r="M18" s="676" t="s">
        <v>503</v>
      </c>
    </row>
    <row r="19" spans="2:19" x14ac:dyDescent="0.25">
      <c r="B19" s="624"/>
      <c r="C19" s="677" t="s">
        <v>403</v>
      </c>
      <c r="D19" s="678"/>
      <c r="E19" s="679"/>
      <c r="F19" s="679"/>
      <c r="G19" s="680"/>
      <c r="H19" s="674" t="s">
        <v>498</v>
      </c>
      <c r="I19" s="640"/>
      <c r="J19" s="627"/>
      <c r="L19" s="681"/>
      <c r="M19" s="680"/>
    </row>
    <row r="20" spans="2:19" x14ac:dyDescent="0.25">
      <c r="B20" s="624"/>
      <c r="C20" s="670" t="s">
        <v>239</v>
      </c>
      <c r="D20" s="682"/>
      <c r="E20" s="678"/>
      <c r="F20" s="678"/>
      <c r="G20" s="680"/>
      <c r="H20" s="640"/>
      <c r="I20" s="640"/>
      <c r="J20" s="627"/>
      <c r="L20" s="683"/>
      <c r="M20" s="680"/>
    </row>
    <row r="21" spans="2:19" x14ac:dyDescent="0.25">
      <c r="B21" s="624"/>
      <c r="C21" s="677" t="s">
        <v>22</v>
      </c>
      <c r="D21" s="684" t="str">
        <f>IF(D20="","CALCULATION",JarSettingsHELP!D19*7.48*1440/D20/1000000)</f>
        <v>CALCULATION</v>
      </c>
      <c r="E21" s="684" t="str">
        <f>IF(E20="","CALCULATION",JarSettingsHELP!E19*7.48*1440/E20/1000000)</f>
        <v>CALCULATION</v>
      </c>
      <c r="F21" s="684" t="str">
        <f>IF(F20="","CALCULATION",JarSettingsHELP!F19*7.48*1440/F20/1000000)</f>
        <v>CALCULATION</v>
      </c>
      <c r="G21" s="685" t="str">
        <f>IF(G20="","CALCULATION",JarSettingsHELP!G19*7.48*1440/G20/1000000)</f>
        <v>CALCULATION</v>
      </c>
      <c r="H21" s="640"/>
      <c r="I21" s="640"/>
      <c r="J21" s="627"/>
      <c r="L21" s="686" t="str">
        <f>IF(L20="","CALCULATION",JarSettingsHELP!L19*7.48*1440/L20/1000000)</f>
        <v>CALCULATION</v>
      </c>
      <c r="M21" s="687" t="str">
        <f>IF(M20="","CALCULATION",JarSettingsHELP!M19*7.48*1440/M20/1000000)</f>
        <v>CALCULATION</v>
      </c>
    </row>
    <row r="22" spans="2:19" ht="16.2" x14ac:dyDescent="0.35">
      <c r="B22" s="624"/>
      <c r="C22" s="677" t="s">
        <v>463</v>
      </c>
      <c r="D22" s="688"/>
      <c r="E22" s="689"/>
      <c r="F22" s="689"/>
      <c r="G22" s="690"/>
      <c r="H22" s="640"/>
      <c r="I22" s="640"/>
      <c r="J22" s="627"/>
      <c r="L22" s="691"/>
      <c r="M22" s="690"/>
    </row>
    <row r="23" spans="2:19" ht="14.4" thickBot="1" x14ac:dyDescent="0.3">
      <c r="B23" s="624"/>
      <c r="C23" s="692" t="s">
        <v>21</v>
      </c>
      <c r="D23" s="693" t="str">
        <f>IF(D22=0,"CALCULATION",IF($E$5=2,((D22^2*JarG!$C$32*JarG!$C$8*6.12*10^7)/(550*JarG!$C$6*diameter^5*JarG!$C$7))^(1/3),((D22^2*JarG!$C$32*JarG!$N$8*6.12*10^7)/(550*JarG!$C$6*diameter1^5*JarG!$C$7))^(1/3)))</f>
        <v>CALCULATION</v>
      </c>
      <c r="E23" s="694" t="str">
        <f>IF(E22=0,"CALCULATION",IF($E$5=2,((E22^2*JarG!$C$32*JarG!$C$8*6.12*10^7)/(550*JarG!$C$6*diameter^5*JarG!$C$7))^(1/3),((E22^2*JarG!$C$32*JarG!$N$8*6.12*10^7)/(550*JarG!$C$6*diameter1^5*JarG!$C$7))^(1/3)))</f>
        <v>CALCULATION</v>
      </c>
      <c r="F23" s="694" t="str">
        <f>IF(F22=0,"CALCULATION",IF($E$5=2,((F22^2*JarG!$C$32*JarG!$C$8*6.12*10^7)/(550*JarG!$C$6*diameter^5*JarG!$C$7))^(1/3),((F22^2*JarG!$C$32*JarG!$N$8*6.12*10^7)/(550*JarG!$C$6*diameter1^5*JarG!$C$7))^(1/3)))</f>
        <v>CALCULATION</v>
      </c>
      <c r="G23" s="695" t="str">
        <f>IF(G22=0,"CALCULATION",IF($E$5=2,((G22^2*JarG!$C$32*JarG!$C$8*6.12*10^7)/(550*JarG!$C$6*diameter^5*JarG!$C$7))^(1/3),((G22^2*JarG!$C$32*JarG!$N$8*6.12*10^7)/(550*JarG!$C$6*diameter1^5*JarG!$C$7))^(1/3)))</f>
        <v>CALCULATION</v>
      </c>
      <c r="H23" s="640"/>
      <c r="I23" s="640"/>
      <c r="J23" s="627"/>
      <c r="L23" s="696" t="str">
        <f>IF(L22=0,"CALCULATION",IF($E$5=2,((L22^2*JarG!$C$32*JarG!$C$8*6.12*10^7)/(550*JarG!$C$6*diameter^5*JarG!$C$7))^(1/3),((L22^2*JarG!$C$32*JarG!$N$8*6.12*10^7)/(550*JarG!$C$6*diameter1^5*JarG!$C$7))^(1/3)))</f>
        <v>CALCULATION</v>
      </c>
      <c r="M23" s="695" t="str">
        <f>IF(M22=0,"CALCULATION",IF($E$5=2,((M22^2*JarG!$C$32*JarG!$C$8*6.12*10^7)/(550*JarG!$C$6*diameter^5*JarG!$C$7))^(1/3),((M22^2*JarG!$C$32*JarG!$N$8*6.12*10^7)/(550*JarG!$C$6*diameter1^5*JarG!$C$7))^(1/3)))</f>
        <v>CALCULATION</v>
      </c>
    </row>
    <row r="24" spans="2:19" ht="8.1" customHeight="1" thickTop="1" x14ac:dyDescent="0.25">
      <c r="B24" s="628"/>
      <c r="C24" s="697"/>
      <c r="D24" s="697"/>
      <c r="E24" s="697"/>
      <c r="F24" s="697"/>
      <c r="G24" s="697"/>
      <c r="H24" s="697"/>
      <c r="I24" s="697"/>
      <c r="J24" s="631"/>
    </row>
    <row r="25" spans="2:19" x14ac:dyDescent="0.25">
      <c r="B25" s="624"/>
      <c r="C25" s="625" t="s">
        <v>290</v>
      </c>
      <c r="D25" s="626"/>
      <c r="E25" s="626"/>
      <c r="F25" s="626"/>
      <c r="G25" s="626"/>
      <c r="H25" s="626"/>
      <c r="I25" s="626"/>
      <c r="J25" s="627"/>
    </row>
    <row r="26" spans="2:19" x14ac:dyDescent="0.25">
      <c r="B26" s="628"/>
      <c r="C26" s="630" t="s">
        <v>187</v>
      </c>
      <c r="D26" s="630"/>
      <c r="E26" s="630"/>
      <c r="F26" s="630"/>
      <c r="G26" s="630"/>
      <c r="H26" s="630"/>
      <c r="I26" s="630"/>
      <c r="J26" s="631"/>
    </row>
    <row r="27" spans="2:19" ht="14.4" thickBot="1" x14ac:dyDescent="0.3">
      <c r="B27" s="624"/>
      <c r="C27" s="619"/>
      <c r="D27" s="619"/>
      <c r="E27" s="619"/>
      <c r="F27" s="619"/>
      <c r="G27" s="619"/>
      <c r="H27" s="619"/>
      <c r="J27" s="627"/>
    </row>
    <row r="28" spans="2:19" ht="15" thickTop="1" thickBot="1" x14ac:dyDescent="0.3">
      <c r="B28" s="624"/>
      <c r="F28" s="619"/>
      <c r="G28" s="698" t="s">
        <v>408</v>
      </c>
      <c r="H28" s="699"/>
      <c r="I28" s="700"/>
      <c r="J28" s="627"/>
      <c r="P28" s="701"/>
      <c r="S28" s="702" t="s">
        <v>461</v>
      </c>
    </row>
    <row r="29" spans="2:19" ht="14.4" thickTop="1" x14ac:dyDescent="0.25">
      <c r="B29" s="624"/>
      <c r="C29" s="703" t="s">
        <v>171</v>
      </c>
      <c r="D29" s="704"/>
      <c r="E29" s="705"/>
      <c r="F29" s="640"/>
      <c r="G29" s="706" t="s">
        <v>410</v>
      </c>
      <c r="H29" s="630"/>
      <c r="I29" s="707"/>
      <c r="J29" s="627"/>
      <c r="P29" s="708"/>
    </row>
    <row r="30" spans="2:19" x14ac:dyDescent="0.25">
      <c r="B30" s="624"/>
      <c r="C30" s="709" t="s">
        <v>239</v>
      </c>
      <c r="D30" s="710"/>
      <c r="E30" s="711"/>
      <c r="F30" s="619"/>
      <c r="G30" s="712" t="s">
        <v>411</v>
      </c>
      <c r="H30" s="713"/>
      <c r="I30" s="714"/>
      <c r="J30" s="627"/>
      <c r="L30" s="715">
        <f>IF(I33=0,,I32*1000000/1440/7.48/I33)</f>
        <v>0</v>
      </c>
      <c r="M30" s="618" t="s">
        <v>177</v>
      </c>
      <c r="P30" s="716"/>
    </row>
    <row r="31" spans="2:19" ht="16.2" x14ac:dyDescent="0.35">
      <c r="B31" s="624"/>
      <c r="C31" s="717" t="s">
        <v>464</v>
      </c>
      <c r="D31" s="718"/>
      <c r="E31" s="719"/>
      <c r="F31" s="619"/>
      <c r="G31" s="712" t="s">
        <v>409</v>
      </c>
      <c r="H31" s="713"/>
      <c r="I31" s="714"/>
      <c r="J31" s="627"/>
      <c r="L31" s="720">
        <f>IF(I30=0,,L30/SIN((I30*PI()/180)))</f>
        <v>0</v>
      </c>
      <c r="M31" s="618" t="s">
        <v>180</v>
      </c>
      <c r="P31" s="716"/>
    </row>
    <row r="32" spans="2:19" x14ac:dyDescent="0.25">
      <c r="B32" s="624"/>
      <c r="C32" s="721" t="s">
        <v>174</v>
      </c>
      <c r="D32" s="722"/>
      <c r="E32" s="687" t="str">
        <f>IF(E31=0,"CALCULATION",(IF(E30="",,E30*1000000/1440/7.48/E31*12*2.54)))</f>
        <v>CALCULATION</v>
      </c>
      <c r="F32" s="619"/>
      <c r="G32" s="712" t="s">
        <v>239</v>
      </c>
      <c r="H32" s="710"/>
      <c r="I32" s="723"/>
      <c r="J32" s="627"/>
      <c r="L32" s="708">
        <f>IF(I30=0,,I31/SIN((I30*PI()/180))/12)</f>
        <v>0</v>
      </c>
      <c r="M32" s="618" t="s">
        <v>176</v>
      </c>
      <c r="P32" s="716"/>
      <c r="S32" s="618" t="s">
        <v>462</v>
      </c>
    </row>
    <row r="33" spans="2:17" ht="16.2" x14ac:dyDescent="0.35">
      <c r="B33" s="624"/>
      <c r="C33" s="709" t="s">
        <v>172</v>
      </c>
      <c r="D33" s="710"/>
      <c r="E33" s="724"/>
      <c r="F33" s="619"/>
      <c r="G33" s="654" t="s">
        <v>464</v>
      </c>
      <c r="H33" s="713"/>
      <c r="I33" s="714"/>
      <c r="J33" s="627"/>
      <c r="L33" s="716">
        <f>IF(L30=0,,L32/L31)</f>
        <v>0</v>
      </c>
      <c r="M33" s="618" t="s">
        <v>178</v>
      </c>
    </row>
    <row r="34" spans="2:17" ht="14.4" thickBot="1" x14ac:dyDescent="0.3">
      <c r="B34" s="624"/>
      <c r="C34" s="725" t="s">
        <v>186</v>
      </c>
      <c r="D34" s="726"/>
      <c r="E34" s="727" t="str">
        <f>IF(E32="CALCULATION","CALCULATION",10/E32+E33)</f>
        <v>CALCULATION</v>
      </c>
      <c r="F34" s="619"/>
      <c r="G34" s="712" t="s">
        <v>175</v>
      </c>
      <c r="H34" s="713"/>
      <c r="I34" s="728" t="str">
        <f>IF(L33=0,"CALCULATION",L34/L33)</f>
        <v>CALCULATION</v>
      </c>
      <c r="J34" s="627"/>
      <c r="L34" s="716">
        <f>I29*2.54/COS(I30*PI()/180)</f>
        <v>0</v>
      </c>
      <c r="M34" s="618" t="s">
        <v>179</v>
      </c>
      <c r="Q34" s="618" t="s">
        <v>460</v>
      </c>
    </row>
    <row r="35" spans="2:17" ht="14.4" thickTop="1" x14ac:dyDescent="0.25">
      <c r="B35" s="624"/>
      <c r="C35" s="636" t="s">
        <v>173</v>
      </c>
      <c r="D35" s="636"/>
      <c r="E35" s="729"/>
      <c r="F35" s="640"/>
      <c r="G35" s="712" t="s">
        <v>172</v>
      </c>
      <c r="H35" s="710"/>
      <c r="I35" s="730"/>
      <c r="J35" s="627"/>
      <c r="M35" s="708"/>
    </row>
    <row r="36" spans="2:17" ht="14.4" thickBot="1" x14ac:dyDescent="0.3">
      <c r="B36" s="624"/>
      <c r="C36" s="619"/>
      <c r="D36" s="619"/>
      <c r="E36" s="619"/>
      <c r="F36" s="619"/>
      <c r="G36" s="731" t="s">
        <v>23</v>
      </c>
      <c r="H36" s="732"/>
      <c r="I36" s="733" t="str">
        <f>IF(I34="CALCULATION","CALCULATION",10/I34+I35)</f>
        <v>CALCULATION</v>
      </c>
      <c r="J36" s="627"/>
      <c r="L36" s="716"/>
    </row>
    <row r="37" spans="2:17" ht="14.4" thickTop="1" x14ac:dyDescent="0.25">
      <c r="B37" s="624"/>
      <c r="C37" s="619"/>
      <c r="D37" s="619"/>
      <c r="E37" s="701"/>
      <c r="F37" s="734"/>
      <c r="G37" s="619"/>
      <c r="H37" s="619"/>
      <c r="I37" s="701"/>
      <c r="J37" s="627"/>
    </row>
    <row r="38" spans="2:17" x14ac:dyDescent="0.25">
      <c r="B38" s="624"/>
      <c r="C38" s="619"/>
      <c r="D38" s="619"/>
      <c r="E38" s="735"/>
      <c r="F38" s="734"/>
      <c r="G38" s="619"/>
      <c r="H38" s="619"/>
      <c r="I38" s="735"/>
      <c r="J38" s="627"/>
    </row>
    <row r="39" spans="2:17" x14ac:dyDescent="0.25">
      <c r="B39" s="624"/>
      <c r="C39" s="619"/>
      <c r="D39" s="619"/>
      <c r="E39" s="619"/>
      <c r="F39" s="619"/>
      <c r="G39" s="619"/>
      <c r="H39" s="619"/>
      <c r="J39" s="627"/>
    </row>
    <row r="40" spans="2:17" x14ac:dyDescent="0.25">
      <c r="B40" s="628"/>
      <c r="C40" s="630"/>
      <c r="D40" s="630"/>
      <c r="E40" s="630"/>
      <c r="F40" s="630"/>
      <c r="G40" s="630"/>
      <c r="H40" s="630"/>
      <c r="I40" s="736"/>
      <c r="J40" s="631"/>
    </row>
    <row r="41" spans="2:17" ht="15.6" x14ac:dyDescent="0.3">
      <c r="B41" s="624"/>
      <c r="C41" s="619"/>
      <c r="D41" s="619"/>
      <c r="E41" s="737"/>
      <c r="F41" s="619"/>
      <c r="G41" s="619"/>
      <c r="H41" s="619"/>
      <c r="J41" s="627"/>
    </row>
    <row r="42" spans="2:17" x14ac:dyDescent="0.25">
      <c r="B42" s="624"/>
      <c r="C42" s="619"/>
      <c r="D42" s="619"/>
      <c r="E42" s="619"/>
      <c r="F42" s="619"/>
      <c r="G42" s="619"/>
      <c r="H42" s="619"/>
      <c r="J42" s="627"/>
    </row>
    <row r="43" spans="2:17" x14ac:dyDescent="0.25">
      <c r="B43" s="624"/>
      <c r="C43" s="619"/>
      <c r="D43" s="619"/>
      <c r="E43" s="619"/>
      <c r="F43" s="619"/>
      <c r="G43" s="619"/>
      <c r="H43" s="619"/>
      <c r="J43" s="627"/>
    </row>
    <row r="44" spans="2:17" x14ac:dyDescent="0.25">
      <c r="B44" s="624"/>
      <c r="C44" s="619"/>
      <c r="D44" s="619"/>
      <c r="E44" s="619"/>
      <c r="F44" s="619"/>
      <c r="G44" s="619"/>
      <c r="H44" s="619"/>
      <c r="J44" s="627"/>
    </row>
    <row r="45" spans="2:17" x14ac:dyDescent="0.25">
      <c r="B45" s="624"/>
      <c r="C45" s="619"/>
      <c r="D45" s="619"/>
      <c r="E45" s="619"/>
      <c r="F45" s="619"/>
      <c r="G45" s="619"/>
      <c r="H45" s="619"/>
      <c r="J45" s="627"/>
    </row>
    <row r="46" spans="2:17" x14ac:dyDescent="0.25">
      <c r="B46" s="624"/>
      <c r="C46" s="619"/>
      <c r="D46" s="619"/>
      <c r="E46" s="619"/>
      <c r="F46" s="619"/>
      <c r="G46" s="619"/>
      <c r="H46" s="619"/>
      <c r="J46" s="627"/>
    </row>
    <row r="47" spans="2:17" x14ac:dyDescent="0.25">
      <c r="B47" s="624"/>
      <c r="C47" s="619"/>
      <c r="D47" s="619"/>
      <c r="E47" s="619"/>
      <c r="F47" s="619"/>
      <c r="G47" s="619"/>
      <c r="H47" s="619"/>
      <c r="J47" s="627"/>
    </row>
    <row r="48" spans="2:17" x14ac:dyDescent="0.25">
      <c r="B48" s="624"/>
      <c r="C48" s="619"/>
      <c r="D48" s="619"/>
      <c r="E48" s="619"/>
      <c r="F48" s="619"/>
      <c r="G48" s="619"/>
      <c r="H48" s="619"/>
      <c r="J48" s="627"/>
    </row>
    <row r="49" spans="2:10" x14ac:dyDescent="0.25">
      <c r="B49" s="624"/>
      <c r="C49" s="619"/>
      <c r="D49" s="619"/>
      <c r="E49" s="619"/>
      <c r="F49" s="619"/>
      <c r="G49" s="619"/>
      <c r="H49" s="619"/>
      <c r="J49" s="627"/>
    </row>
    <row r="50" spans="2:10" x14ac:dyDescent="0.25">
      <c r="B50" s="624"/>
      <c r="C50" s="619"/>
      <c r="D50" s="619"/>
      <c r="E50" s="619"/>
      <c r="F50" s="619"/>
      <c r="G50" s="619"/>
      <c r="H50" s="619"/>
      <c r="J50" s="627"/>
    </row>
    <row r="51" spans="2:10" x14ac:dyDescent="0.25">
      <c r="B51" s="624"/>
      <c r="C51" s="619"/>
      <c r="D51" s="619"/>
      <c r="E51" s="619"/>
      <c r="F51" s="619"/>
      <c r="G51" s="619"/>
      <c r="H51" s="619"/>
      <c r="J51" s="627"/>
    </row>
    <row r="52" spans="2:10" x14ac:dyDescent="0.25">
      <c r="B52" s="624"/>
      <c r="C52" s="619"/>
      <c r="D52" s="619"/>
      <c r="E52" s="619"/>
      <c r="F52" s="619"/>
      <c r="G52" s="619"/>
      <c r="H52" s="619"/>
      <c r="J52" s="627"/>
    </row>
    <row r="53" spans="2:10" x14ac:dyDescent="0.25">
      <c r="B53" s="624"/>
      <c r="C53" s="619"/>
      <c r="D53" s="619"/>
      <c r="E53" s="619"/>
      <c r="F53" s="619"/>
      <c r="G53" s="619"/>
      <c r="H53" s="619"/>
      <c r="J53" s="627"/>
    </row>
    <row r="54" spans="2:10" x14ac:dyDescent="0.25">
      <c r="B54" s="624"/>
      <c r="C54" s="619"/>
      <c r="D54" s="619"/>
      <c r="E54" s="619"/>
      <c r="F54" s="619"/>
      <c r="G54" s="619"/>
      <c r="H54" s="619"/>
      <c r="J54" s="627"/>
    </row>
    <row r="55" spans="2:10" x14ac:dyDescent="0.25">
      <c r="B55" s="624"/>
      <c r="C55" s="619"/>
      <c r="D55" s="619"/>
      <c r="E55" s="619"/>
      <c r="F55" s="619"/>
      <c r="G55" s="619"/>
      <c r="H55" s="619"/>
      <c r="J55" s="627"/>
    </row>
    <row r="56" spans="2:10" x14ac:dyDescent="0.25">
      <c r="B56" s="624"/>
      <c r="C56" s="619"/>
      <c r="D56" s="619"/>
      <c r="E56" s="619"/>
      <c r="F56" s="619"/>
      <c r="G56" s="619"/>
      <c r="H56" s="619"/>
      <c r="J56" s="627"/>
    </row>
    <row r="57" spans="2:10" x14ac:dyDescent="0.25">
      <c r="B57" s="624"/>
      <c r="C57" s="619"/>
      <c r="D57" s="619"/>
      <c r="E57" s="619"/>
      <c r="F57" s="619"/>
      <c r="G57" s="619"/>
      <c r="H57" s="619"/>
      <c r="J57" s="627"/>
    </row>
    <row r="58" spans="2:10" x14ac:dyDescent="0.25">
      <c r="B58" s="624"/>
      <c r="C58" s="619"/>
      <c r="D58" s="619"/>
      <c r="E58" s="619"/>
      <c r="F58" s="619"/>
      <c r="G58" s="619"/>
      <c r="H58" s="619"/>
      <c r="J58" s="627"/>
    </row>
    <row r="59" spans="2:10" x14ac:dyDescent="0.25">
      <c r="B59" s="624"/>
      <c r="C59" s="619"/>
      <c r="D59" s="619"/>
      <c r="E59" s="619"/>
      <c r="F59" s="619"/>
      <c r="G59" s="619"/>
      <c r="H59" s="619"/>
      <c r="J59" s="627"/>
    </row>
    <row r="60" spans="2:10" x14ac:dyDescent="0.25">
      <c r="B60" s="624"/>
      <c r="C60" s="619"/>
      <c r="D60" s="619"/>
      <c r="E60" s="619"/>
      <c r="F60" s="619"/>
      <c r="G60" s="619"/>
      <c r="H60" s="619"/>
      <c r="J60" s="627"/>
    </row>
    <row r="61" spans="2:10" x14ac:dyDescent="0.25">
      <c r="B61" s="624"/>
      <c r="C61" s="619"/>
      <c r="D61" s="619"/>
      <c r="E61" s="619"/>
      <c r="F61" s="619"/>
      <c r="G61" s="619"/>
      <c r="H61" s="619"/>
      <c r="J61" s="627"/>
    </row>
    <row r="62" spans="2:10" x14ac:dyDescent="0.25">
      <c r="B62" s="624"/>
      <c r="C62" s="619"/>
      <c r="D62" s="619"/>
      <c r="E62" s="619"/>
      <c r="F62" s="619"/>
      <c r="G62" s="619"/>
      <c r="H62" s="619"/>
      <c r="J62" s="627"/>
    </row>
    <row r="63" spans="2:10" x14ac:dyDescent="0.25">
      <c r="B63" s="624"/>
      <c r="C63" s="619"/>
      <c r="D63" s="619"/>
      <c r="E63" s="619"/>
      <c r="F63" s="619"/>
      <c r="G63" s="619"/>
      <c r="H63" s="619"/>
      <c r="J63" s="627"/>
    </row>
    <row r="64" spans="2:10" x14ac:dyDescent="0.25">
      <c r="B64" s="624"/>
      <c r="C64" s="619"/>
      <c r="D64" s="619"/>
      <c r="E64" s="619"/>
      <c r="F64" s="619"/>
      <c r="G64" s="619"/>
      <c r="H64" s="619"/>
      <c r="J64" s="627"/>
    </row>
    <row r="65" spans="2:10" x14ac:dyDescent="0.25">
      <c r="B65" s="624"/>
      <c r="C65" s="619"/>
      <c r="D65" s="619"/>
      <c r="E65" s="619"/>
      <c r="F65" s="619"/>
      <c r="G65" s="619"/>
      <c r="H65" s="619"/>
      <c r="J65" s="627"/>
    </row>
    <row r="66" spans="2:10" ht="14.4" thickBot="1" x14ac:dyDescent="0.3">
      <c r="B66" s="738"/>
      <c r="C66" s="739"/>
      <c r="D66" s="739"/>
      <c r="E66" s="739"/>
      <c r="F66" s="739"/>
      <c r="G66" s="739"/>
      <c r="H66" s="739"/>
      <c r="I66" s="739"/>
      <c r="J66" s="740"/>
    </row>
    <row r="70" spans="2:10" x14ac:dyDescent="0.25">
      <c r="C70" s="647"/>
      <c r="D70" s="741"/>
      <c r="E70" s="741"/>
      <c r="F70" s="741"/>
    </row>
    <row r="71" spans="2:10" x14ac:dyDescent="0.25">
      <c r="D71" s="742"/>
      <c r="E71" s="743"/>
      <c r="F71" s="744"/>
    </row>
    <row r="72" spans="2:10" x14ac:dyDescent="0.25">
      <c r="D72" s="742"/>
      <c r="E72" s="743"/>
      <c r="F72" s="744"/>
    </row>
    <row r="73" spans="2:10" x14ac:dyDescent="0.25">
      <c r="D73" s="742"/>
      <c r="E73" s="743"/>
      <c r="F73" s="744"/>
    </row>
    <row r="74" spans="2:10" x14ac:dyDescent="0.25">
      <c r="D74" s="742"/>
      <c r="E74" s="743"/>
      <c r="F74" s="744"/>
    </row>
  </sheetData>
  <phoneticPr fontId="0" type="noConversion"/>
  <printOptions gridLinesSet="0"/>
  <pageMargins left="1" right="0.75" top="0.75" bottom="0.75" header="0.5" footer="0.5"/>
  <pageSetup scale="70" orientation="portrait" blackAndWhite="1" horizontalDpi="300" verticalDpi="300" r:id="rId1"/>
  <headerFooter alignWithMargins="0">
    <oddFooter>&amp;L&amp;D&amp;C&amp;F&amp;RPage 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4" r:id="rId4" name="Button 380">
              <controlPr defaultSize="0" print="0" autoFill="0" autoPict="0" macro="[0]!GoToHydraulic">
                <anchor moveWithCells="1" sizeWithCells="1">
                  <from>
                    <xdr:col>6</xdr:col>
                    <xdr:colOff>411480</xdr:colOff>
                    <xdr:row>6</xdr:row>
                    <xdr:rowOff>106680</xdr:rowOff>
                  </from>
                  <to>
                    <xdr:col>9</xdr:col>
                    <xdr:colOff>76200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5" name="Button 381">
              <controlPr defaultSize="0" print="0" autoFill="0" autoPict="0" macro="[0]!GoToTurbine">
                <anchor moveWithCells="1" sizeWithCells="1">
                  <from>
                    <xdr:col>6</xdr:col>
                    <xdr:colOff>441960</xdr:colOff>
                    <xdr:row>10</xdr:row>
                    <xdr:rowOff>144780</xdr:rowOff>
                  </from>
                  <to>
                    <xdr:col>9</xdr:col>
                    <xdr:colOff>99060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6" name="Button 382">
              <controlPr defaultSize="0" print="0" autoFill="0" autoPict="0" macro="[0]!GotoDataEntryScreen">
                <anchor moveWithCells="1" sizeWithCells="1">
                  <from>
                    <xdr:col>6</xdr:col>
                    <xdr:colOff>411480</xdr:colOff>
                    <xdr:row>4</xdr:row>
                    <xdr:rowOff>60960</xdr:rowOff>
                  </from>
                  <to>
                    <xdr:col>9</xdr:col>
                    <xdr:colOff>45720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7" name="Button 386">
              <controlPr defaultSize="0" print="0" autoFill="0" autoPict="0" macro="[0]!GoToPaddle">
                <anchor moveWithCells="1" sizeWithCells="1">
                  <from>
                    <xdr:col>7</xdr:col>
                    <xdr:colOff>251460</xdr:colOff>
                    <xdr:row>19</xdr:row>
                    <xdr:rowOff>38100</xdr:rowOff>
                  </from>
                  <to>
                    <xdr:col>9</xdr:col>
                    <xdr:colOff>68580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" name="Button 387">
              <controlPr defaultSize="0" print="0" autoFill="0" autoPict="0" macro="[0]!GoToBeam">
                <anchor moveWithCells="1" sizeWithCells="1">
                  <from>
                    <xdr:col>7</xdr:col>
                    <xdr:colOff>251460</xdr:colOff>
                    <xdr:row>21</xdr:row>
                    <xdr:rowOff>76200</xdr:rowOff>
                  </from>
                  <to>
                    <xdr:col>9</xdr:col>
                    <xdr:colOff>99060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9" name="Button 393">
              <controlPr defaultSize="0" print="0" autoFill="0" autoPict="0" macro="[0]!GotoNozzle">
                <anchor moveWithCells="1" sizeWithCells="1">
                  <from>
                    <xdr:col>6</xdr:col>
                    <xdr:colOff>419100</xdr:colOff>
                    <xdr:row>8</xdr:row>
                    <xdr:rowOff>114300</xdr:rowOff>
                  </from>
                  <to>
                    <xdr:col>9</xdr:col>
                    <xdr:colOff>83820</xdr:colOff>
                    <xdr:row>10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K77"/>
  <sheetViews>
    <sheetView showGridLines="0" view="pageBreakPreview" topLeftCell="A42" zoomScale="60" zoomScaleNormal="75" workbookViewId="0">
      <selection activeCell="B61" sqref="B61:B62"/>
    </sheetView>
  </sheetViews>
  <sheetFormatPr defaultColWidth="8.8984375" defaultRowHeight="20.399999999999999" x14ac:dyDescent="0.35"/>
  <cols>
    <col min="1" max="1" width="2.796875" style="542" customWidth="1"/>
    <col min="2" max="2" width="48.796875" style="542" customWidth="1"/>
    <col min="3" max="6" width="32.796875" style="542" customWidth="1"/>
    <col min="7" max="7" width="2.796875" style="542" customWidth="1"/>
    <col min="8" max="16384" width="8.8984375" style="542"/>
  </cols>
  <sheetData>
    <row r="1" spans="2:11" ht="27.9" customHeight="1" thickBot="1" x14ac:dyDescent="0.45">
      <c r="B1" s="540" t="s">
        <v>499</v>
      </c>
      <c r="C1" s="540"/>
      <c r="D1" s="540"/>
      <c r="E1" s="540"/>
      <c r="F1" s="540"/>
      <c r="G1" s="541"/>
      <c r="H1" s="541"/>
      <c r="I1" s="541"/>
      <c r="J1" s="541"/>
      <c r="K1" s="541"/>
    </row>
    <row r="2" spans="2:11" ht="27.9" customHeight="1" x14ac:dyDescent="0.4">
      <c r="B2" s="543" t="s">
        <v>386</v>
      </c>
      <c r="C2" s="544"/>
      <c r="D2" s="544"/>
      <c r="E2" s="544"/>
      <c r="F2" s="545"/>
    </row>
    <row r="3" spans="2:11" s="550" customFormat="1" ht="27.9" customHeight="1" x14ac:dyDescent="0.4">
      <c r="B3" s="546" t="s">
        <v>98</v>
      </c>
      <c r="C3" s="547" t="s">
        <v>293</v>
      </c>
      <c r="D3" s="547" t="s">
        <v>294</v>
      </c>
      <c r="E3" s="548" t="s">
        <v>415</v>
      </c>
      <c r="F3" s="549" t="s">
        <v>416</v>
      </c>
    </row>
    <row r="4" spans="2:11" ht="27.9" customHeight="1" x14ac:dyDescent="0.4">
      <c r="B4" s="551" t="s">
        <v>421</v>
      </c>
      <c r="C4" s="584"/>
      <c r="D4" s="584"/>
      <c r="E4" s="547"/>
      <c r="F4" s="552"/>
    </row>
    <row r="5" spans="2:11" ht="27.9" customHeight="1" x14ac:dyDescent="0.4">
      <c r="B5" s="553" t="s">
        <v>397</v>
      </c>
      <c r="C5" s="584"/>
      <c r="D5" s="584"/>
      <c r="E5" s="547"/>
      <c r="F5" s="552"/>
    </row>
    <row r="6" spans="2:11" ht="27.9" customHeight="1" x14ac:dyDescent="0.4">
      <c r="B6" s="553" t="s">
        <v>398</v>
      </c>
      <c r="C6" s="584"/>
      <c r="D6" s="584"/>
      <c r="E6" s="547"/>
      <c r="F6" s="552"/>
    </row>
    <row r="7" spans="2:11" ht="27.9" customHeight="1" x14ac:dyDescent="0.4">
      <c r="B7" s="554" t="s">
        <v>399</v>
      </c>
      <c r="C7" s="754"/>
      <c r="D7" s="754"/>
      <c r="E7" s="547"/>
      <c r="F7" s="552"/>
    </row>
    <row r="8" spans="2:11" ht="27.9" customHeight="1" x14ac:dyDescent="0.4">
      <c r="B8" s="555" t="s">
        <v>422</v>
      </c>
      <c r="C8" s="547"/>
      <c r="D8" s="547"/>
      <c r="E8" s="547"/>
      <c r="F8" s="556"/>
    </row>
    <row r="9" spans="2:11" ht="27.9" customHeight="1" x14ac:dyDescent="0.4">
      <c r="B9" s="554" t="s">
        <v>400</v>
      </c>
      <c r="C9" s="547"/>
      <c r="D9" s="547"/>
      <c r="E9" s="547"/>
      <c r="F9" s="556"/>
    </row>
    <row r="10" spans="2:11" ht="27.9" customHeight="1" x14ac:dyDescent="0.4">
      <c r="B10" s="557" t="s">
        <v>414</v>
      </c>
      <c r="C10" s="541"/>
      <c r="D10" s="541"/>
      <c r="E10" s="541"/>
      <c r="F10" s="558"/>
    </row>
    <row r="11" spans="2:11" ht="27.9" customHeight="1" x14ac:dyDescent="0.4">
      <c r="B11" s="559"/>
      <c r="C11" s="541"/>
      <c r="D11" s="541"/>
      <c r="E11" s="541"/>
      <c r="F11" s="558"/>
    </row>
    <row r="12" spans="2:11" ht="27.9" customHeight="1" x14ac:dyDescent="0.4">
      <c r="B12" s="559"/>
      <c r="C12" s="541"/>
      <c r="D12" s="541"/>
      <c r="E12" s="541"/>
      <c r="F12" s="558"/>
    </row>
    <row r="13" spans="2:11" ht="27.9" customHeight="1" x14ac:dyDescent="0.4">
      <c r="B13" s="559"/>
      <c r="C13" s="541"/>
      <c r="D13" s="541"/>
      <c r="E13" s="541"/>
      <c r="F13" s="558"/>
    </row>
    <row r="14" spans="2:11" ht="27.9" customHeight="1" x14ac:dyDescent="0.4">
      <c r="B14" s="557"/>
      <c r="C14" s="541"/>
      <c r="D14" s="541"/>
      <c r="E14" s="541"/>
      <c r="F14" s="558"/>
    </row>
    <row r="15" spans="2:11" ht="27.9" customHeight="1" x14ac:dyDescent="0.4">
      <c r="B15" s="560" t="s">
        <v>387</v>
      </c>
      <c r="C15" s="561"/>
      <c r="D15" s="562"/>
      <c r="E15" s="562"/>
      <c r="F15" s="563"/>
    </row>
    <row r="16" spans="2:11" ht="27.9" customHeight="1" x14ac:dyDescent="0.4">
      <c r="B16" s="564" t="s">
        <v>423</v>
      </c>
      <c r="C16" s="747" t="s">
        <v>465</v>
      </c>
      <c r="D16" s="588" t="s">
        <v>466</v>
      </c>
      <c r="E16" s="588" t="s">
        <v>467</v>
      </c>
      <c r="F16" s="566"/>
    </row>
    <row r="17" spans="2:7" ht="27.9" customHeight="1" x14ac:dyDescent="0.35">
      <c r="B17" s="554" t="s">
        <v>476</v>
      </c>
      <c r="C17" s="567"/>
      <c r="D17" s="568"/>
      <c r="E17" s="567"/>
      <c r="F17" s="566"/>
    </row>
    <row r="18" spans="2:7" ht="27.9" customHeight="1" x14ac:dyDescent="0.35">
      <c r="B18" s="554" t="s">
        <v>509</v>
      </c>
      <c r="C18" s="755"/>
      <c r="D18" s="756"/>
      <c r="E18" s="755"/>
      <c r="F18" s="566"/>
    </row>
    <row r="19" spans="2:7" ht="27.9" customHeight="1" x14ac:dyDescent="0.35">
      <c r="B19" s="554" t="s">
        <v>424</v>
      </c>
      <c r="C19" s="565"/>
      <c r="D19" s="565"/>
      <c r="E19" s="565"/>
      <c r="F19" s="569"/>
    </row>
    <row r="20" spans="2:7" ht="27.9" customHeight="1" x14ac:dyDescent="0.4">
      <c r="B20" s="564" t="s">
        <v>418</v>
      </c>
      <c r="C20" s="565"/>
      <c r="D20" s="565"/>
      <c r="E20" s="565"/>
      <c r="F20" s="570"/>
    </row>
    <row r="21" spans="2:7" ht="27.9" customHeight="1" x14ac:dyDescent="0.35">
      <c r="B21" s="554" t="s">
        <v>388</v>
      </c>
      <c r="C21" s="565"/>
      <c r="D21" s="565"/>
      <c r="E21" s="565"/>
      <c r="F21" s="566"/>
    </row>
    <row r="22" spans="2:7" ht="27.9" customHeight="1" x14ac:dyDescent="0.35">
      <c r="B22" s="554" t="s">
        <v>510</v>
      </c>
      <c r="C22" s="565"/>
      <c r="D22" s="565"/>
      <c r="E22" s="565"/>
      <c r="F22" s="566"/>
    </row>
    <row r="23" spans="2:7" ht="27.9" customHeight="1" x14ac:dyDescent="0.35">
      <c r="B23" s="553" t="s">
        <v>511</v>
      </c>
      <c r="C23" s="565"/>
      <c r="D23" s="565"/>
      <c r="E23" s="565"/>
      <c r="F23" s="566"/>
    </row>
    <row r="24" spans="2:7" ht="27.9" customHeight="1" x14ac:dyDescent="0.35">
      <c r="B24" s="554" t="s">
        <v>389</v>
      </c>
      <c r="C24" s="565"/>
      <c r="D24" s="565"/>
      <c r="E24" s="565"/>
      <c r="F24" s="566"/>
    </row>
    <row r="25" spans="2:7" ht="27.9" customHeight="1" x14ac:dyDescent="0.35">
      <c r="B25" s="571" t="s">
        <v>470</v>
      </c>
      <c r="C25" s="572"/>
      <c r="D25" s="572"/>
      <c r="E25" s="572"/>
      <c r="F25" s="573"/>
    </row>
    <row r="26" spans="2:7" ht="27.9" customHeight="1" x14ac:dyDescent="0.35">
      <c r="B26" s="559"/>
      <c r="F26" s="570"/>
    </row>
    <row r="27" spans="2:7" ht="27.9" customHeight="1" x14ac:dyDescent="0.35">
      <c r="B27" s="559"/>
      <c r="F27" s="570"/>
    </row>
    <row r="28" spans="2:7" ht="27.9" customHeight="1" x14ac:dyDescent="0.35">
      <c r="B28" s="559"/>
      <c r="F28" s="570"/>
    </row>
    <row r="29" spans="2:7" ht="27.9" customHeight="1" thickBot="1" x14ac:dyDescent="0.4">
      <c r="B29" s="574"/>
      <c r="C29" s="575"/>
      <c r="D29" s="575"/>
      <c r="E29" s="575"/>
      <c r="F29" s="576"/>
    </row>
    <row r="30" spans="2:7" ht="27.9" customHeight="1" x14ac:dyDescent="0.4">
      <c r="B30" s="577" t="s">
        <v>417</v>
      </c>
      <c r="C30" s="577"/>
      <c r="D30" s="577"/>
      <c r="E30" s="577"/>
      <c r="F30" s="577"/>
      <c r="G30" s="541"/>
    </row>
    <row r="31" spans="2:7" ht="27.9" customHeight="1" x14ac:dyDescent="0.4">
      <c r="B31" s="578" t="s">
        <v>390</v>
      </c>
      <c r="C31" s="579"/>
      <c r="D31" s="579"/>
      <c r="E31" s="579"/>
      <c r="F31" s="580"/>
    </row>
    <row r="32" spans="2:7" ht="27.9" customHeight="1" x14ac:dyDescent="0.35">
      <c r="B32" s="581" t="s">
        <v>425</v>
      </c>
      <c r="C32" s="582"/>
      <c r="D32" s="582"/>
      <c r="E32" s="582"/>
      <c r="F32" s="583"/>
    </row>
    <row r="33" spans="2:6" ht="27.9" customHeight="1" x14ac:dyDescent="0.4">
      <c r="B33" s="564" t="s">
        <v>418</v>
      </c>
      <c r="C33" s="588" t="s">
        <v>12</v>
      </c>
      <c r="D33" s="588" t="s">
        <v>13</v>
      </c>
      <c r="E33" s="588" t="s">
        <v>14</v>
      </c>
      <c r="F33" s="746" t="s">
        <v>497</v>
      </c>
    </row>
    <row r="34" spans="2:6" ht="27.9" customHeight="1" x14ac:dyDescent="0.35">
      <c r="B34" s="745" t="s">
        <v>544</v>
      </c>
      <c r="C34" s="748"/>
      <c r="D34" s="748"/>
      <c r="E34" s="748"/>
      <c r="F34" s="749"/>
    </row>
    <row r="35" spans="2:6" ht="27.9" customHeight="1" x14ac:dyDescent="0.35">
      <c r="B35" s="554" t="s">
        <v>510</v>
      </c>
      <c r="C35" s="748"/>
      <c r="D35" s="748"/>
      <c r="E35" s="748"/>
      <c r="F35" s="750"/>
    </row>
    <row r="36" spans="2:6" ht="27.9" customHeight="1" x14ac:dyDescent="0.35">
      <c r="B36" s="554" t="s">
        <v>388</v>
      </c>
      <c r="C36" s="748"/>
      <c r="D36" s="748"/>
      <c r="E36" s="748"/>
      <c r="F36" s="750"/>
    </row>
    <row r="37" spans="2:6" ht="27.9" customHeight="1" x14ac:dyDescent="0.35">
      <c r="B37" s="553" t="s">
        <v>511</v>
      </c>
      <c r="C37" s="751"/>
      <c r="D37" s="751"/>
      <c r="E37" s="751"/>
      <c r="F37" s="751"/>
    </row>
    <row r="38" spans="2:6" ht="27.9" customHeight="1" x14ac:dyDescent="0.35">
      <c r="B38" s="554" t="s">
        <v>389</v>
      </c>
      <c r="C38" s="752"/>
      <c r="D38" s="752"/>
      <c r="E38" s="752"/>
      <c r="F38" s="753"/>
    </row>
    <row r="39" spans="2:6" ht="27.9" customHeight="1" x14ac:dyDescent="0.4">
      <c r="B39" s="555" t="s">
        <v>419</v>
      </c>
      <c r="C39" s="565"/>
      <c r="D39" s="565"/>
      <c r="E39" s="565"/>
      <c r="F39" s="566"/>
    </row>
    <row r="40" spans="2:6" ht="27.9" customHeight="1" x14ac:dyDescent="0.35">
      <c r="B40" s="554" t="s">
        <v>512</v>
      </c>
      <c r="C40" s="584"/>
      <c r="D40" s="584"/>
      <c r="E40" s="584"/>
      <c r="F40" s="585"/>
    </row>
    <row r="41" spans="2:6" ht="27.9" customHeight="1" x14ac:dyDescent="0.35">
      <c r="B41" s="554" t="s">
        <v>391</v>
      </c>
      <c r="C41" s="588"/>
      <c r="D41" s="588"/>
      <c r="E41" s="588"/>
      <c r="F41" s="589"/>
    </row>
    <row r="42" spans="2:6" ht="27.9" customHeight="1" x14ac:dyDescent="0.35">
      <c r="B42" s="554" t="s">
        <v>511</v>
      </c>
      <c r="C42" s="586"/>
      <c r="D42" s="586"/>
      <c r="E42" s="586"/>
      <c r="F42" s="586"/>
    </row>
    <row r="43" spans="2:6" ht="27.9" customHeight="1" x14ac:dyDescent="0.35">
      <c r="B43" s="553" t="s">
        <v>392</v>
      </c>
      <c r="C43" s="565"/>
      <c r="D43" s="565"/>
      <c r="E43" s="565"/>
      <c r="F43" s="587"/>
    </row>
    <row r="44" spans="2:6" ht="27.9" customHeight="1" x14ac:dyDescent="0.4">
      <c r="B44" s="555" t="s">
        <v>420</v>
      </c>
      <c r="C44" s="590"/>
      <c r="D44" s="565"/>
      <c r="E44" s="565"/>
      <c r="F44" s="587"/>
    </row>
    <row r="45" spans="2:6" ht="27.9" customHeight="1" x14ac:dyDescent="0.35">
      <c r="B45" s="554" t="s">
        <v>512</v>
      </c>
      <c r="C45" s="590"/>
      <c r="D45" s="565"/>
      <c r="E45" s="565"/>
      <c r="F45" s="587"/>
    </row>
    <row r="46" spans="2:6" ht="27.9" customHeight="1" x14ac:dyDescent="0.35">
      <c r="B46" s="554" t="s">
        <v>426</v>
      </c>
      <c r="C46" s="590"/>
      <c r="D46" s="565"/>
      <c r="E46" s="565"/>
      <c r="F46" s="587"/>
    </row>
    <row r="47" spans="2:6" ht="27.9" customHeight="1" x14ac:dyDescent="0.35">
      <c r="B47" s="554" t="s">
        <v>511</v>
      </c>
      <c r="C47" s="565"/>
      <c r="D47" s="565"/>
      <c r="E47" s="565"/>
      <c r="F47" s="587"/>
    </row>
    <row r="48" spans="2:6" ht="27.9" customHeight="1" x14ac:dyDescent="0.35">
      <c r="B48" s="553" t="s">
        <v>392</v>
      </c>
      <c r="C48" s="565"/>
      <c r="D48" s="565"/>
      <c r="E48" s="565"/>
      <c r="F48" s="587"/>
    </row>
    <row r="49" spans="2:6" ht="27.9" customHeight="1" x14ac:dyDescent="0.35">
      <c r="B49" s="571" t="s">
        <v>414</v>
      </c>
      <c r="C49" s="572"/>
      <c r="D49" s="572"/>
      <c r="E49" s="572"/>
      <c r="F49" s="573"/>
    </row>
    <row r="50" spans="2:6" ht="27.9" customHeight="1" x14ac:dyDescent="0.35">
      <c r="B50" s="559"/>
      <c r="F50" s="570"/>
    </row>
    <row r="51" spans="2:6" ht="27.9" customHeight="1" x14ac:dyDescent="0.35">
      <c r="B51" s="559"/>
      <c r="C51" s="591"/>
      <c r="D51" s="591"/>
      <c r="E51" s="591"/>
      <c r="F51" s="569"/>
    </row>
    <row r="52" spans="2:6" ht="27.9" customHeight="1" x14ac:dyDescent="0.4">
      <c r="B52" s="592" t="s">
        <v>393</v>
      </c>
      <c r="C52" s="562"/>
      <c r="D52" s="562"/>
      <c r="E52" s="562"/>
      <c r="F52" s="563"/>
    </row>
    <row r="53" spans="2:6" ht="27.9" customHeight="1" x14ac:dyDescent="0.4">
      <c r="B53" s="593" t="s">
        <v>394</v>
      </c>
      <c r="F53" s="570"/>
    </row>
    <row r="54" spans="2:6" ht="27.9" customHeight="1" x14ac:dyDescent="0.35">
      <c r="B54" s="554" t="s">
        <v>513</v>
      </c>
      <c r="C54" s="594"/>
      <c r="D54" s="595"/>
      <c r="E54" s="595"/>
      <c r="F54" s="566"/>
    </row>
    <row r="55" spans="2:6" ht="27.9" customHeight="1" x14ac:dyDescent="0.4">
      <c r="B55" s="555" t="s">
        <v>395</v>
      </c>
      <c r="F55" s="570"/>
    </row>
    <row r="56" spans="2:6" ht="27.9" customHeight="1" x14ac:dyDescent="0.35">
      <c r="B56" s="553" t="s">
        <v>401</v>
      </c>
      <c r="C56" s="596"/>
      <c r="D56" s="595"/>
      <c r="E56" s="595"/>
      <c r="F56" s="566"/>
    </row>
    <row r="57" spans="2:6" ht="27.9" customHeight="1" x14ac:dyDescent="0.35">
      <c r="B57" s="554" t="s">
        <v>402</v>
      </c>
      <c r="C57" s="596"/>
      <c r="D57" s="595"/>
      <c r="E57" s="595"/>
      <c r="F57" s="566"/>
    </row>
    <row r="58" spans="2:6" ht="27.9" customHeight="1" x14ac:dyDescent="0.35">
      <c r="B58" s="554" t="s">
        <v>396</v>
      </c>
      <c r="C58" s="597"/>
      <c r="D58" s="595"/>
      <c r="E58" s="595"/>
      <c r="F58" s="566"/>
    </row>
    <row r="59" spans="2:6" ht="27.9" customHeight="1" thickBot="1" x14ac:dyDescent="0.4">
      <c r="B59" s="598" t="s">
        <v>514</v>
      </c>
      <c r="C59" s="599"/>
      <c r="D59" s="600"/>
      <c r="E59" s="600"/>
      <c r="F59" s="601"/>
    </row>
    <row r="60" spans="2:6" ht="27.9" customHeight="1" x14ac:dyDescent="0.35">
      <c r="B60" s="571" t="s">
        <v>414</v>
      </c>
      <c r="C60" s="572"/>
      <c r="D60" s="572"/>
      <c r="E60" s="572"/>
      <c r="F60" s="573"/>
    </row>
    <row r="61" spans="2:6" ht="27.9" customHeight="1" x14ac:dyDescent="0.35">
      <c r="B61" s="559"/>
      <c r="F61" s="570"/>
    </row>
    <row r="62" spans="2:6" ht="27.9" customHeight="1" thickBot="1" x14ac:dyDescent="0.4">
      <c r="B62" s="574"/>
      <c r="C62" s="575"/>
      <c r="D62" s="575"/>
      <c r="E62" s="575"/>
      <c r="F62" s="576"/>
    </row>
    <row r="63" spans="2:6" ht="27.9" customHeight="1" x14ac:dyDescent="0.35">
      <c r="B63" s="542" t="s">
        <v>515</v>
      </c>
    </row>
    <row r="64" spans="2:6" ht="18" customHeight="1" x14ac:dyDescent="0.35">
      <c r="C64" s="602"/>
    </row>
    <row r="65" spans="3:3" ht="18" customHeight="1" x14ac:dyDescent="0.35">
      <c r="C65" s="602"/>
    </row>
    <row r="66" spans="3:3" ht="18" customHeight="1" x14ac:dyDescent="0.35">
      <c r="C66" s="602"/>
    </row>
    <row r="67" spans="3:3" ht="18" customHeight="1" x14ac:dyDescent="0.35">
      <c r="C67" s="603"/>
    </row>
    <row r="68" spans="3:3" ht="18" customHeight="1" x14ac:dyDescent="0.35"/>
    <row r="69" spans="3:3" ht="18" customHeight="1" x14ac:dyDescent="0.35"/>
    <row r="70" spans="3:3" ht="18" customHeight="1" x14ac:dyDescent="0.35"/>
    <row r="71" spans="3:3" ht="18" customHeight="1" x14ac:dyDescent="0.35"/>
    <row r="72" spans="3:3" ht="18" customHeight="1" x14ac:dyDescent="0.35"/>
    <row r="73" spans="3:3" ht="18" customHeight="1" x14ac:dyDescent="0.35"/>
    <row r="74" spans="3:3" ht="18" customHeight="1" x14ac:dyDescent="0.35"/>
    <row r="75" spans="3:3" ht="18" customHeight="1" x14ac:dyDescent="0.35"/>
    <row r="76" spans="3:3" ht="18" customHeight="1" x14ac:dyDescent="0.35"/>
    <row r="77" spans="3:3" ht="18" customHeight="1" x14ac:dyDescent="0.35"/>
  </sheetData>
  <phoneticPr fontId="0" type="noConversion"/>
  <pageMargins left="0.75" right="0.75" top="1" bottom="1" header="0.5" footer="0.5"/>
  <pageSetup scale="41" orientation="landscape" r:id="rId1"/>
  <headerFooter alignWithMargins="0"/>
  <rowBreaks count="1" manualBreakCount="1">
    <brk id="2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B1:L79"/>
  <sheetViews>
    <sheetView zoomScale="90" zoomScaleNormal="90" workbookViewId="0">
      <selection activeCell="I5" sqref="I5"/>
    </sheetView>
  </sheetViews>
  <sheetFormatPr defaultColWidth="8.8984375" defaultRowHeight="13.8" x14ac:dyDescent="0.25"/>
  <cols>
    <col min="1" max="1" width="3.09765625" style="194" customWidth="1"/>
    <col min="2" max="2" width="26.5" style="194" customWidth="1"/>
    <col min="3" max="6" width="18.5" style="194" customWidth="1"/>
    <col min="7" max="9" width="8.8984375" style="194"/>
    <col min="10" max="10" width="19" style="194" customWidth="1"/>
    <col min="11" max="16384" width="8.8984375" style="194"/>
  </cols>
  <sheetData>
    <row r="1" spans="2:9" ht="20.100000000000001" customHeight="1" x14ac:dyDescent="0.25">
      <c r="B1" s="193" t="s">
        <v>167</v>
      </c>
    </row>
    <row r="2" spans="2:9" ht="20.100000000000001" customHeight="1" x14ac:dyDescent="0.25"/>
    <row r="3" spans="2:9" ht="15" customHeight="1" x14ac:dyDescent="0.25">
      <c r="B3" s="195" t="s">
        <v>142</v>
      </c>
      <c r="C3" s="218" t="s">
        <v>141</v>
      </c>
      <c r="D3" s="218" t="s">
        <v>141</v>
      </c>
      <c r="E3" s="218" t="s">
        <v>141</v>
      </c>
      <c r="F3" s="218" t="s">
        <v>141</v>
      </c>
      <c r="G3" s="218" t="s">
        <v>140</v>
      </c>
    </row>
    <row r="4" spans="2:9" ht="15" customHeight="1" x14ac:dyDescent="0.25">
      <c r="B4" s="196" t="s">
        <v>427</v>
      </c>
      <c r="C4" s="513"/>
      <c r="D4" s="513"/>
      <c r="E4" s="513"/>
      <c r="F4" s="513"/>
      <c r="G4" s="195"/>
    </row>
    <row r="5" spans="2:9" ht="15" customHeight="1" x14ac:dyDescent="0.25">
      <c r="B5" s="196" t="s">
        <v>214</v>
      </c>
      <c r="C5" s="197"/>
      <c r="D5" s="198"/>
      <c r="E5" s="198"/>
      <c r="F5" s="198"/>
      <c r="G5" s="196" t="s">
        <v>32</v>
      </c>
    </row>
    <row r="6" spans="2:9" ht="15" customHeight="1" x14ac:dyDescent="0.25">
      <c r="B6" s="196" t="s">
        <v>168</v>
      </c>
      <c r="C6" s="206"/>
      <c r="D6" s="206"/>
      <c r="E6" s="206"/>
      <c r="F6" s="206"/>
      <c r="G6" s="196" t="s">
        <v>91</v>
      </c>
    </row>
    <row r="7" spans="2:9" ht="15" customHeight="1" x14ac:dyDescent="0.35">
      <c r="B7" s="196" t="s">
        <v>428</v>
      </c>
      <c r="C7" s="538"/>
      <c r="D7" s="538"/>
      <c r="E7" s="538"/>
      <c r="F7" s="538"/>
      <c r="G7" s="196" t="s">
        <v>26</v>
      </c>
      <c r="I7" s="204" t="s">
        <v>436</v>
      </c>
    </row>
    <row r="8" spans="2:9" ht="15" customHeight="1" x14ac:dyDescent="0.25">
      <c r="B8" s="196" t="s">
        <v>157</v>
      </c>
      <c r="C8" s="200">
        <v>62.4</v>
      </c>
      <c r="D8" s="200">
        <v>62.4</v>
      </c>
      <c r="E8" s="200">
        <v>62.4</v>
      </c>
      <c r="F8" s="200">
        <v>62.4</v>
      </c>
      <c r="G8" s="196" t="s">
        <v>156</v>
      </c>
    </row>
    <row r="9" spans="2:9" ht="15" customHeight="1" x14ac:dyDescent="0.25">
      <c r="B9" s="196" t="s">
        <v>165</v>
      </c>
      <c r="C9" s="201">
        <f>DataEntry!E6</f>
        <v>0</v>
      </c>
      <c r="D9" s="201">
        <f>DataEntry!E6</f>
        <v>0</v>
      </c>
      <c r="E9" s="201">
        <f>DataEntry!E6</f>
        <v>0</v>
      </c>
      <c r="F9" s="201">
        <f>DataEntry!E6</f>
        <v>0</v>
      </c>
      <c r="G9" s="196" t="s">
        <v>89</v>
      </c>
    </row>
    <row r="10" spans="2:9" ht="15" customHeight="1" x14ac:dyDescent="0.25">
      <c r="B10" s="196" t="s">
        <v>139</v>
      </c>
      <c r="C10" s="178">
        <f>1.3391*10^-8*C9^2-1.0818*10^-6*C9+3.7125*10^-5</f>
        <v>3.7125000000000001E-5</v>
      </c>
      <c r="D10" s="178">
        <f>C10</f>
        <v>3.7125000000000001E-5</v>
      </c>
      <c r="E10" s="178">
        <f>D10</f>
        <v>3.7125000000000001E-5</v>
      </c>
      <c r="F10" s="178">
        <f>C10</f>
        <v>3.7125000000000001E-5</v>
      </c>
      <c r="G10" s="196" t="s">
        <v>163</v>
      </c>
    </row>
    <row r="11" spans="2:9" ht="15" customHeight="1" x14ac:dyDescent="0.25">
      <c r="B11" s="202" t="s">
        <v>169</v>
      </c>
      <c r="C11" s="203">
        <f>IF(C6="",,((C8*C7)/(C10*(C5*7.48/(C6*10^6)*1440*60)))^0.5)</f>
        <v>0</v>
      </c>
      <c r="D11" s="203">
        <f>IF(D6="",,((D8*D7)/(D10*(D5*7.48/(D6*10^6)*1440*60)))^0.5)</f>
        <v>0</v>
      </c>
      <c r="E11" s="203">
        <f>IF(E6="",,((E8*E7)/(E10*(E5*7.48/(E6*10^6)*1440*60)))^0.5)</f>
        <v>0</v>
      </c>
      <c r="F11" s="203">
        <f>IF(F6="",,((F8*F7)/(F10*(F5*7.48/(F6*10^6)*1440*60)))^0.5)</f>
        <v>0</v>
      </c>
      <c r="G11" s="202" t="s">
        <v>257</v>
      </c>
      <c r="I11" s="204" t="s">
        <v>437</v>
      </c>
    </row>
    <row r="12" spans="2:9" ht="15" customHeight="1" x14ac:dyDescent="0.25"/>
    <row r="13" spans="2:9" ht="15" customHeight="1" x14ac:dyDescent="0.25">
      <c r="B13" s="204" t="s">
        <v>263</v>
      </c>
    </row>
    <row r="14" spans="2:9" ht="15" customHeight="1" x14ac:dyDescent="0.25">
      <c r="B14" s="204" t="s">
        <v>216</v>
      </c>
    </row>
    <row r="15" spans="2:9" ht="15" customHeight="1" x14ac:dyDescent="0.25">
      <c r="B15" s="204" t="s">
        <v>215</v>
      </c>
    </row>
    <row r="16" spans="2:9" ht="15" customHeight="1" x14ac:dyDescent="0.25"/>
    <row r="17" spans="2:12" ht="15" customHeight="1" x14ac:dyDescent="0.25">
      <c r="B17" s="204" t="s">
        <v>406</v>
      </c>
    </row>
    <row r="18" spans="2:12" ht="15" customHeight="1" x14ac:dyDescent="0.25"/>
    <row r="19" spans="2:12" ht="15" customHeight="1" x14ac:dyDescent="0.35">
      <c r="B19" s="478" t="s">
        <v>141</v>
      </c>
      <c r="C19" s="479"/>
      <c r="D19" s="476"/>
      <c r="E19" s="476"/>
      <c r="F19" s="476"/>
      <c r="G19" s="476"/>
    </row>
    <row r="20" spans="2:12" ht="15" customHeight="1" x14ac:dyDescent="0.35">
      <c r="B20" s="481" t="s">
        <v>383</v>
      </c>
      <c r="C20" s="757"/>
      <c r="D20" s="476"/>
      <c r="E20" s="476"/>
      <c r="F20" s="476"/>
      <c r="G20" s="476"/>
    </row>
    <row r="21" spans="2:12" ht="15" customHeight="1" x14ac:dyDescent="0.35">
      <c r="B21" s="481" t="s">
        <v>339</v>
      </c>
      <c r="C21" s="81"/>
      <c r="D21" s="477"/>
      <c r="E21" s="477"/>
      <c r="F21" s="476"/>
      <c r="G21" s="476"/>
    </row>
    <row r="22" spans="2:12" ht="15" customHeight="1" x14ac:dyDescent="0.35">
      <c r="B22" s="481" t="s">
        <v>340</v>
      </c>
      <c r="C22" s="230"/>
      <c r="D22" s="476"/>
      <c r="E22" s="476"/>
      <c r="F22" s="476"/>
      <c r="G22" s="476"/>
    </row>
    <row r="23" spans="2:12" ht="15" customHeight="1" x14ac:dyDescent="0.35">
      <c r="B23" s="481" t="s">
        <v>341</v>
      </c>
      <c r="C23" s="81"/>
      <c r="D23" s="477"/>
      <c r="E23" s="476"/>
      <c r="F23" s="476"/>
      <c r="G23" s="476"/>
    </row>
    <row r="24" spans="2:12" ht="15" customHeight="1" x14ac:dyDescent="0.35">
      <c r="B24" s="478" t="s">
        <v>342</v>
      </c>
      <c r="C24" s="479"/>
      <c r="D24" s="476"/>
      <c r="E24" s="476"/>
      <c r="F24" s="476"/>
      <c r="G24" s="476"/>
    </row>
    <row r="25" spans="2:12" ht="15" hidden="1" customHeight="1" x14ac:dyDescent="0.35">
      <c r="B25" s="482" t="s">
        <v>384</v>
      </c>
      <c r="C25" s="487">
        <f>C20*10^6/1440</f>
        <v>0</v>
      </c>
      <c r="D25" s="476"/>
      <c r="E25" s="476"/>
      <c r="F25" s="476"/>
      <c r="G25" s="476"/>
    </row>
    <row r="26" spans="2:12" ht="15" hidden="1" customHeight="1" x14ac:dyDescent="0.35">
      <c r="B26" s="483"/>
      <c r="C26" s="488">
        <f>C25*0.002228</f>
        <v>0</v>
      </c>
      <c r="D26" s="476"/>
      <c r="E26" s="476"/>
      <c r="F26" s="476"/>
      <c r="G26" s="476"/>
      <c r="J26" s="194" t="s">
        <v>496</v>
      </c>
      <c r="K26" s="194" t="s">
        <v>26</v>
      </c>
      <c r="L26" s="194">
        <v>6.1144289543386106E-3</v>
      </c>
    </row>
    <row r="27" spans="2:12" ht="15" hidden="1" customHeight="1" x14ac:dyDescent="0.35">
      <c r="B27" s="481" t="s">
        <v>343</v>
      </c>
      <c r="C27" s="489">
        <f>3.14*(C21/12/2)^2</f>
        <v>0</v>
      </c>
      <c r="D27" s="476"/>
      <c r="E27" s="476"/>
      <c r="F27" s="476"/>
      <c r="G27" s="476"/>
    </row>
    <row r="28" spans="2:12" ht="15" customHeight="1" x14ac:dyDescent="0.35">
      <c r="B28" s="481" t="s">
        <v>344</v>
      </c>
      <c r="C28" s="490" t="e">
        <f>(C26)/C27</f>
        <v>#DIV/0!</v>
      </c>
      <c r="D28" s="477"/>
      <c r="E28" s="477"/>
      <c r="F28" s="476"/>
      <c r="G28" s="476"/>
    </row>
    <row r="29" spans="2:12" ht="15" hidden="1" customHeight="1" x14ac:dyDescent="0.35">
      <c r="B29" s="481" t="s">
        <v>345</v>
      </c>
      <c r="C29" s="491" t="e">
        <f>(C28/(1.318*C23*(C21/12/2/2)^0.63))^1.852</f>
        <v>#DIV/0!</v>
      </c>
      <c r="D29" s="476"/>
      <c r="E29" s="476"/>
      <c r="F29" s="476"/>
      <c r="G29" s="476"/>
    </row>
    <row r="30" spans="2:12" ht="15" customHeight="1" x14ac:dyDescent="0.35">
      <c r="B30" s="481" t="s">
        <v>346</v>
      </c>
      <c r="C30" s="492" t="e">
        <f>C29*C22</f>
        <v>#DIV/0!</v>
      </c>
      <c r="D30" s="476"/>
      <c r="E30" s="476"/>
      <c r="F30" s="476"/>
      <c r="G30" s="476"/>
    </row>
    <row r="31" spans="2:12" ht="15.6" x14ac:dyDescent="0.35">
      <c r="B31" s="481" t="s">
        <v>347</v>
      </c>
      <c r="C31" s="203" t="e">
        <f>C30*0.4335</f>
        <v>#DIV/0!</v>
      </c>
      <c r="D31" s="476"/>
      <c r="E31" s="476"/>
      <c r="F31" s="476"/>
      <c r="G31" s="476"/>
    </row>
    <row r="32" spans="2:12" ht="15.6" x14ac:dyDescent="0.35">
      <c r="B32" s="480" t="s">
        <v>358</v>
      </c>
      <c r="C32" s="493" t="str">
        <f>IF((C21/12)*500&gt;C22,"YES","NO")</f>
        <v>NO</v>
      </c>
      <c r="D32" s="476"/>
      <c r="E32" s="476"/>
      <c r="F32" s="476"/>
      <c r="G32" s="476"/>
    </row>
    <row r="34" spans="2:5" x14ac:dyDescent="0.25">
      <c r="B34" s="481" t="s">
        <v>376</v>
      </c>
      <c r="C34" s="492" t="e">
        <f>(C28^2)/(32.2*2)</f>
        <v>#DIV/0!</v>
      </c>
    </row>
    <row r="35" spans="2:5" ht="16.2" x14ac:dyDescent="0.35">
      <c r="B35" s="503" t="s">
        <v>377</v>
      </c>
      <c r="C35" s="202"/>
      <c r="D35" s="503" t="s">
        <v>378</v>
      </c>
      <c r="E35" s="758"/>
    </row>
    <row r="36" spans="2:5" ht="16.2" x14ac:dyDescent="0.25">
      <c r="B36" s="481" t="s">
        <v>379</v>
      </c>
      <c r="C36" s="202">
        <v>0.3</v>
      </c>
      <c r="D36" s="504" t="e">
        <f>C36*C34</f>
        <v>#DIV/0!</v>
      </c>
      <c r="E36" s="759"/>
    </row>
    <row r="37" spans="2:5" x14ac:dyDescent="0.25">
      <c r="B37" s="481" t="s">
        <v>380</v>
      </c>
      <c r="C37" s="202">
        <v>0.5</v>
      </c>
      <c r="D37" s="504" t="e">
        <f>C37*C34</f>
        <v>#DIV/0!</v>
      </c>
      <c r="E37" s="759"/>
    </row>
    <row r="38" spans="2:5" x14ac:dyDescent="0.25">
      <c r="B38" s="481" t="s">
        <v>381</v>
      </c>
      <c r="C38" s="202">
        <v>1</v>
      </c>
      <c r="D38" s="504" t="e">
        <f>C38*C34</f>
        <v>#DIV/0!</v>
      </c>
      <c r="E38" s="759"/>
    </row>
    <row r="40" spans="2:5" x14ac:dyDescent="0.25">
      <c r="B40" s="485" t="s">
        <v>348</v>
      </c>
      <c r="C40" s="485"/>
    </row>
    <row r="41" spans="2:5" x14ac:dyDescent="0.25">
      <c r="B41" s="485" t="s">
        <v>357</v>
      </c>
      <c r="C41" s="485"/>
    </row>
    <row r="42" spans="2:5" x14ac:dyDescent="0.25">
      <c r="B42" s="486" t="s">
        <v>349</v>
      </c>
      <c r="C42" s="486" t="s">
        <v>89</v>
      </c>
    </row>
    <row r="43" spans="2:5" x14ac:dyDescent="0.25">
      <c r="B43" s="484" t="s">
        <v>350</v>
      </c>
      <c r="C43" s="484">
        <v>130</v>
      </c>
    </row>
    <row r="44" spans="2:5" x14ac:dyDescent="0.25">
      <c r="B44" s="484" t="s">
        <v>351</v>
      </c>
      <c r="C44" s="484">
        <v>120</v>
      </c>
    </row>
    <row r="45" spans="2:5" x14ac:dyDescent="0.25">
      <c r="B45" s="484" t="s">
        <v>352</v>
      </c>
      <c r="C45" s="484">
        <v>100</v>
      </c>
    </row>
    <row r="46" spans="2:5" x14ac:dyDescent="0.25">
      <c r="B46" s="484" t="s">
        <v>353</v>
      </c>
      <c r="C46" s="484">
        <v>130</v>
      </c>
    </row>
    <row r="47" spans="2:5" x14ac:dyDescent="0.25">
      <c r="B47" s="484" t="s">
        <v>354</v>
      </c>
      <c r="C47" s="484">
        <v>120</v>
      </c>
    </row>
    <row r="48" spans="2:5" x14ac:dyDescent="0.25">
      <c r="B48" s="484" t="s">
        <v>355</v>
      </c>
      <c r="C48" s="484">
        <v>140</v>
      </c>
    </row>
    <row r="49" spans="2:7" x14ac:dyDescent="0.25">
      <c r="B49" s="484" t="s">
        <v>356</v>
      </c>
      <c r="C49" s="484">
        <v>150</v>
      </c>
    </row>
    <row r="51" spans="2:7" x14ac:dyDescent="0.25">
      <c r="B51" s="204" t="s">
        <v>526</v>
      </c>
    </row>
    <row r="52" spans="2:7" x14ac:dyDescent="0.25">
      <c r="B52" s="194" t="s">
        <v>542</v>
      </c>
    </row>
    <row r="53" spans="2:7" x14ac:dyDescent="0.25">
      <c r="B53" s="604" t="s">
        <v>142</v>
      </c>
      <c r="C53" s="218" t="s">
        <v>141</v>
      </c>
      <c r="D53" s="218" t="s">
        <v>141</v>
      </c>
      <c r="E53" s="218"/>
      <c r="F53" s="218" t="s">
        <v>141</v>
      </c>
      <c r="G53" s="218" t="s">
        <v>140</v>
      </c>
    </row>
    <row r="54" spans="2:7" x14ac:dyDescent="0.25">
      <c r="B54" s="605" t="s">
        <v>427</v>
      </c>
      <c r="C54" s="513"/>
      <c r="D54" s="513"/>
      <c r="E54" s="513"/>
      <c r="F54" s="513"/>
      <c r="G54" s="605"/>
    </row>
    <row r="55" spans="2:7" x14ac:dyDescent="0.25">
      <c r="B55" s="605" t="s">
        <v>492</v>
      </c>
      <c r="C55" s="206"/>
      <c r="D55" s="206"/>
      <c r="E55" s="206"/>
      <c r="F55" s="206"/>
      <c r="G55" s="605" t="s">
        <v>26</v>
      </c>
    </row>
    <row r="56" spans="2:7" x14ac:dyDescent="0.25">
      <c r="B56" s="605" t="s">
        <v>527</v>
      </c>
      <c r="C56" s="206"/>
      <c r="D56" s="206"/>
      <c r="E56" s="206"/>
      <c r="F56" s="206"/>
      <c r="G56" s="605" t="s">
        <v>26</v>
      </c>
    </row>
    <row r="57" spans="2:7" x14ac:dyDescent="0.25">
      <c r="B57" s="605" t="s">
        <v>528</v>
      </c>
      <c r="C57" s="206"/>
      <c r="D57" s="206"/>
      <c r="E57" s="206"/>
      <c r="F57" s="206"/>
      <c r="G57" s="605" t="s">
        <v>26</v>
      </c>
    </row>
    <row r="58" spans="2:7" hidden="1" x14ac:dyDescent="0.25">
      <c r="B58" s="608" t="s">
        <v>529</v>
      </c>
      <c r="C58" s="609">
        <f>C55*C56</f>
        <v>0</v>
      </c>
      <c r="D58" s="609">
        <f>D55*D56</f>
        <v>0</v>
      </c>
      <c r="E58" s="609"/>
      <c r="F58" s="609">
        <f>F55*F56</f>
        <v>0</v>
      </c>
      <c r="G58" s="605" t="s">
        <v>530</v>
      </c>
    </row>
    <row r="59" spans="2:7" hidden="1" x14ac:dyDescent="0.25">
      <c r="B59" s="605" t="s">
        <v>531</v>
      </c>
      <c r="C59" s="613">
        <f>2*C56+C55</f>
        <v>0</v>
      </c>
      <c r="D59" s="613">
        <f>D55+2*D56</f>
        <v>0</v>
      </c>
      <c r="E59" s="613"/>
      <c r="F59" s="613">
        <f>2*F56+2*F55</f>
        <v>0</v>
      </c>
      <c r="G59" s="605" t="s">
        <v>26</v>
      </c>
    </row>
    <row r="60" spans="2:7" hidden="1" x14ac:dyDescent="0.25">
      <c r="B60" s="608" t="s">
        <v>534</v>
      </c>
      <c r="C60" s="609" t="e">
        <f>C58/C59</f>
        <v>#DIV/0!</v>
      </c>
      <c r="D60" s="609" t="e">
        <f>D58/D59</f>
        <v>#DIV/0!</v>
      </c>
      <c r="E60" s="609"/>
      <c r="F60" s="609" t="e">
        <f>F58/F59</f>
        <v>#DIV/0!</v>
      </c>
      <c r="G60" s="605" t="s">
        <v>26</v>
      </c>
    </row>
    <row r="61" spans="2:7" x14ac:dyDescent="0.25">
      <c r="B61" s="605" t="s">
        <v>477</v>
      </c>
      <c r="C61" s="206"/>
      <c r="D61" s="206"/>
      <c r="E61" s="206"/>
      <c r="F61" s="206"/>
      <c r="G61" s="605" t="s">
        <v>91</v>
      </c>
    </row>
    <row r="62" spans="2:7" hidden="1" x14ac:dyDescent="0.25">
      <c r="B62" s="608" t="s">
        <v>477</v>
      </c>
      <c r="C62" s="609">
        <f>C61*10^6/1440/60/7.48</f>
        <v>0</v>
      </c>
      <c r="D62" s="609">
        <f>D61*10^6/1440/60/7.48</f>
        <v>0</v>
      </c>
      <c r="E62" s="609"/>
      <c r="F62" s="609">
        <f>F61*10^6/1440/60/7.48</f>
        <v>0</v>
      </c>
      <c r="G62" s="605" t="s">
        <v>532</v>
      </c>
    </row>
    <row r="63" spans="2:7" hidden="1" x14ac:dyDescent="0.25">
      <c r="B63" s="605" t="s">
        <v>494</v>
      </c>
      <c r="C63" s="610">
        <f>C10</f>
        <v>3.7125000000000001E-5</v>
      </c>
      <c r="D63" s="610">
        <f>C10</f>
        <v>3.7125000000000001E-5</v>
      </c>
      <c r="E63" s="610"/>
      <c r="F63" s="610">
        <f>C10</f>
        <v>3.7125000000000001E-5</v>
      </c>
      <c r="G63" s="605" t="s">
        <v>163</v>
      </c>
    </row>
    <row r="64" spans="2:7" x14ac:dyDescent="0.25">
      <c r="B64" s="608" t="s">
        <v>495</v>
      </c>
      <c r="C64" s="518"/>
      <c r="D64" s="518"/>
      <c r="E64" s="518"/>
      <c r="F64" s="518"/>
      <c r="G64" s="605"/>
    </row>
    <row r="65" spans="2:7" hidden="1" x14ac:dyDescent="0.25">
      <c r="B65" s="605" t="s">
        <v>533</v>
      </c>
      <c r="C65" s="611" t="e">
        <f>((C62*C64)/(1.49*C58*C60^(2/3)))^2</f>
        <v>#DIV/0!</v>
      </c>
      <c r="D65" s="611" t="e">
        <f>((D62*D64)/(1.49*D58*D60^(2/3)))^2</f>
        <v>#DIV/0!</v>
      </c>
      <c r="E65" s="611"/>
      <c r="F65" s="611" t="e">
        <f>((F62*F64)/(1.49*F58*F60^(2/3)))^2</f>
        <v>#DIV/0!</v>
      </c>
      <c r="G65" s="605"/>
    </row>
    <row r="66" spans="2:7" x14ac:dyDescent="0.25">
      <c r="B66" s="605" t="s">
        <v>535</v>
      </c>
      <c r="C66" s="612" t="e">
        <f>C65*C57</f>
        <v>#DIV/0!</v>
      </c>
      <c r="D66" s="612" t="e">
        <f>D65*D57</f>
        <v>#DIV/0!</v>
      </c>
      <c r="E66" s="612"/>
      <c r="F66" s="612" t="e">
        <f>F65*F57</f>
        <v>#DIV/0!</v>
      </c>
      <c r="G66" s="605" t="s">
        <v>26</v>
      </c>
    </row>
    <row r="67" spans="2:7" x14ac:dyDescent="0.25">
      <c r="B67" s="604" t="s">
        <v>539</v>
      </c>
      <c r="C67" s="614"/>
      <c r="D67" s="614"/>
      <c r="E67" s="614"/>
      <c r="F67" s="614"/>
      <c r="G67" s="605"/>
    </row>
    <row r="68" spans="2:7" x14ac:dyDescent="0.25">
      <c r="B68" s="605" t="s">
        <v>536</v>
      </c>
      <c r="C68" s="206"/>
      <c r="D68" s="206"/>
      <c r="E68" s="206"/>
      <c r="F68" s="206"/>
      <c r="G68" s="605" t="s">
        <v>26</v>
      </c>
    </row>
    <row r="69" spans="2:7" x14ac:dyDescent="0.25">
      <c r="B69" s="605" t="s">
        <v>537</v>
      </c>
      <c r="C69" s="206"/>
      <c r="D69" s="206"/>
      <c r="E69" s="206"/>
      <c r="F69" s="206"/>
      <c r="G69" s="605" t="s">
        <v>26</v>
      </c>
    </row>
    <row r="70" spans="2:7" x14ac:dyDescent="0.25">
      <c r="B70" s="605" t="s">
        <v>538</v>
      </c>
      <c r="C70" s="206"/>
      <c r="D70" s="206"/>
      <c r="E70" s="206"/>
      <c r="F70" s="206"/>
      <c r="G70" s="605" t="s">
        <v>532</v>
      </c>
    </row>
    <row r="71" spans="2:7" hidden="1" x14ac:dyDescent="0.25">
      <c r="B71" s="605" t="s">
        <v>493</v>
      </c>
      <c r="C71" s="609" t="e">
        <f>C70/(C68*C69)</f>
        <v>#DIV/0!</v>
      </c>
      <c r="D71" s="609" t="e">
        <f>D70/(D68*D69)</f>
        <v>#DIV/0!</v>
      </c>
      <c r="E71" s="609"/>
      <c r="F71" s="609" t="e">
        <f>F70/(F68*F69)</f>
        <v>#DIV/0!</v>
      </c>
      <c r="G71" s="605" t="s">
        <v>442</v>
      </c>
    </row>
    <row r="72" spans="2:7" x14ac:dyDescent="0.25">
      <c r="B72" s="605" t="s">
        <v>541</v>
      </c>
      <c r="C72" s="615" t="e">
        <f>(C70/(0.61*C68*C69))^2/64.4</f>
        <v>#DIV/0!</v>
      </c>
      <c r="D72" s="615" t="e">
        <f>(D70/(0.61*D68*D69))^2/64.4</f>
        <v>#DIV/0!</v>
      </c>
      <c r="E72" s="615"/>
      <c r="F72" s="615" t="e">
        <f>(F70/(0.61*F68*F69))^2/64.4</f>
        <v>#DIV/0!</v>
      </c>
      <c r="G72" s="605" t="s">
        <v>26</v>
      </c>
    </row>
    <row r="73" spans="2:7" x14ac:dyDescent="0.25">
      <c r="B73" s="604" t="s">
        <v>539</v>
      </c>
      <c r="C73" s="616"/>
      <c r="D73" s="616"/>
      <c r="E73" s="616"/>
      <c r="F73" s="617"/>
      <c r="G73" s="605"/>
    </row>
    <row r="74" spans="2:7" x14ac:dyDescent="0.25">
      <c r="B74" s="605" t="s">
        <v>536</v>
      </c>
      <c r="C74" s="206"/>
      <c r="D74" s="206"/>
      <c r="E74" s="206"/>
      <c r="F74" s="206"/>
      <c r="G74" s="605" t="s">
        <v>26</v>
      </c>
    </row>
    <row r="75" spans="2:7" x14ac:dyDescent="0.25">
      <c r="B75" s="605" t="s">
        <v>537</v>
      </c>
      <c r="C75" s="206"/>
      <c r="D75" s="206"/>
      <c r="E75" s="206"/>
      <c r="F75" s="206"/>
      <c r="G75" s="605" t="s">
        <v>26</v>
      </c>
    </row>
    <row r="76" spans="2:7" x14ac:dyDescent="0.25">
      <c r="B76" s="605" t="s">
        <v>538</v>
      </c>
      <c r="C76" s="206"/>
      <c r="D76" s="206"/>
      <c r="E76" s="206"/>
      <c r="F76" s="206"/>
      <c r="G76" s="605" t="s">
        <v>532</v>
      </c>
    </row>
    <row r="77" spans="2:7" hidden="1" x14ac:dyDescent="0.25">
      <c r="B77" s="605" t="s">
        <v>493</v>
      </c>
      <c r="C77" s="206"/>
      <c r="D77" s="206"/>
      <c r="E77" s="206"/>
      <c r="F77" s="609" t="e">
        <f>F76/(F74*F75)</f>
        <v>#DIV/0!</v>
      </c>
      <c r="G77" s="605" t="s">
        <v>442</v>
      </c>
    </row>
    <row r="78" spans="2:7" x14ac:dyDescent="0.25">
      <c r="B78" s="605" t="s">
        <v>541</v>
      </c>
      <c r="C78" s="607"/>
      <c r="D78" s="607"/>
      <c r="E78" s="607"/>
      <c r="F78" s="615" t="e">
        <f>(F76/(0.61*F74*F75))^2/64.4</f>
        <v>#DIV/0!</v>
      </c>
      <c r="G78" s="605" t="s">
        <v>26</v>
      </c>
    </row>
    <row r="79" spans="2:7" x14ac:dyDescent="0.25">
      <c r="B79" s="605" t="s">
        <v>540</v>
      </c>
      <c r="C79" s="615" t="e">
        <f>C66+C72</f>
        <v>#DIV/0!</v>
      </c>
      <c r="D79" s="615" t="e">
        <f>D66+D72</f>
        <v>#DIV/0!</v>
      </c>
      <c r="E79" s="615"/>
      <c r="F79" s="615" t="e">
        <f>F66+F72+F78</f>
        <v>#DIV/0!</v>
      </c>
      <c r="G79" s="605"/>
    </row>
  </sheetData>
  <phoneticPr fontId="0" type="noConversion"/>
  <pageMargins left="0.75" right="0.75" top="1" bottom="1" header="0.5" footer="0.5"/>
  <pageSetup scale="8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47</vt:i4>
      </vt:variant>
    </vt:vector>
  </HeadingPairs>
  <TitlesOfParts>
    <vt:vector size="63" baseType="lpstr">
      <vt:lpstr>Instructions</vt:lpstr>
      <vt:lpstr>Lookup</vt:lpstr>
      <vt:lpstr>DataEntry</vt:lpstr>
      <vt:lpstr>StockSolutionsHELP</vt:lpstr>
      <vt:lpstr>Calculate</vt:lpstr>
      <vt:lpstr>JarG</vt:lpstr>
      <vt:lpstr>JarSettingsHELP</vt:lpstr>
      <vt:lpstr>Calibrate Data</vt:lpstr>
      <vt:lpstr>HydraulicMixHELP</vt:lpstr>
      <vt:lpstr>NozzleMixHELP</vt:lpstr>
      <vt:lpstr>TurbineMixHELP</vt:lpstr>
      <vt:lpstr>PaddleMixHELP</vt:lpstr>
      <vt:lpstr>BeamMixHELP</vt:lpstr>
      <vt:lpstr>Database</vt:lpstr>
      <vt:lpstr>Sheet1</vt:lpstr>
      <vt:lpstr>Sheet2</vt:lpstr>
      <vt:lpstr>Beam</vt:lpstr>
      <vt:lpstr>Calculations</vt:lpstr>
      <vt:lpstr>CheckDatabase</vt:lpstr>
      <vt:lpstr>CheckRetrieveDate</vt:lpstr>
      <vt:lpstr>DatabaseJar</vt:lpstr>
      <vt:lpstr>Lookup!DataEntryHome</vt:lpstr>
      <vt:lpstr>DataEntryHome</vt:lpstr>
      <vt:lpstr>Dates1</vt:lpstr>
      <vt:lpstr>diameter</vt:lpstr>
      <vt:lpstr>diameter1</vt:lpstr>
      <vt:lpstr>Hydraulic</vt:lpstr>
      <vt:lpstr>Input</vt:lpstr>
      <vt:lpstr>Input1</vt:lpstr>
      <vt:lpstr>Input2</vt:lpstr>
      <vt:lpstr>Input3</vt:lpstr>
      <vt:lpstr>Input4</vt:lpstr>
      <vt:lpstr>Input5</vt:lpstr>
      <vt:lpstr>Input6</vt:lpstr>
      <vt:lpstr>Input7</vt:lpstr>
      <vt:lpstr>Input8</vt:lpstr>
      <vt:lpstr>Input9</vt:lpstr>
      <vt:lpstr>InputDate</vt:lpstr>
      <vt:lpstr>Inputdatetest</vt:lpstr>
      <vt:lpstr>JarSettings</vt:lpstr>
      <vt:lpstr>Lookup1</vt:lpstr>
      <vt:lpstr>Lookup2</vt:lpstr>
      <vt:lpstr>Lookup3</vt:lpstr>
      <vt:lpstr>Lookup4</vt:lpstr>
      <vt:lpstr>Lookup5</vt:lpstr>
      <vt:lpstr>Lookup6</vt:lpstr>
      <vt:lpstr>Lookup7</vt:lpstr>
      <vt:lpstr>Lookup8</vt:lpstr>
      <vt:lpstr>Lookup9</vt:lpstr>
      <vt:lpstr>Nozzle</vt:lpstr>
      <vt:lpstr>Paddle</vt:lpstr>
      <vt:lpstr>BeamMixHELP!Print_Area</vt:lpstr>
      <vt:lpstr>'Calibrate Data'!Print_Area</vt:lpstr>
      <vt:lpstr>HydraulicMixHELP!Print_Area</vt:lpstr>
      <vt:lpstr>JarSettingsHELP!Print_Area</vt:lpstr>
      <vt:lpstr>NozzleMixHELP!Print_Area</vt:lpstr>
      <vt:lpstr>StockSolutionsHELP!Print_Area</vt:lpstr>
      <vt:lpstr>TurbineMixHELP!Print_Area</vt:lpstr>
      <vt:lpstr>SettingsHelp</vt:lpstr>
      <vt:lpstr>Start</vt:lpstr>
      <vt:lpstr>StockSolutionHelp</vt:lpstr>
      <vt:lpstr>Table1</vt:lpstr>
      <vt:lpstr>Turbine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Gary Holt</cp:lastModifiedBy>
  <cp:lastPrinted>2017-10-12T15:34:21Z</cp:lastPrinted>
  <dcterms:created xsi:type="dcterms:W3CDTF">1998-07-21T18:51:28Z</dcterms:created>
  <dcterms:modified xsi:type="dcterms:W3CDTF">2017-12-12T17:06:33Z</dcterms:modified>
</cp:coreProperties>
</file>